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Прайс" sheetId="1" r:id="rId4"/>
    <sheet name="Содержание" sheetId="2" r:id="rId5"/>
    <sheet name="Оплата и доставка" sheetId="3" r:id="rId6"/>
  </sheets>
  <definedNames>
    <definedName name="_xlnm._FilterDatabase" localSheetId="0" hidden="1">'Прайс'!$A$8:$F$8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<sst xmlns="http://schemas.openxmlformats.org/spreadsheetml/2006/main" uniqueCount="20105">
  <si>
    <t>MOTO-EXPRESS.ORG</t>
  </si>
  <si>
    <t>Оптовый поставщик запчастей для мотоциклов, скутеров, квадроциклов, снегоходов, велосипедов, мотоблоков, бензопил, мотокос, а также мото и электротехники, бензонструмента,
 экипировки и аксессуаров.</t>
  </si>
  <si>
    <t>Как загрузить заказ на сайт через прайс-лист самостоятельно: https://youtu.be/MTlC4wzxaww</t>
  </si>
  <si>
    <t>Тел: 8 800 444 33 61, WhatsApp: +79381100016, Email: info@moto-express.info</t>
  </si>
  <si>
    <t>Внимание! Выберите из списка % персональной скидки ниже↓</t>
  </si>
  <si>
    <t>Итого:</t>
  </si>
  <si>
    <t>Скидка в %</t>
  </si>
  <si>
    <t>Артикул</t>
  </si>
  <si>
    <t>Наименование</t>
  </si>
  <si>
    <t>Цена</t>
  </si>
  <si>
    <t>Заказ</t>
  </si>
  <si>
    <t>Итог</t>
  </si>
  <si>
    <t>Фото</t>
  </si>
  <si>
    <t>АКБ</t>
  </si>
  <si>
    <t>A-475-U1</t>
  </si>
  <si>
    <t>АКБ 12V 2,3А гелевый (115x40x90, скутеры Suzuki, Yamaha, YT4B-5) 2024 "BEEZMOTO"(Повреждения)</t>
  </si>
  <si>
    <t>https://b2beez.ru/images/detailed/0/</t>
  </si>
  <si>
    <t>A-1597</t>
  </si>
  <si>
    <t>АКБ для электроинструментов 21V (4.0Ah, Li-ion) "BEEZMOTO" (mod. B)</t>
  </si>
  <si>
    <t>https://b2beez.ru/images/detailed/153/orig_3qzi-6s.jpg</t>
  </si>
  <si>
    <t>A-1599</t>
  </si>
  <si>
    <t>АКБ для электроинструментов 21V (1.5Ah, Li-ion) "BEEZMOTO" (mod. B)</t>
  </si>
  <si>
    <t>https://b2beez.ru/images/detailed/153/orig_k2hz-3w.jpg</t>
  </si>
  <si>
    <t>A-475</t>
  </si>
  <si>
    <t>АКБ 12V 2,3А гелевый (115x40x90, скутеры Suzuki, Yamaha, YT4B-5) 2024 "BEEZMOTO"</t>
  </si>
  <si>
    <t>https://b2beez.ru/images/detailed/153/orig_q763-u6.jpg</t>
  </si>
  <si>
    <t>A-1932</t>
  </si>
  <si>
    <t>АКБ 12V 4А гелевый (110x70x85, японские и китайские скутеры, mod:12N4L-BS) 2024 "BEEZMOTO"</t>
  </si>
  <si>
    <t>https://b2beez.ru/images/detailed/153/orig_6grt-zy.jpg</t>
  </si>
  <si>
    <t>A-1932-U1</t>
  </si>
  <si>
    <t>АКБ 12V 4А гелевый (110x70x85, японские и китайские скутеры, mod:12N4L-BS) 2024 "BEEZMOTO" (повреждение крепления)</t>
  </si>
  <si>
    <t>A-9631</t>
  </si>
  <si>
    <t>АКБ 12V 7A  AGM (150x65x93, черный, тяговой, для ИБП, детского электротранспорта) "BEEZMOTO" 10.2023</t>
  </si>
  <si>
    <t>https://b2beez.ru/images/detailed/154/6816974702.jpg</t>
  </si>
  <si>
    <t>A-1793</t>
  </si>
  <si>
    <t>АКБ 12V 2,3А гелевый, Honda (115x50x85, черный, mod:YTR4A-BS) 2024 "BEEZMOTO"</t>
  </si>
  <si>
    <t>https://b2beez.ru/images/detailed/153/orig_d3j5-rv.jpg</t>
  </si>
  <si>
    <t>A-1350</t>
  </si>
  <si>
    <t>АКБ 12V 19А кислотный (175x100x175, универсальный, YB 16CL-B) "OUTDO"</t>
  </si>
  <si>
    <t>https://b2beez.ru/images/detailed/153/6125318548_smt0-pd.jpg</t>
  </si>
  <si>
    <t>A-748</t>
  </si>
  <si>
    <t>АКБ 12V 7А гелевый (150x85x95, скутеры и мотоциклы, mod.YTX7A-BS) 2024 "BEEZMOTO"</t>
  </si>
  <si>
    <t>https://b2beez.ru/images/detailed/153/orig_y3ap-zu.jpg</t>
  </si>
  <si>
    <t>A-1360</t>
  </si>
  <si>
    <t>Мото аккумулятор OUTDO 12V 12А кислотный (150x87x130 мотоциклы, максискутеры, UTX12-BS)</t>
  </si>
  <si>
    <t>https://b2beez.ru/images/detailed/153/6125322081.jpg</t>
  </si>
  <si>
    <t>АКБ прочее</t>
  </si>
  <si>
    <t>K-6611</t>
  </si>
  <si>
    <t>Клемма аккумуляторная мото (медь) (под конус) "JING" (mod.A)</t>
  </si>
  <si>
    <t>https://b2beez.ru/images/detailed/168/6245078856.jpg</t>
  </si>
  <si>
    <t>Аксессуары</t>
  </si>
  <si>
    <t>USB-флешки</t>
  </si>
  <si>
    <t>Аудиосистемы</t>
  </si>
  <si>
    <t>BT-12</t>
  </si>
  <si>
    <t>Гарнитура для мотоциклетного шлема (Bluetooth V4.2, стерео, 120ч в ожидании, 500mA, передача 10м)</t>
  </si>
  <si>
    <t>https://b2beez.ru/images/detailed/154/orig_cezy-35.jpg</t>
  </si>
  <si>
    <t>A-581</t>
  </si>
  <si>
    <t>Пульт проводной дистанционного управления (ППДУ) 3K (6 кнопок)</t>
  </si>
  <si>
    <t>https://b2beez.ru/images/detailed/204/A-581.jpg</t>
  </si>
  <si>
    <t>BT-12-U1</t>
  </si>
  <si>
    <t>Гарнитура для мотоциклетного шлема (Bluetooth V4.2, стерео, 120ч в ожидании, 500mA, передача 10м) (Не комплект)</t>
  </si>
  <si>
    <t>A-878</t>
  </si>
  <si>
    <t>Аудиосистема велосипедная на руль (влагостойкая, фонарик, рация, МР3/USB/SD/Bluetooth/FM-радио)</t>
  </si>
  <si>
    <t>https://b2beez.ru/images/detailed/153/6162308299.jpg</t>
  </si>
  <si>
    <t>Брелоки</t>
  </si>
  <si>
    <t>B-402</t>
  </si>
  <si>
    <t>Брелок резиновый "YMH" (#YSK125)</t>
  </si>
  <si>
    <t>https://b2beez.ru/images/detailed/154/orig_pg2o-o8.jpg</t>
  </si>
  <si>
    <t>B-627</t>
  </si>
  <si>
    <t>Брелок резиновый "HONDA"</t>
  </si>
  <si>
    <t>https://b2beez.ru/images/detailed/154/orig_o49c-b4.jpg</t>
  </si>
  <si>
    <t>B-676</t>
  </si>
  <si>
    <t>Брелок резиновый "ALPINESTARS" (mod:1)</t>
  </si>
  <si>
    <t>https://b2beez.ru/images/detailed/154/orig_xzan-5c.jpg</t>
  </si>
  <si>
    <t>B-354</t>
  </si>
  <si>
    <t>Брелок резиновый RED BULL (#KML)</t>
  </si>
  <si>
    <t>https://b2beez.ru/images/detailed/154/6801185435.jpg</t>
  </si>
  <si>
    <t>B-395</t>
  </si>
  <si>
    <t>Брелок резиновый байк KAWASAKI (зеленый) (#YSK135)</t>
  </si>
  <si>
    <t>https://b2beez.ru/images/detailed/154/6801186451.jpg</t>
  </si>
  <si>
    <t>B-684</t>
  </si>
  <si>
    <t>Брелок резиновый "DUCATI"</t>
  </si>
  <si>
    <t>https://b2beez.ru/images/detailed/154/orig_g4r6-sf.jpg</t>
  </si>
  <si>
    <t>B-6252</t>
  </si>
  <si>
    <t>Брелок тряпичный "Honda" (красный)</t>
  </si>
  <si>
    <t>https://b2beez.ru/images/detailed/154/orig_nfuf-7p.jpg</t>
  </si>
  <si>
    <t>B-3341</t>
  </si>
  <si>
    <t>Брелок тряпичный "Honda" (черный)</t>
  </si>
  <si>
    <t>https://b2beez.ru/images/detailed/154/orig_sht0-os.jpg</t>
  </si>
  <si>
    <t>B-8335</t>
  </si>
  <si>
    <t>Брелок тряпичный "Honda" (синий)</t>
  </si>
  <si>
    <t>https://b2beez.ru/images/detailed/154/orig_8hix-5p.jpg</t>
  </si>
  <si>
    <t>B-6756</t>
  </si>
  <si>
    <t>Брелок тряпичный "Suzuki" (синий)</t>
  </si>
  <si>
    <t>https://b2beez.ru/images/detailed/154/orig_jizf-wt.jpg</t>
  </si>
  <si>
    <t>B-8167</t>
  </si>
  <si>
    <t>Брелок тряпичный "Suzuki" (черный)</t>
  </si>
  <si>
    <t>https://b2beez.ru/images/detailed/154/orig_4a28-7l.jpg</t>
  </si>
  <si>
    <t>B-6988</t>
  </si>
  <si>
    <t>Брелок тряпичный "Suzuki"  (красный)</t>
  </si>
  <si>
    <t>https://b2beez.ru/images/detailed/154/orig_cuxa-5s.jpg</t>
  </si>
  <si>
    <t>B-8031</t>
  </si>
  <si>
    <t>Брелок тряпичный "Yamaha" (синий)</t>
  </si>
  <si>
    <t>https://b2beez.ru/images/detailed/154/orig_4o3r-06.jpg</t>
  </si>
  <si>
    <t>B-6279</t>
  </si>
  <si>
    <t>Брелок тряпичный "Yamaha" (черный)</t>
  </si>
  <si>
    <t>https://b2beez.ru/images/detailed/154/orig_gp18-rw.jpg</t>
  </si>
  <si>
    <t>B-0568</t>
  </si>
  <si>
    <t>Брелок тряпичный "Yamaha" (красный)</t>
  </si>
  <si>
    <t>https://b2beez.ru/images/detailed/154/orig_dikq-yz.jpg</t>
  </si>
  <si>
    <t>B-2010</t>
  </si>
  <si>
    <t>Брелок тряпичный "KTM, Red Bull" (черный)</t>
  </si>
  <si>
    <t>https://b2beez.ru/images/detailed/154/orig_9gye-sa.jpg</t>
  </si>
  <si>
    <t>B-2248</t>
  </si>
  <si>
    <t>Брелок тряпичный "Motul" (красный)</t>
  </si>
  <si>
    <t>https://b2beez.ru/images/detailed/154/orig_6hgr-22.jpg</t>
  </si>
  <si>
    <t>B-6616</t>
  </si>
  <si>
    <t>Брелок тряпичный "GSXR" (синий)</t>
  </si>
  <si>
    <t>https://b2beez.ru/images/detailed/154/orig_5ot7-0f.jpg</t>
  </si>
  <si>
    <t>B-3588</t>
  </si>
  <si>
    <t>Брелок тряпичный "Ducati Corse" (красный)</t>
  </si>
  <si>
    <t>https://b2beez.ru/images/detailed/154/orig_b25j-dy.jpg</t>
  </si>
  <si>
    <t>B-1274</t>
  </si>
  <si>
    <t>Брелок тряпичный "Akrapovic" (черный)</t>
  </si>
  <si>
    <t>https://b2beez.ru/images/detailed/154/orig_h55m-0w.jpg</t>
  </si>
  <si>
    <t>B-5621</t>
  </si>
  <si>
    <t>Брелок резиновый "HONDA" mod.2</t>
  </si>
  <si>
    <t>https://b2beez.ru/images/detailed/154/6923484692.jpg</t>
  </si>
  <si>
    <t>B-671</t>
  </si>
  <si>
    <t>Брелок резиновый "YAMAHA" (красный)</t>
  </si>
  <si>
    <t>https://b2beez.ru/images/detailed/154/orig_9ufp-u4.jpg</t>
  </si>
  <si>
    <t>B-313</t>
  </si>
  <si>
    <t>Брелок резиновый скутер (синий) "YMH" (#YSK005)</t>
  </si>
  <si>
    <t>https://b2beez.ru/images/detailed/154/6801187809.jpg</t>
  </si>
  <si>
    <t>B-400</t>
  </si>
  <si>
    <t>Брелок резиновый "MONSTER ENERGY" mod.2</t>
  </si>
  <si>
    <t>https://b2beez.ru/images/detailed/154/orig_3x4w-ic.jpg</t>
  </si>
  <si>
    <t>B-401</t>
  </si>
  <si>
    <t>Брелок резиновый "KAWASAKI" (#YSK123)</t>
  </si>
  <si>
    <t>https://b2beez.ru/images/detailed/154/orig_p8s5-lk.jpg</t>
  </si>
  <si>
    <t>B-409</t>
  </si>
  <si>
    <t>Брелок резиновый "MICKEY&amp;MINNIE" (#YSK049)</t>
  </si>
  <si>
    <t>https://b2beez.ru/images/detailed/154/6170136347.jpg</t>
  </si>
  <si>
    <t>B-414</t>
  </si>
  <si>
    <t>Брелок резиновый "RZ1" (#YSK118)</t>
  </si>
  <si>
    <t>https://b2beez.ru/images/detailed/154/6170136336.jpg</t>
  </si>
  <si>
    <t>B-415</t>
  </si>
  <si>
    <t>Брелок резиновый "CBR" (#YSK119)</t>
  </si>
  <si>
    <t>https://b2beez.ru/images/detailed/154/orig_hpae-e2.jpg</t>
  </si>
  <si>
    <t>B-417</t>
  </si>
  <si>
    <t>Брелок резиновый "GSX-R" mod.2</t>
  </si>
  <si>
    <t>https://b2beez.ru/images/detailed/154/6173432030.jpg</t>
  </si>
  <si>
    <t>B-631</t>
  </si>
  <si>
    <t>Брелок резиновый "KTM" (мото) (#YSK113)</t>
  </si>
  <si>
    <t>https://b2beez.ru/images/detailed/154/orig_hf31-tx.jpg</t>
  </si>
  <si>
    <t>N-1254</t>
  </si>
  <si>
    <t>Брелок резиновый "SPIDER MAN" (#0083)</t>
  </si>
  <si>
    <t>https://b2beez.ru/images/detailed/170/6170136331.jpg</t>
  </si>
  <si>
    <t>N-1651</t>
  </si>
  <si>
    <t>Брелок резиновый "HAYABUSA" (#YSK126)</t>
  </si>
  <si>
    <t>https://b2beez.ru/images/detailed/170/6170136271.jpg</t>
  </si>
  <si>
    <t>B-302</t>
  </si>
  <si>
    <t>Брелок резиновый байк "YMH" (красный) (#YSK018)</t>
  </si>
  <si>
    <t>https://b2beez.ru/images/detailed/154/6170136276.jpg</t>
  </si>
  <si>
    <t>B-322</t>
  </si>
  <si>
    <t>Брелок резиновый байк "YAMAHA"</t>
  </si>
  <si>
    <t>https://b2beez.ru/images/detailed/154/6801184262.jpg</t>
  </si>
  <si>
    <t>B-403</t>
  </si>
  <si>
    <t>Брелок резиновый "1098" (#YSK127)</t>
  </si>
  <si>
    <t>https://b2beez.ru/images/detailed/154/6170136317.jpg</t>
  </si>
  <si>
    <t>B-418</t>
  </si>
  <si>
    <t>Брелок резиновый "MONSTER ENERGY" (#YSK121)</t>
  </si>
  <si>
    <t>https://b2beez.ru/images/detailed/154/orig_4css-o6.jpg</t>
  </si>
  <si>
    <t>B-432</t>
  </si>
  <si>
    <t>Брелок резиновый (зеленый) "FOX"</t>
  </si>
  <si>
    <t>https://b2beez.ru/images/detailed/154/6491928931.jpg</t>
  </si>
  <si>
    <t>B-675</t>
  </si>
  <si>
    <t>Брелок резиновый "HARLEY-DAVIDSON"</t>
  </si>
  <si>
    <t>https://b2beez.ru/images/detailed/154/6801187538.jpg</t>
  </si>
  <si>
    <t>B-628</t>
  </si>
  <si>
    <t>https://b2beez.ru/images/detailed/154/6170136324.jpg</t>
  </si>
  <si>
    <t>Видео</t>
  </si>
  <si>
    <t>Держатели для телефона</t>
  </si>
  <si>
    <t>Держатель для телефона на руль (поворотный, синий) "LL"</t>
  </si>
  <si>
    <t>https://b2beez.ru/images/detailed/48/6220920137.jpg</t>
  </si>
  <si>
    <t>Держатель для телефона на руль (поворотный, желтый) "LL"</t>
  </si>
  <si>
    <t>https://b2beez.ru/images/detailed/48/orig_yerw-zy.jpg</t>
  </si>
  <si>
    <t>Держатель для телефона на руль (поворотный, зеленый) "LL"</t>
  </si>
  <si>
    <t>https://b2beez.ru/images/detailed/48/orig_zh9g-rm.jpg</t>
  </si>
  <si>
    <t>D-932</t>
  </si>
  <si>
    <t>Держатель для телефона на руль (ширина фиксации 9.3 см, 8х6.5х9.5 см) черный</t>
  </si>
  <si>
    <t>https://b2beez.ru/images/detailed/160/6230944653.jpg</t>
  </si>
  <si>
    <t>D-9319</t>
  </si>
  <si>
    <t>Держатель для телефона на руль (до 185*95mm) чёрный</t>
  </si>
  <si>
    <t>https://b2beez.ru/images/detailed/160/orig_60ay-ar.jpg</t>
  </si>
  <si>
    <t>D-55656</t>
  </si>
  <si>
    <t>Держатель для телефона на руль (до 55*100mm) "BENGUO"</t>
  </si>
  <si>
    <t>https://b2beez.ru/images/detailed/159/orig_xmyo-bj.jpg</t>
  </si>
  <si>
    <t>Держатель для телефона на руль (поворотный, оранжевый) "LL"</t>
  </si>
  <si>
    <t>https://b2beez.ru/images/detailed/48/orig_8pg8-at.jpg</t>
  </si>
  <si>
    <t>D-745</t>
  </si>
  <si>
    <t>Держатель для телефона на руль (ширина фиксации 9.3 см, 8х6.5х9.5 см) красный</t>
  </si>
  <si>
    <t>https://b2beez.ru/images/detailed/159/6220888747.jpg</t>
  </si>
  <si>
    <t>Противоугонные средства</t>
  </si>
  <si>
    <t>P-7235</t>
  </si>
  <si>
    <t>Замок на колесо (трос 800*8mm) (с ключом, чёрный) "LOCK"</t>
  </si>
  <si>
    <t>https://b2beez.ru/images/detailed/175/6318374954.jpg</t>
  </si>
  <si>
    <t>P-7232</t>
  </si>
  <si>
    <t>Замок на колесо (трос 800*12mm) (с ключом, чёрный) "LOCK"</t>
  </si>
  <si>
    <t>https://b2beez.ru/images/detailed/175/6318374987.jpg</t>
  </si>
  <si>
    <t>P-7784</t>
  </si>
  <si>
    <t>Замок на колесо (трос 800×13mm) (с ключом, синий) "LOCK"</t>
  </si>
  <si>
    <t>https://b2beez.ru/images/detailed/175/6321437720.jpg</t>
  </si>
  <si>
    <t>P-7758</t>
  </si>
  <si>
    <t>Замок на колесо (трос 800×14mm) (с ключом, синий) "LOCK"</t>
  </si>
  <si>
    <t>https://b2beez.ru/images/detailed/175/6321438075.jpg</t>
  </si>
  <si>
    <t>P-3928</t>
  </si>
  <si>
    <t>Замок на колесо (трос 800*10mm) (с ключом, красный) "SVT"</t>
  </si>
  <si>
    <t>https://b2beez.ru/images/detailed/173/orig_2lsz-ul.jpg</t>
  </si>
  <si>
    <t>Замок на колесо (трос 10*650mm) (с кодом, чёрный) "BEEZMOTO"</t>
  </si>
  <si>
    <t>https://b2beez.ru/images/detailed/48/orig_5cc7-f5.jpg</t>
  </si>
  <si>
    <t>P-4361</t>
  </si>
  <si>
    <t>Замок на колесо (трос 1200*11mm) (с изменяемым кодом, чёрный) "LOCK"</t>
  </si>
  <si>
    <t>https://b2beez.ru/images/detailed/173/6318374942.jpg</t>
  </si>
  <si>
    <t>P-7911</t>
  </si>
  <si>
    <t>Замок на колесо (трос 650*10mm) (с ключом, зелёный)  KL</t>
  </si>
  <si>
    <t>https://b2beez.ru/images/detailed/175/orig_i206-3p.jpg</t>
  </si>
  <si>
    <t>P-3929</t>
  </si>
  <si>
    <t>Замок на колесо (трос 800*10mm) (с ключом, синий) "SVT"</t>
  </si>
  <si>
    <t>https://b2beez.ru/images/detailed/173/6128372112.jpg</t>
  </si>
  <si>
    <t>P-7322</t>
  </si>
  <si>
    <t>Замок на колесо (трос 800*12mm) (с ключом, синий) "LOCK"</t>
  </si>
  <si>
    <t>https://b2beez.ru/images/detailed/175/6318374975.jpg</t>
  </si>
  <si>
    <t>Z-8571</t>
  </si>
  <si>
    <t>Замок на колесо (трос 350mm) навесной "АЛЛЮР"</t>
  </si>
  <si>
    <t>https://b2beez.ru/images/detailed/204/Z-8571-2.jpg</t>
  </si>
  <si>
    <t>Z-4871</t>
  </si>
  <si>
    <t>Замок на колесо (трос 10*650mm) (с кодом) (чёрный) "BEEZMOTO"</t>
  </si>
  <si>
    <t>https://b2beez.ru/images/detailed/204/Z-4871-2_ql3l-ae.jpg</t>
  </si>
  <si>
    <t>Z-4468</t>
  </si>
  <si>
    <t>Замок на колесо (трос 8*800mm) (с кодом, чёрный) "BEEZMOTO"</t>
  </si>
  <si>
    <t>https://b2beez.ru/images/detailed/204/Z-4468-3.jpg</t>
  </si>
  <si>
    <t>P-7884</t>
  </si>
  <si>
    <t>Замок на колесо (цепь 900 *6mm) (с ключом) (чёрный, ткань)</t>
  </si>
  <si>
    <t>https://b2beez.ru/images/detailed/175/orig_4kq6-tp.jpg</t>
  </si>
  <si>
    <t>P-7874</t>
  </si>
  <si>
    <t>Замок на колесо (трос 800×13mm) (с ключом, красный) "LOCK"</t>
  </si>
  <si>
    <t>https://b2beez.ru/images/detailed/175/6321437939.jpg</t>
  </si>
  <si>
    <t>P-7875</t>
  </si>
  <si>
    <t>Замок на колесо (трос 800×14mm) (с ключом, красный) "LOCK"</t>
  </si>
  <si>
    <t>https://b2beez.ru/images/detailed/175/6321437580.jpg</t>
  </si>
  <si>
    <t>P-7876</t>
  </si>
  <si>
    <t>Замок на колесо (сегментный 5.5*3*17.5) ( (с ключом) (чёрный)</t>
  </si>
  <si>
    <t>https://b2beez.ru/images/detailed/175/6091919445.jpg</t>
  </si>
  <si>
    <t>Ремни стяжные</t>
  </si>
  <si>
    <t>Салфетки и губки</t>
  </si>
  <si>
    <t>Скотч</t>
  </si>
  <si>
    <t>Тросы буксировочные</t>
  </si>
  <si>
    <t>Электрика/освещение</t>
  </si>
  <si>
    <t>L-263</t>
  </si>
  <si>
    <t>Модуль светодиодный (6 диодов, RGB-подсветка, Ø72mm) "YWL"</t>
  </si>
  <si>
    <t>https://b2beez.ru/images/detailed/169/6379108018.jpg</t>
  </si>
  <si>
    <t>E-108</t>
  </si>
  <si>
    <t>Цифровой вольтметр DC 12V (врезной, прямоугольный, красный) "YOUYOU"</t>
  </si>
  <si>
    <t>https://b2beez.ru/images/detailed/160/orig_svsd-6c.jpg</t>
  </si>
  <si>
    <t>E-111</t>
  </si>
  <si>
    <t>Изолятор проводов (резьба M-10, d-8, D-14mm) "KTO"</t>
  </si>
  <si>
    <t>https://b2beez.ru/images/detailed/160/6378958551.jpg</t>
  </si>
  <si>
    <t>L-261</t>
  </si>
  <si>
    <t>Модуль светодиодный (12W, 5 диодов, RGB-подсветка, 90*66mm) "YWL"</t>
  </si>
  <si>
    <t>https://b2beez.ru/images/detailed/169/6378958228.jpg</t>
  </si>
  <si>
    <t>S-1732</t>
  </si>
  <si>
    <t>Лента светодиодная SMD 5050 (белая, влагостойкая, 4000K, 60 крист/1м, бухта 5м)</t>
  </si>
  <si>
    <t>https://b2beez.ru/images/detailed/178/6378958618.jpg</t>
  </si>
  <si>
    <t>S-1735</t>
  </si>
  <si>
    <t>Лента светодиодная SMD 5050 (зеленая, влагостойкая, 4000K, 60 крист/1м, бухта 5м)</t>
  </si>
  <si>
    <t>https://b2beez.ru/images/detailed/178/6378958694.jpg</t>
  </si>
  <si>
    <t>S-1951</t>
  </si>
  <si>
    <t>RGB-контроллер (радио ПДУ, 4 кнопки)</t>
  </si>
  <si>
    <t>https://b2beez.ru/images/detailed/179/6378958411.jpg</t>
  </si>
  <si>
    <t>S-1952</t>
  </si>
  <si>
    <t>RGB-контроллер (радио ПДУ, 6 кнопок)</t>
  </si>
  <si>
    <t>https://b2beez.ru/images/detailed/179/6378958839.jpg</t>
  </si>
  <si>
    <t>S-2630</t>
  </si>
  <si>
    <t>Модуль светодиодный (12W, 5 диодов, RGB-подсветка, 90*66mm) "WOYE"</t>
  </si>
  <si>
    <t>https://b2beez.ru/images/detailed/179/6378958598.jpg</t>
  </si>
  <si>
    <t>S-3549</t>
  </si>
  <si>
    <t>Модуль светодиодный (5 диодов, RGB-подсветка, Ø80mm) "GJCT"</t>
  </si>
  <si>
    <t>https://b2beez.ru/images/detailed/180/6379108061.jpg</t>
  </si>
  <si>
    <t>S-3550</t>
  </si>
  <si>
    <t>Модуль светодиодный (12W, 5 диодов, RGB-подсветка, 90*66mm) "GJCT"</t>
  </si>
  <si>
    <t>https://b2beez.ru/images/detailed/180/6378958489.jpg</t>
  </si>
  <si>
    <t>S-4597</t>
  </si>
  <si>
    <t>Модуль светодиодный (5 диодов, RGB-подсветка, Ø80mm) "MANLE"</t>
  </si>
  <si>
    <t>https://b2beez.ru/images/detailed/181/6379107894.jpg</t>
  </si>
  <si>
    <t>S-4655</t>
  </si>
  <si>
    <t>Модуль светодиодный (12W, 5 диодов, RGB-подсветка, 90*66mm) "MANLE"</t>
  </si>
  <si>
    <t>https://b2beez.ru/images/detailed/181/6378958292.jpg</t>
  </si>
  <si>
    <t>Запчасти</t>
  </si>
  <si>
    <t>Для автомобилей</t>
  </si>
  <si>
    <t>Запчасти (Китай)</t>
  </si>
  <si>
    <t>CHERY</t>
  </si>
  <si>
    <t>GEELY</t>
  </si>
  <si>
    <t>HAVAL</t>
  </si>
  <si>
    <t>Автоаксессуары</t>
  </si>
  <si>
    <t>A-1875</t>
  </si>
  <si>
    <t>Обманка ремня безопасности (большая) "DOG"</t>
  </si>
  <si>
    <t>A-1880</t>
  </si>
  <si>
    <t>Обманка ремня безопасности (малая) "LAMB"</t>
  </si>
  <si>
    <t>K-2315</t>
  </si>
  <si>
    <t>Лампа биксеноновая H6 (12V 35W ) 4300K</t>
  </si>
  <si>
    <t>https://b2beez.ru/images/detailed/166/6161026178.jpg</t>
  </si>
  <si>
    <t>X-25</t>
  </si>
  <si>
    <t>Ксенон (авто) H11 AC 6000K 35W (арт:25)</t>
  </si>
  <si>
    <t>K-1993</t>
  </si>
  <si>
    <t>Ксенон (авто) H4 AC 5000K 35W (+галоген) slim (арт:K-1993)</t>
  </si>
  <si>
    <t>K-2297</t>
  </si>
  <si>
    <t>Лампы ксеноновые (пара) H4 (12V 35W DC AMP) 4300K</t>
  </si>
  <si>
    <t>K-2316</t>
  </si>
  <si>
    <t>Лампа биксеноновая H6 (12V 50W DC AMP) 4300K</t>
  </si>
  <si>
    <t>https://b2beez.ru/images/detailed/166/6161026178_ltc7-pz.jpg</t>
  </si>
  <si>
    <t>K-2321</t>
  </si>
  <si>
    <t>Провода коммутационные лампы биксеноновой H6</t>
  </si>
  <si>
    <t>https://b2beez.ru/images/detailed/166/6161026248.jpg</t>
  </si>
  <si>
    <t>K-2962</t>
  </si>
  <si>
    <t>Ксенон (авто, мото) H3  6000K 35W (2 блока, 2 лампы) "HNG"</t>
  </si>
  <si>
    <t>K-4043</t>
  </si>
  <si>
    <t>Разъем проводки ксенона KET-02 (мама)</t>
  </si>
  <si>
    <t>https://b2beez.ru/images/detailed/204/K-4043.jpg</t>
  </si>
  <si>
    <t>X-34</t>
  </si>
  <si>
    <t>Ксенон (авто) H3 AC 6000K 35W slim (арт:34)</t>
  </si>
  <si>
    <t>X-41</t>
  </si>
  <si>
    <t>Ксенон (авто) H4 AC 6000K 35W (+галоген) (арт:41)</t>
  </si>
  <si>
    <t>X-42</t>
  </si>
  <si>
    <t>Ксенон (авто) H4 AC 6000K 35W (+галоген) slim (арт:X-42)</t>
  </si>
  <si>
    <t>X-45</t>
  </si>
  <si>
    <t>Ксенон (авто, мото) H4  8000K 35W + галоген (2 блока, 2 лампы)</t>
  </si>
  <si>
    <t>X-76</t>
  </si>
  <si>
    <t>Ксенон (авто) H9 AC 8000K 35W slim (арт:76)</t>
  </si>
  <si>
    <t>X-80</t>
  </si>
  <si>
    <t>Ксенон (авто) H9 DC 8000K 35W slim (арт:80)</t>
  </si>
  <si>
    <t>X-81</t>
  </si>
  <si>
    <t>Ксенон (авто) HB1 (9004) AC 6000K 35W (+галоген) (арт:81)</t>
  </si>
  <si>
    <t>X-82</t>
  </si>
  <si>
    <t>Ксенон (авто) HB1 (9004) AC 6000K 35W (+галоген) slim (арт:82)</t>
  </si>
  <si>
    <t>X-88</t>
  </si>
  <si>
    <t>Ксенон (авто) HB1 (9004) DC 8000K 35W (+галоген) slim (арт:88)</t>
  </si>
  <si>
    <t>Ксенон, Лампы</t>
  </si>
  <si>
    <t>Парктроники</t>
  </si>
  <si>
    <t>P-2774</t>
  </si>
  <si>
    <t>Парктроник универсальный (датчики черные 4шт, LCD, монтажный комплект) "THOR"</t>
  </si>
  <si>
    <t>Противоугонные устройства</t>
  </si>
  <si>
    <t>Свечи авто</t>
  </si>
  <si>
    <t>S-35644</t>
  </si>
  <si>
    <t>Свеча авто BP6ES M14*1,25 19,0mm (под ключ 21мм) "MACRO" (4шт)</t>
  </si>
  <si>
    <t>https://b2beez.ru/images/detailed/180/6247206966.jpg</t>
  </si>
  <si>
    <t>S-1750</t>
  </si>
  <si>
    <t>Свеча авто ZFR6-11 M14*1,25 19,0mm "IRIDIUM" (ключ 16мм) "INT" (MOQ 4шт)</t>
  </si>
  <si>
    <t>https://b2beez.ru/images/detailed/179/6247207001.jpg</t>
  </si>
  <si>
    <t>S-1755</t>
  </si>
  <si>
    <t>Свеча авто BPR6-13 M14*1,25 16,0mm "IRIDIUM" (ключ 16мм) (конусная) "INT" (MOQ 4шт)</t>
  </si>
  <si>
    <t>https://b2beez.ru/images/detailed/179/6247266746.jpg</t>
  </si>
  <si>
    <t>S-3564</t>
  </si>
  <si>
    <t>Свеча авто BP6ES M14*1,25 19,0mm (под ключ 21мм) "MACRO" (MOQ 10шт)</t>
  </si>
  <si>
    <t>https://b2beez.ru/images/detailed/180/orig_4z2z-5g.png</t>
  </si>
  <si>
    <t>S-1745</t>
  </si>
  <si>
    <t>Свеча авто LFR6 M14*1,25 26,0mm "IRIDIUM" (ключ 16мм) "INT" (MOQ 4шт)</t>
  </si>
  <si>
    <t>https://b2beez.ru/images/detailed/178/6247207043.jpg</t>
  </si>
  <si>
    <t>S-1746</t>
  </si>
  <si>
    <t>Свеча авто BKR6 M14*1,25 19,0mm "IRIDIUM" (ключ 16мм) "INT" (MOQ 4шт)</t>
  </si>
  <si>
    <t>https://b2beez.ru/images/detailed/178/6247131952.jpg</t>
  </si>
  <si>
    <t>S-1747</t>
  </si>
  <si>
    <t>Свеча авто DCPR7 M12*1,25 19,0mm "IRIDIUM" (ключ 16мм) "INT" (MOQ 4шт)</t>
  </si>
  <si>
    <t>https://b2beez.ru/images/detailed/178/orig_oc6s-fx.jpg</t>
  </si>
  <si>
    <t>S-1748</t>
  </si>
  <si>
    <t>Свеча авто IZFR6-11 M14*1,25 21,0mm "IRIDIUM" (ключ 16мм) "INT" (MOQ 4шт)</t>
  </si>
  <si>
    <t>https://b2beez.ru/images/detailed/178/6247206982.jpg</t>
  </si>
  <si>
    <t>S-1751</t>
  </si>
  <si>
    <t>Свеча авто BPR5 M14*1,25 19,0mm "IRIDIUM" (ключ 21мм) "INT" (MOQ 4шт)</t>
  </si>
  <si>
    <t>https://b2beez.ru/images/detailed/179/6247266492.jpg</t>
  </si>
  <si>
    <t>S-1752</t>
  </si>
  <si>
    <t>Свеча авто LZKAR6-11 M12*1,25 26,0mm "IRIDIUM" (ключ 14мм) "INT" (MOQ 4шт)</t>
  </si>
  <si>
    <t>https://b2beez.ru/images/detailed/179/orig_bvjk-71.jpg</t>
  </si>
  <si>
    <t>S-1753</t>
  </si>
  <si>
    <t>Свеча авто LTR5-13 M14*1,25 26,0mm "IRIDIUM" (ключ 16мм) (конусная) "INT" (MOQ 4шт)</t>
  </si>
  <si>
    <t>https://b2beez.ru/images/detailed/179/6247206970.jpg</t>
  </si>
  <si>
    <t>S-1754</t>
  </si>
  <si>
    <t>Свеча авто ZFR5-11 M14*1,25 19,0mm "IRIDIUM" (ключ 16мм) "INT" (MOQ 4шт)</t>
  </si>
  <si>
    <t>https://b2beez.ru/images/detailed/179/6247207027.jpg</t>
  </si>
  <si>
    <t>S-1756</t>
  </si>
  <si>
    <t>Свеча авто FR6X M14*1,25 19,0mm "IRIDIUM" (ключ 16мм) ("смерч") "INT" (MOQ 4шт)</t>
  </si>
  <si>
    <t>https://b2beez.ru/images/detailed/179/6247206988.jpg</t>
  </si>
  <si>
    <t>S-1759</t>
  </si>
  <si>
    <t>https://b2beez.ru/images/detailed/179/6247206979.jpg</t>
  </si>
  <si>
    <t>0242236565</t>
  </si>
  <si>
    <t>Свеча зажигания FR 7 HC (Jeep, SEAT, Skoda, Volkswagen) (4шт) "BOSCH"</t>
  </si>
  <si>
    <t>https://b2beez.ru/images/detailed/48/7149545224.jpg</t>
  </si>
  <si>
    <t>Фильтра авто</t>
  </si>
  <si>
    <t>Прокладка болта маслосливного CITROEN/PEUGEOT/RENAULT/LADA "SASIC"</t>
  </si>
  <si>
    <t>https://b2beez.ru/images/detailed/204/1640540.jpg</t>
  </si>
  <si>
    <t>Электрооборудование</t>
  </si>
  <si>
    <t>S-2645</t>
  </si>
  <si>
    <t>Стробоскоп автомобильный (mod:PS-704) "GJCT"</t>
  </si>
  <si>
    <t>https://b2beez.ru/images/detailed/204/S-2645.jpg</t>
  </si>
  <si>
    <t>Для бензоинструмента</t>
  </si>
  <si>
    <t>G-1431</t>
  </si>
  <si>
    <t>Шланг топливный бензопилы Goodluck GL4500/5200 x 5шт "BEEZMOTO"</t>
  </si>
  <si>
    <t>https://b2beez.ru/images/detailed/204/G-1431-2_509e-8e.jpg</t>
  </si>
  <si>
    <t>Инструменты и экипировка</t>
  </si>
  <si>
    <t>D-3016</t>
  </si>
  <si>
    <t>Шнур ручного стартера (100m, Ø2,5mm) "BEST"</t>
  </si>
  <si>
    <t>https://b2beez.ru/images/detailed/158/6459731561.jpg</t>
  </si>
  <si>
    <t>V-1672</t>
  </si>
  <si>
    <t>Шнур ручного стартера (100m, Ø-4mm, class-A)</t>
  </si>
  <si>
    <t>https://b2beez.ru/images/detailed/186/6459728884_vkyf-wt.jpg</t>
  </si>
  <si>
    <t>V-1675</t>
  </si>
  <si>
    <t>Шнур ручного стартера (100m, Ø-4,5mm, class-A)</t>
  </si>
  <si>
    <t>https://b2beez.ru/images/detailed/186/6459728884_pumi-jz.jpg</t>
  </si>
  <si>
    <t>V-1678</t>
  </si>
  <si>
    <t>Шнур ручного стартера (100m, Ø-5mm, class-A)</t>
  </si>
  <si>
    <t>https://b2beez.ru/images/detailed/186/6459728884_753n-tu.jpg</t>
  </si>
  <si>
    <t>V-1680</t>
  </si>
  <si>
    <t>Шнур ручного стартера (100m, Ø-6mm, class-B)</t>
  </si>
  <si>
    <t>https://b2beez.ru/images/detailed/186/6459728884_hij7-ah.jpg</t>
  </si>
  <si>
    <t>B-485</t>
  </si>
  <si>
    <t>Шнур ручного стартера (1300mm) "JIANTAI"</t>
  </si>
  <si>
    <t>https://b2beez.ru/images/detailed/154/6459726799.jpg</t>
  </si>
  <si>
    <t>V-1670</t>
  </si>
  <si>
    <t>Шнур ручного стартера (20m, Ø-3,5mm, class-A)</t>
  </si>
  <si>
    <t>https://b2beez.ru/images/detailed/186/6459727143.jpg</t>
  </si>
  <si>
    <t>V-1671</t>
  </si>
  <si>
    <t>Шнур ручного стартера (100m, Ø-4mm, class-B)</t>
  </si>
  <si>
    <t>https://b2beez.ru/images/detailed/186/6459728884.jpg</t>
  </si>
  <si>
    <t>V-1681</t>
  </si>
  <si>
    <t>Шнур ручного стартера (100m, Ø-6mm, class-A)</t>
  </si>
  <si>
    <t>https://b2beez.ru/images/detailed/186/6459728884_xijw-80.jpg</t>
  </si>
  <si>
    <t>V-1682</t>
  </si>
  <si>
    <t>Шнур ручного стартера (20m, Ø-6mm, class-A)</t>
  </si>
  <si>
    <t>https://b2beez.ru/images/detailed/186/6459727143_qc98-be.jpg</t>
  </si>
  <si>
    <t>На бензопилы</t>
  </si>
  <si>
    <t>S-3703</t>
  </si>
  <si>
    <t>Курок блокировки газа бензопилы Stihl MS 170/180 "WOODMAN"</t>
  </si>
  <si>
    <t>https://b2beez.ru/images/detailed/180/6260254187.jpg</t>
  </si>
  <si>
    <t>S-2761</t>
  </si>
  <si>
    <t>Шина 6" +2 цепи 1/4 (1,1mm, 37зв, для аккумуляторной цепной пилы) "BEEZMOTO"</t>
  </si>
  <si>
    <t>https://b2beez.ru/images/detailed/179/orig_k7aa-80.jpg</t>
  </si>
  <si>
    <t>S-3912</t>
  </si>
  <si>
    <t>Поршневая бензопилы (ЦПГ) Stihl MS 250 (Ø42,5) (+поддон, черная) "CP"</t>
  </si>
  <si>
    <t>https://b2beez.ru/images/detailed/181/6836744525.jpg</t>
  </si>
  <si>
    <t>S-8134</t>
  </si>
  <si>
    <t>Звезда бензопилы (венец привода) 3/8-8 Stihl MS 361, 440, 460, 660, 650, HUSQVARNA 365 "WOODMAN"</t>
  </si>
  <si>
    <t>https://b2beez.ru/images/detailed/182/orig_1ode-vj.jpg</t>
  </si>
  <si>
    <t>S-7635</t>
  </si>
  <si>
    <t>Тарелка сцепления бензопилы (под съемную звезду) Stihl MS 440 (+звезда 3/8-7, сепаратор) "WOODMAN"</t>
  </si>
  <si>
    <t>https://b2beez.ru/images/detailed/182/orig_ns8l-ob.jpg</t>
  </si>
  <si>
    <t>S-24</t>
  </si>
  <si>
    <t>Кожух верхний бензопилы Stihl MS 180 "WOODMAN"</t>
  </si>
  <si>
    <t>https://b2beez.ru/images/detailed/179/orig_nbsq-mp.jpg</t>
  </si>
  <si>
    <t>H-293</t>
  </si>
  <si>
    <t>Тарелка сцепления бензопилы (звезда ведущая) Husqvarna 365/372 "WOODMAN"</t>
  </si>
  <si>
    <t>https://b2beez.ru/images/detailed/163/orig_nrqc-oe.jpg</t>
  </si>
  <si>
    <t>P-3126</t>
  </si>
  <si>
    <t>Фильтр топливный бензопилы Partner P350/351 (L-23,5,mm, Ø4,3mm x 10шт) "KOMATCU"</t>
  </si>
  <si>
    <t>https://b2beez.ru/images/detailed/173/orig_nlxq-gq.jpg</t>
  </si>
  <si>
    <t>U-325</t>
  </si>
  <si>
    <t>Отвертки для регулировки карбюратора бензопилы (набор - 6шт)</t>
  </si>
  <si>
    <t>https://b2beez.ru/images/detailed/184/6259140841.jpg</t>
  </si>
  <si>
    <t>G-880</t>
  </si>
  <si>
    <t>Элемент воздушного фильтра китайской бензопилы 45, 52, 58см3 "WOODMAN"</t>
  </si>
  <si>
    <t>https://b2beez.ru/images/detailed/162/orig_uuo5-k7.jpg</t>
  </si>
  <si>
    <t>G-9632</t>
  </si>
  <si>
    <t>Гайка крепления крышки дефлектора Goodluck GL4500/5200 "BEEZMOTO"</t>
  </si>
  <si>
    <t>https://b2beez.ru/images/detailed/162/7061818154.jpg</t>
  </si>
  <si>
    <t>01.04.077.000</t>
  </si>
  <si>
    <t>Поддон бензопилы Stihl MS 180 "BRAIT"</t>
  </si>
  <si>
    <t>https://b2beez.ru/images/detailed/47/6141443659.jpg</t>
  </si>
  <si>
    <t>G-2998</t>
  </si>
  <si>
    <t>Выключатель китайской бензопилы 45, 52, 58см3 (D-10мм) "BEEZMOTO"</t>
  </si>
  <si>
    <t>https://b2beez.ru/images/detailed/162/orig_ctjq-6m.jpg</t>
  </si>
  <si>
    <t>P-20</t>
  </si>
  <si>
    <t>Выключатель бензопилы Partner "BEEZMOTO"</t>
  </si>
  <si>
    <t>https://b2beez.ru/images/detailed/173/orig_200z-mm.jpg</t>
  </si>
  <si>
    <t>01.04.030.000</t>
  </si>
  <si>
    <t>Карбюратор бензопилы Stihl MS 180 "LUXUPART"</t>
  </si>
  <si>
    <t>https://b2beez.ru/images/detailed/47/orig_rnjl-rx.jpg</t>
  </si>
  <si>
    <t>01.04.034.000</t>
  </si>
  <si>
    <t>Картер бензопилы Stihl MS 180 (в сборе) "BRAIT"</t>
  </si>
  <si>
    <t>https://b2beez.ru/images/detailed/47/orig_qjjf-kf.jpg</t>
  </si>
  <si>
    <t>S-7396</t>
  </si>
  <si>
    <t>Коленвал бензопилы Stihl MS 180 (p-10) (под сепаратор 14mm) "KOMATCU"</t>
  </si>
  <si>
    <t>https://b2beez.ru/images/detailed/182/orig_ji2f-hb.jpg</t>
  </si>
  <si>
    <t>D-3352</t>
  </si>
  <si>
    <t>Крышка защиты ведущей звезды бензопилы Stihl MS 180 "BEST"</t>
  </si>
  <si>
    <t>https://b2beez.ru/images/detailed/159/orig_b405-ya.jpg</t>
  </si>
  <si>
    <t>S-5166</t>
  </si>
  <si>
    <t>Патрубок масляный бензопилы Stihl MS 180 "SUNDY"</t>
  </si>
  <si>
    <t>https://b2beez.ru/images/detailed/181/6141443239.jpg</t>
  </si>
  <si>
    <t>P-6497</t>
  </si>
  <si>
    <t>Поддон цилиндра бензопилы Partner P350 "KOMATCU" (mod.A)</t>
  </si>
  <si>
    <t>https://b2beez.ru/images/detailed/175/6417447572.jpg</t>
  </si>
  <si>
    <t>P-7891</t>
  </si>
  <si>
    <t>Подкачка топлива (праймер) бензопилы Partner P350 EVO</t>
  </si>
  <si>
    <t>https://b2beez.ru/images/detailed/175/orig_oumc-de.jpg</t>
  </si>
  <si>
    <t>G-2237</t>
  </si>
  <si>
    <t>Поршневая китайской бензопилы (ЦПГ) 58см3 (Ø45,2) "BEEZMOTO"</t>
  </si>
  <si>
    <t>https://b2beez.ru/images/detailed/162/orig.jpg</t>
  </si>
  <si>
    <t>05.001.00149</t>
  </si>
  <si>
    <t>Поршневая бензопилы (ЦПГ) Husqvarna 137 (Ø38) (премиум качество) "Chrome"</t>
  </si>
  <si>
    <t>https://b2beez.ru/images/detailed/48/orig_dnt3-ei.jpg</t>
  </si>
  <si>
    <t>P-2195</t>
  </si>
  <si>
    <t>Поршневая бензопилы (ЦПГ) Husqvarna 455/455E/440E, Rancher 460 (Ø47mm) "BEEZMOTO"</t>
  </si>
  <si>
    <t>https://b2beez.ru/images/detailed/173/orig_xrff-ww.jpg</t>
  </si>
  <si>
    <t>S-5181</t>
  </si>
  <si>
    <t>Поршневая бензопилы (ЦПГ) Stihl MS 230 (Ø40) (черная) "BEST" (mod.A)</t>
  </si>
  <si>
    <t>https://b2beez.ru/images/detailed/181/orig_3pzq-vn.jpg</t>
  </si>
  <si>
    <t>S-618</t>
  </si>
  <si>
    <t>Поршневая бензопилы (ЦПГ) Stihl MS 361 (Ø47) (черная) "CP"</t>
  </si>
  <si>
    <t>https://b2beez.ru/images/detailed/181/orig_yv6b-wl.jpg</t>
  </si>
  <si>
    <t>P-8159</t>
  </si>
  <si>
    <t>Привод маслонасоса бензопилы Partner P350 (вал) "WOODMAN"</t>
  </si>
  <si>
    <t>https://b2beez.ru/images/detailed/175/orig_u1e9-pf.jpg</t>
  </si>
  <si>
    <t>D-3358</t>
  </si>
  <si>
    <t>Прокладки карбюратора бензопилы Stihl MS 180 "BEEZMOTO"</t>
  </si>
  <si>
    <t>https://b2beez.ru/images/detailed/159/orig_k087-bj.jpg</t>
  </si>
  <si>
    <t>G-1943</t>
  </si>
  <si>
    <t>Прокладки бензопилы (набор) Goodluck GL 2400 "WOODMAN"</t>
  </si>
  <si>
    <t>https://b2beez.ru/images/detailed/161/6286958899.jpg</t>
  </si>
  <si>
    <t>H-961</t>
  </si>
  <si>
    <t>Ремкомплект карбюратора бензопилы Husqvarna 350 (полный) "EVO"</t>
  </si>
  <si>
    <t>https://b2beez.ru/images/detailed/165/orig_32gh-i3.jpg</t>
  </si>
  <si>
    <t>S-3940</t>
  </si>
  <si>
    <t>Ремкомплект карбюратора бензопилы Stihl MS 361 (полный) "ZUNA"</t>
  </si>
  <si>
    <t>https://b2beez.ru/images/detailed/181/orig_3ao5-ds.jpg</t>
  </si>
  <si>
    <t>S-6947</t>
  </si>
  <si>
    <t>Рукоятка передняя бензопилы Stihl MS 180 "WOODMAN"</t>
  </si>
  <si>
    <t>https://b2beez.ru/images/detailed/182/orig_2a8x-e3.jpg</t>
  </si>
  <si>
    <t>G-2938</t>
  </si>
  <si>
    <t>Рукоятка задняя (в сборе) бензопилы Goodluck GL4500/5200 "BEEZMOTO"</t>
  </si>
  <si>
    <t>https://b2beez.ru/images/detailed/162/6741833660.jpg</t>
  </si>
  <si>
    <t>H-971</t>
  </si>
  <si>
    <t>Рычаг тормоза ручного бензопилы Husqvarna 137/142 "BEEZMOTO"</t>
  </si>
  <si>
    <t>https://b2beez.ru/images/detailed/165/orig_dca8-4w.jpg</t>
  </si>
  <si>
    <t>S-6951</t>
  </si>
  <si>
    <t>Сальники коленвала (пара) бензопилы Stihl MS 260-361 "SUNDY"</t>
  </si>
  <si>
    <t>https://b2beez.ru/images/detailed/182/6832394261.jpg</t>
  </si>
  <si>
    <t>H-1073</t>
  </si>
  <si>
    <t>Сепаратор верхней головки шатуна бензопилы Husqvarna 345/350/351/353 "WOODMAN"</t>
  </si>
  <si>
    <t>https://b2beez.ru/images/detailed/163/6286958891.jpg</t>
  </si>
  <si>
    <t>S-5059</t>
  </si>
  <si>
    <t>Собачка катушки стартера бензопилы Stihl MS 180/210/230/250/260/280/290/361/440/660 "BEEZMOTO"</t>
  </si>
  <si>
    <t>https://b2beez.ru/images/detailed/181/orig_jefb-2r.jpg</t>
  </si>
  <si>
    <t>G-725</t>
  </si>
  <si>
    <t>Собачка храповика стартера бензопилы Goodluck GL4500/5200 FORESTER</t>
  </si>
  <si>
    <t>https://b2beez.ru/images/detailed/162/orig_86vj-9j.jpg</t>
  </si>
  <si>
    <t>D-3376</t>
  </si>
  <si>
    <t>Стартер (в сборе) бензопилы Goodluck GL 3800 (4 зацепа) "BEST"</t>
  </si>
  <si>
    <t>https://b2beez.ru/images/detailed/159/orig_pz0w-a3.jpg</t>
  </si>
  <si>
    <t>G-2951</t>
  </si>
  <si>
    <t>Стартер (в сборе) бензопилы Goodluck GL 4500/5200 (2 зацепа) "BEST" (mod.A)</t>
  </si>
  <si>
    <t>https://b2beez.ru/images/detailed/162/6734070915.jpg</t>
  </si>
  <si>
    <t>01.04.134.000</t>
  </si>
  <si>
    <t>Стартер (в сборе) бензопилы Stihl MS 230/250 (2 зацепа) "BRAIT"</t>
  </si>
  <si>
    <t>https://b2beez.ru/images/detailed/47/orig_ze8s-79.jpg</t>
  </si>
  <si>
    <t>P-4106</t>
  </si>
  <si>
    <t>Цепь пильная 3/8, 1.3mm, 56зв, RS, под шину 16" (40см) Partner 350-401 "STL" original</t>
  </si>
  <si>
    <t>https://b2beez.ru/images/detailed/204/P-4106.jpg</t>
  </si>
  <si>
    <t>C-733</t>
  </si>
  <si>
    <t>Цепь пильная 3/8, 1.3mm, 57зв, RS, под шину 16" (40,5см) Partner 350-401 "BEEZMOTO"</t>
  </si>
  <si>
    <t>https://b2beez.ru/images/detailed/156/orig_2rfk-fw.jpg</t>
  </si>
  <si>
    <t>S-7457</t>
  </si>
  <si>
    <t>Цепь пильная 3/8, 1.3mm, 58зв, RS, под шину 16" (40см) Stihl 180-250 "BEEZMOTO"</t>
  </si>
  <si>
    <t>https://b2beez.ru/images/detailed/182/orig_asr5-7c.jpg</t>
  </si>
  <si>
    <t>D-3282</t>
  </si>
  <si>
    <t>Цепь пильная 3/8, 1.5mm, 66зв, RS, под шину 16" (40см) Husqvarna 340/345 "BEEZMOTO"</t>
  </si>
  <si>
    <t>https://b2beez.ru/images/detailed/158/orig_qnew-tv.jpg</t>
  </si>
  <si>
    <t>S-7458</t>
  </si>
  <si>
    <t>Цепь пильная 3/8, 1.6mm, 68зв, RS, под шину 18" (45см) "BEEZMOTO"</t>
  </si>
  <si>
    <t>https://b2beez.ru/images/detailed/182/orig_x2l2-it.jpg</t>
  </si>
  <si>
    <t>H-1021</t>
  </si>
  <si>
    <t>Цепь пильная 325, 1.5mm, 76зв, серп, под шину 20" (50см) "BEEZMOTO"</t>
  </si>
  <si>
    <t>https://b2beez.ru/images/detailed/163/orig_r4vn-mx.jpg</t>
  </si>
  <si>
    <t>H-783</t>
  </si>
  <si>
    <t>Цепь пильная 325, 1.5mm, 76зв, RS, под шину 20" (50см) "BEEZMOTO"</t>
  </si>
  <si>
    <t>https://b2beez.ru/images/detailed/164/orig_gspe-av.jpg</t>
  </si>
  <si>
    <t>S-3210</t>
  </si>
  <si>
    <t>Шина для бензопилы 13" 1,5mm, 0.325, 56зв, D196 "HaoYu"</t>
  </si>
  <si>
    <t>https://b2beez.ru/images/detailed/180/orig_u0lr-8r.jpg</t>
  </si>
  <si>
    <t>U-152</t>
  </si>
  <si>
    <t>Шина для бензопилы 16" 1,1mm, 3/8, 56/57зв, D176 "BEEZMOTO"</t>
  </si>
  <si>
    <t>https://b2beez.ru/images/detailed/183/orig_hiic-yd.jpg</t>
  </si>
  <si>
    <t>S-5098</t>
  </si>
  <si>
    <t>Шкив стартера (храповик) бензопилы Stihl MS 440 "BEST" (mod.A)</t>
  </si>
  <si>
    <t>https://b2beez.ru/images/detailed/181/orig_74vw-38.jpg</t>
  </si>
  <si>
    <t>G-1493</t>
  </si>
  <si>
    <t>Шланг топливный бензопилы Goodluck GL4500/5200 "BEEZMOTO"</t>
  </si>
  <si>
    <t>https://b2beez.ru/images/detailed/161/orig_6tb9-un.jpg</t>
  </si>
  <si>
    <t>G-2979</t>
  </si>
  <si>
    <t>Шпильки шины (пара) для китайской бензопилы (+гайки) 4500/5200 "BEEZMOTO"</t>
  </si>
  <si>
    <t>https://b2beez.ru/images/detailed/162/7062960893.jpg</t>
  </si>
  <si>
    <t>01.03.179.000</t>
  </si>
  <si>
    <t>Фильтр воздушный бензопилы Partner P350/351 (элемент) "BRAIT"</t>
  </si>
  <si>
    <t>https://b2beez.ru/images/detailed/47/orig_f4mp-fy.jpg</t>
  </si>
  <si>
    <t>A-1938</t>
  </si>
  <si>
    <t>Амортизатор бензопилы Husqvarna 137/142 (нижний) x10шт "BEEZMOTO"</t>
  </si>
  <si>
    <t>https://b2beez.ru/images/detailed/153/6741799378.jpg</t>
  </si>
  <si>
    <t>S-9321</t>
  </si>
  <si>
    <t>Поршневая бензопилы (ЦПГ) Stihl MS 380 (Ø52) (черная) "CP"</t>
  </si>
  <si>
    <t>https://b2beez.ru/images/detailed/182/orig_glua-n2.jpg</t>
  </si>
  <si>
    <t>S-3273</t>
  </si>
  <si>
    <t>Сепаратор верхней головки шатуна Husqvarna 345/350 "BEST"</t>
  </si>
  <si>
    <t>https://b2beez.ru/images/detailed/180/6455852981.jpg</t>
  </si>
  <si>
    <t>G-1935</t>
  </si>
  <si>
    <t>Тормоз ручной бензопилы (в сборе) GOODLUCK GL 2400</t>
  </si>
  <si>
    <t>https://b2beez.ru/images/detailed/161/6141443619.jpg</t>
  </si>
  <si>
    <t>C-0494</t>
  </si>
  <si>
    <t>Цепь пильная 3/8, 1.3mm, 56зв, серп, под шину 16" (40см) Partner 350-401 "BEEZMOTO"</t>
  </si>
  <si>
    <t>https://b2beez.ru/images/detailed/154/orig_38sl-4l.jpg</t>
  </si>
  <si>
    <t>C-3359</t>
  </si>
  <si>
    <t>Цепь пильная 3/8, 1.6mm, 60зв, RS, под шину 16" (40см) Stihl 360 "SUNDY"</t>
  </si>
  <si>
    <t>https://b2beez.ru/images/detailed/156/orig_1uu9-g6.jpg</t>
  </si>
  <si>
    <t>G-5481</t>
  </si>
  <si>
    <t>Глушитель бензопилы Stihl MS 440 "BEEZMOTO"</t>
  </si>
  <si>
    <t>https://b2beez.ru/images/detailed/162/orig_t77m-42.jpg</t>
  </si>
  <si>
    <t>K-7741</t>
  </si>
  <si>
    <t>Кожух верхний бензопилы Husqvarna 137/142 "BEEZMOTO"</t>
  </si>
  <si>
    <t>https://b2beez.ru/images/detailed/169/6741798406.jpg</t>
  </si>
  <si>
    <t>P-7204</t>
  </si>
  <si>
    <t>Патрубок воздушного фильтра бензопилы Goodluck GL 4500/5200 "BEEZMOTO"</t>
  </si>
  <si>
    <t>https://b2beez.ru/images/detailed/175/orig_7rzf-y5.jpg</t>
  </si>
  <si>
    <t>P-9629</t>
  </si>
  <si>
    <t>Поршень бензопилы Husqvarna 236/240 (Ø39,00) "BEEZMOTO"</t>
  </si>
  <si>
    <t>https://b2beez.ru/images/detailed/175/6741725135.jpg</t>
  </si>
  <si>
    <t>P-6963</t>
  </si>
  <si>
    <t>Привод маслонасоса бензопилы Husqvarna 365 "BEEZMOTO"</t>
  </si>
  <si>
    <t>https://b2beez.ru/images/detailed/175/6741724003.jpg</t>
  </si>
  <si>
    <t>S-5605</t>
  </si>
  <si>
    <t>Сепаратор верхней головки шатуна бензопилы Partner P350 "BEEZMOTO"</t>
  </si>
  <si>
    <t>https://b2beez.ru/images/detailed/181/6741726206.jpg</t>
  </si>
  <si>
    <t>E-2574</t>
  </si>
  <si>
    <t>Элемент воздушного фильтра бензопилы Husqvarna 235/236/240 (войлок) (D/L) "BEEZMOTO"</t>
  </si>
  <si>
    <t>https://b2beez.ru/images/detailed/160/6741725768.jpg</t>
  </si>
  <si>
    <t>G-5481-U1</t>
  </si>
  <si>
    <t>Глушитель бензопилы Stihl MS 440 "BEEZMOTO"(Не комплект)</t>
  </si>
  <si>
    <t>01.06.006.012</t>
  </si>
  <si>
    <t>Цепь пильная 325, 1.3mm, 76зв, серп, под шину 20" Husqvarna 257/254 "BRAIT"</t>
  </si>
  <si>
    <t>https://b2beez.ru/images/detailed/47/orig_5uk5-vu.jpg</t>
  </si>
  <si>
    <t>C-784</t>
  </si>
  <si>
    <t>Цепь пильная 325, 1.3mm, 64зв, RS, под шину 15" (37см) Husqvarna 137/138/140/142 "STL" original</t>
  </si>
  <si>
    <t>https://b2beez.ru/images/detailed/204/C-784.jpg</t>
  </si>
  <si>
    <t>C-785</t>
  </si>
  <si>
    <t>Цепь пильная 325, 1.3mm, 66зв, RS, под шину 16" (40см) Husqvarna 340/345 "STL" original</t>
  </si>
  <si>
    <t>https://b2beez.ru/images/detailed/204/C-785.jpg</t>
  </si>
  <si>
    <t>C-789</t>
  </si>
  <si>
    <t>Цепь пильная 3/8, 1.3mm, 57зв, RS, под шину 16" (40,5см) Partner 350-401 "STL" original</t>
  </si>
  <si>
    <t>S-1816</t>
  </si>
  <si>
    <t>Подшипник коленвала бензопилы 6002-ZZ 15*32*8 (Stihl MS 180/240)</t>
  </si>
  <si>
    <t>https://b2beez.ru/images/detailed/179/6141443462.jpg</t>
  </si>
  <si>
    <t>G-1515-U2</t>
  </si>
  <si>
    <t>Шина для бензопилы 18" 1,5mm, 0.325, 72зв, D176 "GDLK" (Царапины+потёртости)</t>
  </si>
  <si>
    <t>01.04.151.000</t>
  </si>
  <si>
    <t>Элемент воздушного фильтра бензопилы Stihl MS 230/250 "SUNDY"</t>
  </si>
  <si>
    <t>https://b2beez.ru/images/detailed/47/orig_susc-py.jpg</t>
  </si>
  <si>
    <t>05.001.00101</t>
  </si>
  <si>
    <t>Поршневая бензопилы (ЦПГ) Husqvarna 142 (Ø40) (премиум качество) "Chrome"</t>
  </si>
  <si>
    <t>https://b2beez.ru/images/detailed/48/6157087647.jpg</t>
  </si>
  <si>
    <t>05.001.00032</t>
  </si>
  <si>
    <t>Поршневая бензопилы (ЦПГ) Husqvarna 236 (Ø39) (черная, премиум качество) "Cylinder Kit"</t>
  </si>
  <si>
    <t>https://b2beez.ru/images/detailed/48/6157087451.jpg</t>
  </si>
  <si>
    <t>05.001.00102</t>
  </si>
  <si>
    <t>Поршневая бензопилы (ЦПГ) Husqvarna 445 (Ø42) (премиум качество) "Chrome"</t>
  </si>
  <si>
    <t>https://b2beez.ru/images/detailed/48/orig_x6ll-35.jpg</t>
  </si>
  <si>
    <t>U-271</t>
  </si>
  <si>
    <t>Шина для бензопилы 13" 1,3mm, 0,325, 56зв, K095 "BEEZMOTO"</t>
  </si>
  <si>
    <t>https://b2beez.ru/images/detailed/184/orig_vqw2-if.jpg</t>
  </si>
  <si>
    <t>P-6471</t>
  </si>
  <si>
    <t>Шина для бензопилы 16" 1,3 mm, 13/40, 67зв, D024 "BEEZMOTO"</t>
  </si>
  <si>
    <t>https://b2beez.ru/images/detailed/175/orig_nsdw-v6.jpg</t>
  </si>
  <si>
    <t>H-173</t>
  </si>
  <si>
    <t>Элемент воздушного фильтра бензопилы Husqvarna 137/142 "BEEZMOTO"</t>
  </si>
  <si>
    <t>https://b2beez.ru/images/detailed/163/orig_w4wv-dk.jpg</t>
  </si>
  <si>
    <t>K-9953</t>
  </si>
  <si>
    <t>Карбюратор бензопилы Goodluck GL4500/5200/6200 "BEEZMOTO"</t>
  </si>
  <si>
    <t>https://b2beez.ru/images/detailed/169/7095578287.jpg</t>
  </si>
  <si>
    <t>K-9954</t>
  </si>
  <si>
    <t>Карбюратор бензопилы Goodluck GL4500/5200 "BEEZMOTO"</t>
  </si>
  <si>
    <t>https://b2beez.ru/images/detailed/169/7095566665.jpg</t>
  </si>
  <si>
    <t>T-6491</t>
  </si>
  <si>
    <t>Тарелка сцепления бензопилы (звезда ведущая) Goodluck GL4500/5200 (+сепаратор, стопор) "SUNDY"</t>
  </si>
  <si>
    <t>https://b2beez.ru/images/detailed/183/orig_04ux-34.jpg</t>
  </si>
  <si>
    <t>T-5905</t>
  </si>
  <si>
    <t>Тарелка сцепления бензопилы (звезда ведущая) Stihl MS 170/180 (7 зуб) (+сепаратор, шайба, стопор) "BEEZMOTO"</t>
  </si>
  <si>
    <t>https://b2beez.ru/images/detailed/183/7061780992.jpg</t>
  </si>
  <si>
    <t>K-8163</t>
  </si>
  <si>
    <t>Корпус воздушного фильтра бензопилы Partner 350 "BEEZMOTO"</t>
  </si>
  <si>
    <t>https://b2beez.ru/images/detailed/169/orig_y33i-8j.jpg</t>
  </si>
  <si>
    <t>U-0610</t>
  </si>
  <si>
    <t>Упор зубчатый (гребенка) бензопилы Stihl 180 6 зубов "SDTW"</t>
  </si>
  <si>
    <t>https://b2beez.ru/images/detailed/183/orig_ljhc-9z.jpg</t>
  </si>
  <si>
    <t>F-1346</t>
  </si>
  <si>
    <t>Фильтр масляный бензопилы Goodluck 4500/5200 "SDTW"</t>
  </si>
  <si>
    <t>https://b2beez.ru/images/detailed/160/orig_7cj2-uj.jpg</t>
  </si>
  <si>
    <t>H-0103</t>
  </si>
  <si>
    <t>Крышка бака топливного бензопилы Husqvarna 137/142 "BRAIT" mod:B</t>
  </si>
  <si>
    <t>https://b2beez.ru/images/detailed/162/orig_rj43-95.jpg</t>
  </si>
  <si>
    <t>S-628</t>
  </si>
  <si>
    <t>Поршневая бензопилы (ЦПГ) Stihl MS 310 (Ø47) "CP"</t>
  </si>
  <si>
    <t>https://b2beez.ru/images/detailed/182/orig_ooxa-13.jpg</t>
  </si>
  <si>
    <t>M-670</t>
  </si>
  <si>
    <t>Фильтр топливный бензопилы ДАНИЛО-43 "BEST" (mod:A)</t>
  </si>
  <si>
    <t>https://b2beez.ru/images/detailed/170/orig_3vsz-ss.jpg</t>
  </si>
  <si>
    <t>S-3355</t>
  </si>
  <si>
    <t>Амортизатор бензопилы Stihl MS 340/360/440/460/461/640/650/660, TS 400 "BEEZMOTO"</t>
  </si>
  <si>
    <t>https://b2beez.ru/images/detailed/204/S-3355-2_qj4m-x0.jpg</t>
  </si>
  <si>
    <t>D-3139</t>
  </si>
  <si>
    <t>Напильник бензопильный Ø5,0mm (3 шт) #OR "BEST"</t>
  </si>
  <si>
    <t>https://b2beez.ru/images/detailed/158/6450683326.jpg</t>
  </si>
  <si>
    <t>D-3141</t>
  </si>
  <si>
    <t>Напильник бензопильный Ø5,2mm (13/64, 6 шт) "PFERD"</t>
  </si>
  <si>
    <t>https://b2beez.ru/images/detailed/158/orig_iq5b-5c.jpg</t>
  </si>
  <si>
    <t>D-3310</t>
  </si>
  <si>
    <t>Чехол шины пильной 12-16" (40см) (оранжевый, пластмассовый) "BEEZMOTO"</t>
  </si>
  <si>
    <t>https://b2beez.ru/images/detailed/158/orig_51d4-3h.jpg</t>
  </si>
  <si>
    <t>D-3362</t>
  </si>
  <si>
    <t>Напильник бензопильный Ø4,0mm "BEST" (mod.2)</t>
  </si>
  <si>
    <t>https://b2beez.ru/images/detailed/159/6259140844.jpg</t>
  </si>
  <si>
    <t>D-3363</t>
  </si>
  <si>
    <t>Напильник бензопильный Ø4,8mm "BEST"</t>
  </si>
  <si>
    <t>https://b2beez.ru/images/detailed/159/6450681339.jpg</t>
  </si>
  <si>
    <t>D-3365</t>
  </si>
  <si>
    <t>https://b2beez.ru/images/detailed/159/orig_0rec-ii.jpg</t>
  </si>
  <si>
    <t>D-3367</t>
  </si>
  <si>
    <t>Планка для напильника бензопильного Ø4,0мм "BEST"</t>
  </si>
  <si>
    <t>https://b2beez.ru/images/detailed/159/orig_agkz-0j.jpg</t>
  </si>
  <si>
    <t>D-3370</t>
  </si>
  <si>
    <t>Напильник бензопильный Ø4,8mm (+планка,ручка) "BEST"</t>
  </si>
  <si>
    <t>https://b2beez.ru/images/detailed/159/orig_w0xb-o7.jpg</t>
  </si>
  <si>
    <t>I-10</t>
  </si>
  <si>
    <t>Напильник бензопильный Ø4,0mm (3 шт) "HARVEST"</t>
  </si>
  <si>
    <t>https://b2beez.ru/images/detailed/165/6463583195.jpg</t>
  </si>
  <si>
    <t>I-11</t>
  </si>
  <si>
    <t>Напильник бензопильный Ø4,0mm (5/32, 3 шт) "ORN"</t>
  </si>
  <si>
    <t>https://b2beez.ru/images/detailed/165/orig_mob7-of.jpg</t>
  </si>
  <si>
    <t>I-14</t>
  </si>
  <si>
    <t>Напильник бензопильный Ø4,0mm (3 шт) "SAFELY"</t>
  </si>
  <si>
    <t>https://b2beez.ru/images/detailed/165/orig_yxu5-so.jpg</t>
  </si>
  <si>
    <t>I-15</t>
  </si>
  <si>
    <t>Напильник бензопильный Ø4,0mm (+планка ручка) "SAFELY"</t>
  </si>
  <si>
    <t>https://b2beez.ru/images/detailed/165/orig_s8qb-d5.jpg</t>
  </si>
  <si>
    <t>I-18</t>
  </si>
  <si>
    <t>Напильник бензопильный Ø4,0mm (3 шт) "TEOCMEC"</t>
  </si>
  <si>
    <t>https://b2beez.ru/images/detailed/165/6463585824.jpg</t>
  </si>
  <si>
    <t>I-22</t>
  </si>
  <si>
    <t>Напильник бензопильный Ø4,8mm (3 шт) "HARVEST"</t>
  </si>
  <si>
    <t>https://b2beez.ru/images/detailed/165/6463587029.jpg</t>
  </si>
  <si>
    <t>I-23</t>
  </si>
  <si>
    <t>Напильник бензопильный Ø4,8mm (3 шт) "ORN"</t>
  </si>
  <si>
    <t>https://b2beez.ru/images/detailed/165/6463587755.jpg</t>
  </si>
  <si>
    <t>I-26</t>
  </si>
  <si>
    <t>Напильник бензопильный Ø4,8mm (3 шт) "SAFELY"</t>
  </si>
  <si>
    <t>https://b2beez.ru/images/detailed/165/6463589050.jpg</t>
  </si>
  <si>
    <t>I-28</t>
  </si>
  <si>
    <t>Напильник бензопильный Ø4,8mm (6 шт) "STL"</t>
  </si>
  <si>
    <t>https://b2beez.ru/images/detailed/165/orig_jp2r-ry.jpg</t>
  </si>
  <si>
    <t>I-34</t>
  </si>
  <si>
    <t>Напильник бензопильный Ø5,2mm (3 шт) "ORN"</t>
  </si>
  <si>
    <t>https://b2beez.ru/images/detailed/165/orig_jhzv-le.jpg</t>
  </si>
  <si>
    <t>I-44</t>
  </si>
  <si>
    <t>Напильник бензопильный Ø5,5mm "BAHCO"</t>
  </si>
  <si>
    <t>https://b2beez.ru/images/detailed/165/orig_bkgx-23.jpg</t>
  </si>
  <si>
    <t>I-51</t>
  </si>
  <si>
    <t>Напильник бензопильный Ø5,5mm "STL"</t>
  </si>
  <si>
    <t>https://b2beez.ru/images/detailed/165/orig_ylin-7f.jpg</t>
  </si>
  <si>
    <t>I-590</t>
  </si>
  <si>
    <t>Напильник бензопильный Ø5,0mm (3/16) "STL"</t>
  </si>
  <si>
    <t>https://b2beez.ru/images/detailed/165/orig_b1u1-h5.jpg</t>
  </si>
  <si>
    <t>I-596</t>
  </si>
  <si>
    <t>Напильник бензопильный Ø5,0mm (3 шт) #OR "FORESTER"</t>
  </si>
  <si>
    <t>https://b2beez.ru/images/detailed/165/6450681555.jpg</t>
  </si>
  <si>
    <t>I-687</t>
  </si>
  <si>
    <t>Напильник бензопильный Ø4,8mm (3/16, 6 шт) "ZUNA"</t>
  </si>
  <si>
    <t>https://b2beez.ru/images/detailed/165/orig_ndx3-7h.jpg</t>
  </si>
  <si>
    <t>I-787</t>
  </si>
  <si>
    <t>Планка для напильника бензопильного Ø4,0mm "MANLE"</t>
  </si>
  <si>
    <t>https://b2beez.ru/images/detailed/165/6450681293.jpg</t>
  </si>
  <si>
    <t>D-3133</t>
  </si>
  <si>
    <t>Напильник бензопильный Ø4,0mm (3 шт) "BEST" (mod.1)</t>
  </si>
  <si>
    <t>https://b2beez.ru/images/detailed/158/orig_u2vt-zj.jpg</t>
  </si>
  <si>
    <t>D-3135</t>
  </si>
  <si>
    <t>Напильник бензопильный Ø4,5mm (11/64, 12 шт) "STL"</t>
  </si>
  <si>
    <t>https://b2beez.ru/images/detailed/158/orig_kk8m-je.jpg</t>
  </si>
  <si>
    <t>D-3137</t>
  </si>
  <si>
    <t>Напильник бензопильный Ø4,8mm (12 шт)  #OR "BEST"</t>
  </si>
  <si>
    <t>https://b2beez.ru/images/detailed/158/orig_hyy6-bh.jpg</t>
  </si>
  <si>
    <t>D-3143</t>
  </si>
  <si>
    <t>Напильник бензопильный Ø5,5mm #OR "BEST"</t>
  </si>
  <si>
    <t>https://b2beez.ru/images/detailed/158/orig_qz03-v9.jpg</t>
  </si>
  <si>
    <t>D-3368</t>
  </si>
  <si>
    <t>Планка для напильника бензопильного Ø4,8мм "BEST"</t>
  </si>
  <si>
    <t>https://b2beez.ru/images/detailed/159/orig_rutf-mb.jpg</t>
  </si>
  <si>
    <t>I-24</t>
  </si>
  <si>
    <t>Напильник бензопильный Ø4,8mm (6 шт) "PERED"</t>
  </si>
  <si>
    <t>https://b2beez.ru/images/detailed/165/orig_956a-o5.jpg</t>
  </si>
  <si>
    <t>I-33</t>
  </si>
  <si>
    <t>Напильник бензопильный Ø5,2mm (3 шт) "HARVEST"</t>
  </si>
  <si>
    <t>https://b2beez.ru/images/detailed/165/orig_lewy-p2.jpg</t>
  </si>
  <si>
    <t>I-35</t>
  </si>
  <si>
    <t>Напильник бензопильный Ø5,2mm (6 шт) "PERED"</t>
  </si>
  <si>
    <t>https://b2beez.ru/images/detailed/165/orig_abxq-49.jpg</t>
  </si>
  <si>
    <t>I-37</t>
  </si>
  <si>
    <t>Напильник бензопильный Ø5,2mm (3 шт) "SAFELY"</t>
  </si>
  <si>
    <t>https://b2beez.ru/images/detailed/165/orig_xacs-x4.jpg</t>
  </si>
  <si>
    <t>I-41</t>
  </si>
  <si>
    <t>Напильник бензопильный Ø5,2mm (3 шт) "TEOCMEC"</t>
  </si>
  <si>
    <t>https://b2beez.ru/images/detailed/165/orig_tb2j-ik.jpg</t>
  </si>
  <si>
    <t>I-42</t>
  </si>
  <si>
    <t>Напильник бензопильный Ø5,2mm "TIMBER SAVAGE"</t>
  </si>
  <si>
    <t>https://b2beez.ru/images/detailed/165/6259140827.jpg</t>
  </si>
  <si>
    <t>I-45</t>
  </si>
  <si>
    <t>Напильник бензопильный Ø5,5mm "HARVEST"</t>
  </si>
  <si>
    <t>https://b2beez.ru/images/detailed/165/orig_a330-hx.jpg</t>
  </si>
  <si>
    <t>I-46</t>
  </si>
  <si>
    <t>Напильник бензопильный Ø5,5mm (7/32) "ORN"</t>
  </si>
  <si>
    <t>https://b2beez.ru/images/detailed/165/orig_siwn-b7.jpg</t>
  </si>
  <si>
    <t>I-47</t>
  </si>
  <si>
    <t>Напильник бензопильный Ø5,5mm "PERED"</t>
  </si>
  <si>
    <t>https://b2beez.ru/images/detailed/165/orig_2qve-hd.jpg</t>
  </si>
  <si>
    <t>I-49</t>
  </si>
  <si>
    <t>Напильник бензопильный Ø5,5mm (3 шт) "SAFELY"</t>
  </si>
  <si>
    <t>https://b2beez.ru/images/detailed/165/orig_bj7p-sn.jpg</t>
  </si>
  <si>
    <t>I-52</t>
  </si>
  <si>
    <t>Напильник бензопильный Ø5,5mm (7/32, 3шт) "ORN"</t>
  </si>
  <si>
    <t>https://b2beez.ru/images/detailed/165/orig_nw92-bg.jpg</t>
  </si>
  <si>
    <t>I-53</t>
  </si>
  <si>
    <t>Напильник бензопильный Ø5,5mm "TIMBER SAVAGE"</t>
  </si>
  <si>
    <t>https://b2beez.ru/images/detailed/165/6259140827_v1ax-2p.jpg</t>
  </si>
  <si>
    <t>I-57</t>
  </si>
  <si>
    <t>Планка для калибровки цепи пильной</t>
  </si>
  <si>
    <t>https://b2beez.ru/images/detailed/165/6474467536.jpg</t>
  </si>
  <si>
    <t>I-588</t>
  </si>
  <si>
    <t>Напильник бензопильный Ø4,5mm (11/64, 3 шт) "STL"</t>
  </si>
  <si>
    <t>https://b2beez.ru/images/detailed/165/orig_xmyy-sg.jpg</t>
  </si>
  <si>
    <t>I-589</t>
  </si>
  <si>
    <t>Напильник бензопильный Ø4,8mm (12 шт) #ST "FORESTER"</t>
  </si>
  <si>
    <t>https://b2beez.ru/images/detailed/165/6259140867.jpg</t>
  </si>
  <si>
    <t>I-592</t>
  </si>
  <si>
    <t>Напильник бензопильный Ø5,5mm (12 шт) #ST "FORESTER"</t>
  </si>
  <si>
    <t>https://b2beez.ru/images/detailed/165/orig_7fmk-3n.jpg</t>
  </si>
  <si>
    <t>I-595</t>
  </si>
  <si>
    <t>Напильник бензопильный Ø4,8mm (3/16, 3 шт) "ORN"</t>
  </si>
  <si>
    <t>https://b2beez.ru/images/detailed/165/orig_ioqd-1o.jpg</t>
  </si>
  <si>
    <t>I-597</t>
  </si>
  <si>
    <t>Напильник бензопильный Ø5,2mm (13/64) "ORN"</t>
  </si>
  <si>
    <t>https://b2beez.ru/images/detailed/165/orig_yida-ek.jpg</t>
  </si>
  <si>
    <t>I-61</t>
  </si>
  <si>
    <t>Планка для напильника бензопильного Ø5,5mm</t>
  </si>
  <si>
    <t>https://b2beez.ru/images/detailed/165/6450681316.jpg</t>
  </si>
  <si>
    <t>C-486</t>
  </si>
  <si>
    <t>Цепь пильная 3/8, 1.3mm, 50зв, серп, под шину 14" (35см) Stihl 180-250 "BEEZMOTO"</t>
  </si>
  <si>
    <t>https://b2beez.ru/images/detailed/156/orig_rxoo-zn.jpg</t>
  </si>
  <si>
    <t>C-493</t>
  </si>
  <si>
    <t>Цепь пильная 3/8, 1.3mm, 56зв, серп, под шину 16" (40см) Partner 350-401 "STL"</t>
  </si>
  <si>
    <t>C-501</t>
  </si>
  <si>
    <t>Цепь пильная 325, 1.3mm, 64зв, RS, под шину 15" (37см) Husqvarna 137/138/140/142 "HAOYU"</t>
  </si>
  <si>
    <t>https://b2beez.ru/images/detailed/156/orig_vhz8-eg.jpg</t>
  </si>
  <si>
    <t>D-3028</t>
  </si>
  <si>
    <t>Кнопка вкл-выкл (СТОП) для триммера, бензокосы, бензопилы "BEST"</t>
  </si>
  <si>
    <t>https://b2beez.ru/images/detailed/158/6782421555.jpg</t>
  </si>
  <si>
    <t>D-3048</t>
  </si>
  <si>
    <t>Звезда бензопилы (венец привода) 325-7 Partner 350/351 "BEST"</t>
  </si>
  <si>
    <t>https://b2beez.ru/images/detailed/158/orig_rpbj-yk.jpg</t>
  </si>
  <si>
    <t>D-3049</t>
  </si>
  <si>
    <t>Звезда бензопилы (венец привода) P-7 (d=17mm) для Stihl MS "BEST"</t>
  </si>
  <si>
    <t>https://b2beez.ru/images/detailed/158/orig_8100-o1.jpg</t>
  </si>
  <si>
    <t>D-3053</t>
  </si>
  <si>
    <t>Карбюратор бензопилы Goodluck GL3800  "BEST" (mod B)</t>
  </si>
  <si>
    <t>https://b2beez.ru/images/detailed/158/orig_f8wd-lm.jpg</t>
  </si>
  <si>
    <t>D-3055</t>
  </si>
  <si>
    <t>Карбюратор бензопилы Husqvarna 137/142 "LUXUPART"</t>
  </si>
  <si>
    <t>https://b2beez.ru/images/detailed/158/orig_rvk5-pt.jpg</t>
  </si>
  <si>
    <t>D-3061</t>
  </si>
  <si>
    <t>Карбюратор бензопилы Stihl MS 380/381 "BEST"</t>
  </si>
  <si>
    <t>https://b2beez.ru/images/detailed/158/orig_0tlt-q6.jpg</t>
  </si>
  <si>
    <t>D-3064</t>
  </si>
  <si>
    <t>Катушка зажигания бензопилы Goodluck 4500/5200 "SUNOY"</t>
  </si>
  <si>
    <t>https://b2beez.ru/images/detailed/158/orig_f184-f6.jpg</t>
  </si>
  <si>
    <t>D-3077</t>
  </si>
  <si>
    <t>Коленвал бензопилы Stihl MS 180 (p-10) (под сепаратор 14mm) "BEEZMOTO"</t>
  </si>
  <si>
    <t>https://b2beez.ru/images/detailed/158/orig_g9i8-q9.jpg</t>
  </si>
  <si>
    <t>D-3081</t>
  </si>
  <si>
    <t>Кольца поршневые китайской бензопилы 38см3 (Ø39mm) "BEST" (1шт)</t>
  </si>
  <si>
    <t>https://b2beez.ru/images/detailed/205/1_isgd-pu.jpg</t>
  </si>
  <si>
    <t>D-3082</t>
  </si>
  <si>
    <t>Кольца поршневые китайской бензопилы 45см3 (Ø43mm) "BEST" (mod.A)</t>
  </si>
  <si>
    <t>https://b2beez.ru/images/detailed/158/6259140758.jpg</t>
  </si>
  <si>
    <t>D-3083</t>
  </si>
  <si>
    <t>Кольца поршневые китайской бензопилы 45см3 (Ø43mm) "BEST" (mod.B)</t>
  </si>
  <si>
    <t>https://b2beez.ru/images/detailed/158/6259140758_sizj-1e.jpg</t>
  </si>
  <si>
    <t>D-3085</t>
  </si>
  <si>
    <t>Кольца поршневые китайской бензопилы 52см3 (Ø45mm) "BEST" (mod.B)</t>
  </si>
  <si>
    <t>https://b2beez.ru/images/detailed/158/6259140758_ucyg-8b.jpg</t>
  </si>
  <si>
    <t>D-3086</t>
  </si>
  <si>
    <t>Кольца поршневые бензопилы Husqvarna 137 (Ø38mm) "BEST" (1шт)</t>
  </si>
  <si>
    <t>D-3087</t>
  </si>
  <si>
    <t>Кольца поршневые бензопилы Husqvarna 142 (Ø40mm) "BEST" (1шт)</t>
  </si>
  <si>
    <t>https://b2beez.ru/images/detailed/158/orig_j2po-3p.jpg</t>
  </si>
  <si>
    <t>D-3088</t>
  </si>
  <si>
    <t>Кольца поршневые бензопилы Husqvarna 236/240 (Ø39mm) "BEST" (1шт)</t>
  </si>
  <si>
    <t>https://b2beez.ru/images/detailed/158/orig_6n6v-da.jpg</t>
  </si>
  <si>
    <t>D-3089</t>
  </si>
  <si>
    <t>Кольца поршневые бензопилы Husqvarna 268 (Ø50mm) "BEST" (1шт)</t>
  </si>
  <si>
    <t>https://b2beez.ru/images/detailed/158/orig_uzql-am.jpg</t>
  </si>
  <si>
    <t>D-3091</t>
  </si>
  <si>
    <t>Кольца поршневые бензопилы Husqvarna 350 (Ø44mm, высокая) "BEST" (1шт)</t>
  </si>
  <si>
    <t>https://b2beez.ru/images/detailed/158/orig_cqza-hf.jpg</t>
  </si>
  <si>
    <t>D-3092</t>
  </si>
  <si>
    <t>Кольца поршневые бензопилы Husqvarna 51 (Ø45mm) "BEST" (1шт)</t>
  </si>
  <si>
    <t>https://b2beez.ru/images/detailed/158/orig_obit-7j.jpg</t>
  </si>
  <si>
    <t>D-3097</t>
  </si>
  <si>
    <t>Крышка бака масляного бензопилы Goodluck GL4500/5200 "BEST"</t>
  </si>
  <si>
    <t>https://b2beez.ru/images/detailed/158/orig_3u3g-0w.jpg</t>
  </si>
  <si>
    <t>D-3101</t>
  </si>
  <si>
    <t>https://b2beez.ru/images/detailed/158/orig_zxp0-ce.jpg</t>
  </si>
  <si>
    <t>D-3114</t>
  </si>
  <si>
    <t>Маслонасос бензопилы Goodluck GL 3800 "BEST"</t>
  </si>
  <si>
    <t>https://b2beez.ru/images/detailed/158/orig_f9zk-g2.jpg</t>
  </si>
  <si>
    <t>D-3117</t>
  </si>
  <si>
    <t>Маслонасос бензопилы Husqvarna 236 "BEST"</t>
  </si>
  <si>
    <t>https://b2beez.ru/images/detailed/158/orig_m88n-ix.jpg</t>
  </si>
  <si>
    <t>D-3126</t>
  </si>
  <si>
    <t>Муфта сцепления бензопилы Husqvarna 268/272 "BEST"</t>
  </si>
  <si>
    <t>https://b2beez.ru/images/detailed/158/6259140879.jpg</t>
  </si>
  <si>
    <t>D-3167</t>
  </si>
  <si>
    <t>Подшипник коленвала бензопилы Partner P350 (+сальник) mod.B "BEST"</t>
  </si>
  <si>
    <t>https://b2beez.ru/images/detailed/158/6141443572.jpg</t>
  </si>
  <si>
    <t>D-3168</t>
  </si>
  <si>
    <t>Подшипник коленвала бензопилы Partner P350 (+сальник) mod.A "BEST"</t>
  </si>
  <si>
    <t>https://b2beez.ru/images/detailed/158/orig_hqge-sn.jpg</t>
  </si>
  <si>
    <t>D-3170</t>
  </si>
  <si>
    <t>Поршень китайской бензопилы 45см3 (Ø43) "BEST"</t>
  </si>
  <si>
    <t>https://b2beez.ru/images/detailed/158/6259140959.jpg</t>
  </si>
  <si>
    <t>D-3173</t>
  </si>
  <si>
    <t>Поршень бензопилы Husqvarna 268 (Ø50,00) "BEST"</t>
  </si>
  <si>
    <t>https://b2beez.ru/images/detailed/158/orig_t1r9-a9.jpg</t>
  </si>
  <si>
    <t>D-3196</t>
  </si>
  <si>
    <t>Поршневая китайской бензопилы (ЦПГ) 38см3 (Ø39) "PC" mod:A</t>
  </si>
  <si>
    <t>https://b2beez.ru/images/detailed/158/orig_1oee-u0.jpg</t>
  </si>
  <si>
    <t>D-3202</t>
  </si>
  <si>
    <t>Прокладки бензопилы (набор) Husqvarna 137 (3шт) "BEST"</t>
  </si>
  <si>
    <t>https://b2beez.ru/images/detailed/158/6362098635.jpg</t>
  </si>
  <si>
    <t>D-3214</t>
  </si>
  <si>
    <t>Пружина стартера бензопилы Husqvarna 137/142 "BEST"</t>
  </si>
  <si>
    <t>https://b2beez.ru/images/detailed/158/6141443109.jpg</t>
  </si>
  <si>
    <t>D-3216</t>
  </si>
  <si>
    <t>Пружина стартера бензопилы Stihl MS 170/180-360/440/460 "BEST"</t>
  </si>
  <si>
    <t>https://b2beez.ru/images/detailed/158/orig_x0ad-oh.jpg</t>
  </si>
  <si>
    <t>D-3219</t>
  </si>
  <si>
    <t>Ремкомплект карбюратора бензопилы Husqvarna 137/142 "BEST"</t>
  </si>
  <si>
    <t>https://b2beez.ru/images/detailed/158/6259140931.jpg</t>
  </si>
  <si>
    <t>D-3223</t>
  </si>
  <si>
    <t>Ремкомплект карбюратора бензопилы Stihl MS 180 "BEST"</t>
  </si>
  <si>
    <t>https://b2beez.ru/images/detailed/158/6259140960.jpg</t>
  </si>
  <si>
    <t>D-3228</t>
  </si>
  <si>
    <t>Сальники коленвала (пара) бензопилы Goodluck GL4500/5200 "BEST"</t>
  </si>
  <si>
    <t>https://b2beez.ru/images/detailed/158/orig_04zm-pv.jpg</t>
  </si>
  <si>
    <t>D-3232</t>
  </si>
  <si>
    <t>Сепаратор тарелки сцепления бензопилы Stihl MS 361,440 "BEST"</t>
  </si>
  <si>
    <t>https://b2beez.ru/images/detailed/158/6141443348.jpg</t>
  </si>
  <si>
    <t>D-3238</t>
  </si>
  <si>
    <t>Стартер (в сборе) бензопилы Goodluck GL 2400 "BEST"</t>
  </si>
  <si>
    <t>https://b2beez.ru/images/detailed/158/6141443466.jpg</t>
  </si>
  <si>
    <t>D-3240</t>
  </si>
  <si>
    <t>Стартер (в сборе) бензопилы Goodluck GL 4500/5200 (4 зацепа) "BEST" (mod.B)</t>
  </si>
  <si>
    <t>https://b2beez.ru/images/detailed/158/6259141072.jpg</t>
  </si>
  <si>
    <t>D-3241</t>
  </si>
  <si>
    <t>Стартер (в сборе) бензопилы Goodluck GL 4500/5200 ("легкий пуск", двойной шкив, 4 зацепа) "WOODMAN"</t>
  </si>
  <si>
    <t>https://b2beez.ru/images/detailed/158/6286958883.jpg</t>
  </si>
  <si>
    <t>D-3242</t>
  </si>
  <si>
    <t>Стартер (в сборе) бензопилы Husqvarna 137/142 "BEST"</t>
  </si>
  <si>
    <t>https://b2beez.ru/images/detailed/158/orig_o21f-ny.jpg</t>
  </si>
  <si>
    <t>D-3251</t>
  </si>
  <si>
    <t>Тарелка сцепления бензопилы (звезда ведущая) Husqvarna 365/372 "BEST"</t>
  </si>
  <si>
    <t>https://b2beez.ru/images/detailed/158/6259141079.jpg</t>
  </si>
  <si>
    <t>D-3254</t>
  </si>
  <si>
    <t>Тарелка сцепления бензопилы (под съемную звезду) Husqvarna 137/142 (+звезда) "BEST"</t>
  </si>
  <si>
    <t>https://b2beez.ru/images/detailed/158/orig_41xe-dq.jpg</t>
  </si>
  <si>
    <t>D-3255</t>
  </si>
  <si>
    <t>Тарелка сцепления бензопилы (под съемную звезду) Partner P350/351 (+звезда) "BEST"</t>
  </si>
  <si>
    <t>https://b2beez.ru/images/detailed/158/orig_0xxr-b6.jpg</t>
  </si>
  <si>
    <t>D-3264</t>
  </si>
  <si>
    <t>Тормоз ручной бензопилы (в сборе) Partner P350 (+натяжитель цепи) "BEST"</t>
  </si>
  <si>
    <t>https://b2beez.ru/images/detailed/158/orig_i6q2-e6.jpg</t>
  </si>
  <si>
    <t>D-3265</t>
  </si>
  <si>
    <t>Тяга дроссельной заслонки бензопилы Goodluck GL4500/5200 "BEST"</t>
  </si>
  <si>
    <t>https://b2beez.ru/images/detailed/158/6259141043.jpg</t>
  </si>
  <si>
    <t>D-3271</t>
  </si>
  <si>
    <t>Цепь пильная 3/8, 1.3mm, 50зв, RS, под шину 14" (35см) Stihl 180-250 "BEEZMOTO"</t>
  </si>
  <si>
    <t>https://b2beez.ru/images/detailed/158/orig_lek4-y9.jpg</t>
  </si>
  <si>
    <t>D-3274</t>
  </si>
  <si>
    <t>Цепь пильная 3/8, 1.3mm, 52зв, RS, под шину 14" (35см) Partner 350-401 "STL" original</t>
  </si>
  <si>
    <t>https://b2beez.ru/images/detailed/204/D-3274.jpg</t>
  </si>
  <si>
    <t>D-3280</t>
  </si>
  <si>
    <t>Цепь пильная 3/8, 1.3mm, 57зв, RS, под шину 16" (40,5см) Partner 350-401 "SUNDY"</t>
  </si>
  <si>
    <t>https://b2beez.ru/images/detailed/158/orig_09l0-hx.jpg</t>
  </si>
  <si>
    <t>D-3283</t>
  </si>
  <si>
    <t>Цепь пильная 3/8, 1.5mm, 68зв, RS, под шину 18" (45см) Husqvarna 365 "BEEZMOTO"</t>
  </si>
  <si>
    <t>https://b2beez.ru/images/detailed/158/orig_mo3o-ht.jpg</t>
  </si>
  <si>
    <t>D-3285</t>
  </si>
  <si>
    <t>Цепь пильная 3/8, 1.6mm, 60зв, RS, под шину 16" (40см) Stihl 360 "BEEZMOTO"</t>
  </si>
  <si>
    <t>https://b2beez.ru/images/detailed/158/orig_a5zk-by.jpg</t>
  </si>
  <si>
    <t>D-3288</t>
  </si>
  <si>
    <t>Цепь пильная 3/8, 1.6mm, 64зв, RS, под шину 17" (43см) "BEST"</t>
  </si>
  <si>
    <t>https://b2beez.ru/images/detailed/158/orig_kb5i-go.jpg</t>
  </si>
  <si>
    <t>D-3290</t>
  </si>
  <si>
    <t>Цепь пильная 3/8, 1.6mm, 68зв, RS, под шину 18" (45см) Husqvarna 365/371/394 "BEEZMOTO"</t>
  </si>
  <si>
    <t>https://b2beez.ru/images/detailed/158/orig_jwzk-ee.jpg</t>
  </si>
  <si>
    <t>D-3303</t>
  </si>
  <si>
    <t>Цепь пильная 325, 1.3mm, 72зв, серп, под шину 18" BR-45/52 "BRAIT"</t>
  </si>
  <si>
    <t>https://b2beez.ru/images/detailed/158/orig_yoeu-d5.jpg</t>
  </si>
  <si>
    <t>D-3328</t>
  </si>
  <si>
    <t>Шина для бензопилы 20" 1,5mm, 0.325, 76зв "BEEZMOTO"</t>
  </si>
  <si>
    <t>https://b2beez.ru/images/detailed/158/orig_r0ia-1g.jpg</t>
  </si>
  <si>
    <t>D-3332</t>
  </si>
  <si>
    <t>Шкив стартера (храповик) бензопилы Stihl MS 180 "BEST"</t>
  </si>
  <si>
    <t>https://b2beez.ru/images/detailed/158/orig_vilx-l5.jpg</t>
  </si>
  <si>
    <t>D-3343</t>
  </si>
  <si>
    <t>Элемент воздушного фильтра китайской бензопилы 38см3 "BEST"</t>
  </si>
  <si>
    <t>https://b2beez.ru/images/detailed/158/orig_mjd6-tx.jpg</t>
  </si>
  <si>
    <t>D-3344</t>
  </si>
  <si>
    <t>Элемент воздушного фильтра китайской бензопилы 45, 52, 58см3 (малый, комплект-2шт) "BEEZMOTO"</t>
  </si>
  <si>
    <t>https://b2beez.ru/images/detailed/159/orig.jpg</t>
  </si>
  <si>
    <t>D-3417</t>
  </si>
  <si>
    <t>Шина для бензопилы 14" 1,3mm, 3/8; 52зв (1 заклепка) "STAHL"</t>
  </si>
  <si>
    <t>https://b2beez.ru/images/detailed/159/orig_xpfv-6r.jpg</t>
  </si>
  <si>
    <t>D-3420</t>
  </si>
  <si>
    <t>Шина для бензопилы 16" 1,6mm, 3/8, 56зв,d176 (4 заклепки) "STAHL"</t>
  </si>
  <si>
    <t>https://b2beez.ru/images/detailed/159/orig_54v4-wb.jpg</t>
  </si>
  <si>
    <t>G-1155</t>
  </si>
  <si>
    <t>Магнето бензопилы Goodluck GL 3800 "FORESTER"</t>
  </si>
  <si>
    <t>https://b2beez.ru/images/detailed/161/orig_b56o-0h.jpg</t>
  </si>
  <si>
    <t>G-1157</t>
  </si>
  <si>
    <t>Маслонасос бензопилы Goodluck GL 3800 "FORESTER"</t>
  </si>
  <si>
    <t>https://b2beez.ru/images/detailed/161/orig_oj05-z5.jpg</t>
  </si>
  <si>
    <t>G-1158</t>
  </si>
  <si>
    <t>Патрубок карбюратора (коллектор) бензопилы Goodluck GL 3800 "FORESTER"</t>
  </si>
  <si>
    <t>https://b2beez.ru/images/detailed/161/6141443259.jpg</t>
  </si>
  <si>
    <t>G-1159</t>
  </si>
  <si>
    <t>Шина для бензопилы 15" 1,5mm, 0.325, 64зв, D196 "GDLK"</t>
  </si>
  <si>
    <t>https://b2beez.ru/images/detailed/161/orig_gvh1-hf.jpg</t>
  </si>
  <si>
    <t>G-1160</t>
  </si>
  <si>
    <t>Шина для бензопилы 18" 1,5mm, 0.325, 72зв, D176 "GDLK"</t>
  </si>
  <si>
    <t>https://b2beez.ru/images/detailed/161/orig_m0w2-9d.jpg</t>
  </si>
  <si>
    <t>G-1161</t>
  </si>
  <si>
    <t>Шина для бензопилы 20" 1,5mm, 0.325, 76зв "GDLK"</t>
  </si>
  <si>
    <t>https://b2beez.ru/images/detailed/161/orig_kk81-an.jpg</t>
  </si>
  <si>
    <t>G-1483</t>
  </si>
  <si>
    <t>Коленвал китайской бензопилы 38см3 (под сепаратор 14mm) "WOODMAN" (mod.C)</t>
  </si>
  <si>
    <t>https://b2beez.ru/images/detailed/161/orig_cwsr-of.jpg</t>
  </si>
  <si>
    <t>G-1485</t>
  </si>
  <si>
    <t>Муфта сцепления бензопилы Goodluck GL 3800 "WOODMAN"</t>
  </si>
  <si>
    <t>https://b2beez.ru/images/detailed/161/6141443388.jpg</t>
  </si>
  <si>
    <t>G-1489</t>
  </si>
  <si>
    <t>Тарелка сцепления бензопилы (под съемную звезду) Goodluck GL3800 (+звезда) "WOODMAN"</t>
  </si>
  <si>
    <t>https://b2beez.ru/images/detailed/161/orig_c2em-ka.jpg</t>
  </si>
  <si>
    <t>G-1490</t>
  </si>
  <si>
    <t>Крышка бака масляного бензопилы Goodluck GL4500/5200 "WOODMAN"</t>
  </si>
  <si>
    <t>https://b2beez.ru/images/detailed/161/6337791039.jpg</t>
  </si>
  <si>
    <t>G-1491</t>
  </si>
  <si>
    <t>Крышка маслянного бака бензопилы Goodluck GL4500/5200 "WOODMAN"</t>
  </si>
  <si>
    <t>https://b2beez.ru/images/detailed/161/orig_abl2-n3.jpg</t>
  </si>
  <si>
    <t>G-1492</t>
  </si>
  <si>
    <t>Демпферные резинки бензопилы Goodluck GL5200 (5шт) "WOODMAN"</t>
  </si>
  <si>
    <t>https://b2beez.ru/images/detailed/161/6141443314.jpg</t>
  </si>
  <si>
    <t>G-1508</t>
  </si>
  <si>
    <t>Звезда бензопилы (венец привода) 325-7 Goodluck GL3800 "OREGON"</t>
  </si>
  <si>
    <t>https://b2beez.ru/images/detailed/161/orig_gmhj-7i.jpg</t>
  </si>
  <si>
    <t>G-1515</t>
  </si>
  <si>
    <t>https://b2beez.ru/images/detailed/161/orig_ev8p-rx.jpg</t>
  </si>
  <si>
    <t>G-1538</t>
  </si>
  <si>
    <t>Собачки храповика стартера бензопилы Goodluck GL4500/5200 (пара) (+пружины, стопорное кольцо) "WOOD"</t>
  </si>
  <si>
    <t>https://b2beez.ru/images/detailed/161/orig_r94w-e5.jpg</t>
  </si>
  <si>
    <t>G-1733</t>
  </si>
  <si>
    <t>Кольца поршневые китайской бензопилы 52см3 (Ø45mm) "HND"</t>
  </si>
  <si>
    <t>https://b2beez.ru/images/detailed/161/6259140780.jpg</t>
  </si>
  <si>
    <t>G-1734</t>
  </si>
  <si>
    <t>Кольца поршневые китайской бензопилы 38см3 (Ø39mm) "HND"</t>
  </si>
  <si>
    <t>https://b2beez.ru/images/detailed/161/6259140737.jpg</t>
  </si>
  <si>
    <t>G-1938</t>
  </si>
  <si>
    <t>Маслонасос бензопилы Goodluck GL 2400</t>
  </si>
  <si>
    <t>https://b2beez.ru/images/detailed/161/orig_eyjy-qr.jpg</t>
  </si>
  <si>
    <t>G-1942</t>
  </si>
  <si>
    <t>Тарелка сцепления бензопилы (звезда ведущая) Goodluck GL2400</t>
  </si>
  <si>
    <t>https://b2beez.ru/images/detailed/161/orig_2ge7-d5.jpg</t>
  </si>
  <si>
    <t>G-2</t>
  </si>
  <si>
    <t>Фильтр топливный бензопилы Goodluck "FORESTER"</t>
  </si>
  <si>
    <t>https://b2beez.ru/images/detailed/161/orig_nzeo-vg.jpg</t>
  </si>
  <si>
    <t>G-20</t>
  </si>
  <si>
    <t>Выключатель китайской бензопилы 45,52, 58см3 (D-10мм) "FORESTER"</t>
  </si>
  <si>
    <t>https://b2beez.ru/images/detailed/161/orig_6f0b-za.jpg</t>
  </si>
  <si>
    <t>G-2004</t>
  </si>
  <si>
    <t>Тарелка сцепления бензопилы (под съемную звезду) Goodluck GL4500/5200 (+звезда, сепаратор) "ZUNA"</t>
  </si>
  <si>
    <t>https://b2beez.ru/images/detailed/161/orig_6q1c-ax.jpg</t>
  </si>
  <si>
    <t>G-2006</t>
  </si>
  <si>
    <t>Тарелка сцепления бензопилы (под съемную звезду) Goodluck GL3800 (+звезда) "ZUNA"</t>
  </si>
  <si>
    <t>https://b2beez.ru/images/detailed/161/orig_abfx-im.jpg</t>
  </si>
  <si>
    <t>G-2007</t>
  </si>
  <si>
    <t>Тарелка сцепления бензопилы (под съемную звезду) Goodluck GL4500/5200 (+звезда) "ZUNA"</t>
  </si>
  <si>
    <t>https://b2beez.ru/images/detailed/161/orig_0bjg-ar.jpg</t>
  </si>
  <si>
    <t>G-2051</t>
  </si>
  <si>
    <t>Карбюратор бензопилы Goodluck GL3800 "MANLE"</t>
  </si>
  <si>
    <t>https://b2beez.ru/images/detailed/161/orig_7kjb-2w.jpg</t>
  </si>
  <si>
    <t>G-2053</t>
  </si>
  <si>
    <t>Карбюратор бензопилы Goodluck GL4500/5200 "ZUNA"</t>
  </si>
  <si>
    <t>https://b2beez.ru/images/detailed/161/orig_boec-u1.jpg</t>
  </si>
  <si>
    <t>G-2055</t>
  </si>
  <si>
    <t>Карбюратор бензопилы Goodluck GL4500/5200 "HORZA"</t>
  </si>
  <si>
    <t>https://b2beez.ru/images/detailed/161/orig_0yvo-0m.jpg</t>
  </si>
  <si>
    <t>G-2057</t>
  </si>
  <si>
    <t>Карбюратор бензопилы Goodluck GL4500/5200 "NAMASTE"</t>
  </si>
  <si>
    <t>https://b2beez.ru/images/detailed/161/orig_srui-m6.jpg</t>
  </si>
  <si>
    <t>G-2087</t>
  </si>
  <si>
    <t>Кольца поршневые китайской бензопилы 45см3 (Ø43mm) "MANLE"</t>
  </si>
  <si>
    <t>https://b2beez.ru/images/detailed/161/6259140805.jpg</t>
  </si>
  <si>
    <t>G-2089</t>
  </si>
  <si>
    <t>Кольца поршневые китайской бензопилы 52см3 (Ø45mm) "MANLE"</t>
  </si>
  <si>
    <t>https://b2beez.ru/images/detailed/161/6259140805_hz5z-h4.jpg</t>
  </si>
  <si>
    <t>G-2091</t>
  </si>
  <si>
    <t>Крестовина муфты сцепления бензопилы Goodluck GL4500/5200 "MANLE"</t>
  </si>
  <si>
    <t>https://b2beez.ru/images/detailed/161/orig_da9l-bp.jpg</t>
  </si>
  <si>
    <t>G-2115</t>
  </si>
  <si>
    <t>Натяжитель цепи бензопилы Goodluck GL 4500/5200 (прямая передача) "BEEZMOTO"</t>
  </si>
  <si>
    <t>https://b2beez.ru/images/detailed/161/orig_tifp-co.jpg</t>
  </si>
  <si>
    <t>G-2159</t>
  </si>
  <si>
    <t>Привод маслонасоса бензопилы (червяк) Goodluck GL4500/5200 "MANLE" (mod B)</t>
  </si>
  <si>
    <t>https://b2beez.ru/images/detailed/161/orig_4nbs-0p.jpg</t>
  </si>
  <si>
    <t>G-2168</t>
  </si>
  <si>
    <t>Ремкомплект карбюратора бензопилы Goodluck GL4500/5200 "MANLE"</t>
  </si>
  <si>
    <t>https://b2beez.ru/images/detailed/161/orig_p8pp-ju.jpg</t>
  </si>
  <si>
    <t>G-2173</t>
  </si>
  <si>
    <t>Сальники коленвала (пара) бензопилы Goodluck GL4500/5200 "ZUNA"</t>
  </si>
  <si>
    <t>https://b2beez.ru/images/detailed/161/orig_ufc3-fx.jpg</t>
  </si>
  <si>
    <t>G-2230</t>
  </si>
  <si>
    <t>Шкив стартера (храповик) бензопилы Goodluck GL 4500/5200 "BEEZMOTO"</t>
  </si>
  <si>
    <t>https://b2beez.ru/images/detailed/161/orig_g6l2-6h.jpg</t>
  </si>
  <si>
    <t>G-2405</t>
  </si>
  <si>
    <t>Коленвал китайской бензопилы 45, 52, 58 см3 "BEEZMOTO"</t>
  </si>
  <si>
    <t>https://b2beez.ru/images/detailed/162/6741734125.jpg</t>
  </si>
  <si>
    <t>G-2419</t>
  </si>
  <si>
    <t>Кольца поршневые китайской бензопилы 58см3 (Ø45,2mm) "BEST"</t>
  </si>
  <si>
    <t>https://b2beez.ru/images/detailed/162/orig_d7lp-hq.jpg</t>
  </si>
  <si>
    <t>G-2420</t>
  </si>
  <si>
    <t>Поршень китайской бензопилы 58см3 (Ø45,20) "BEST"</t>
  </si>
  <si>
    <t>https://b2beez.ru/images/detailed/162/6259140981.jpg</t>
  </si>
  <si>
    <t>G-2427</t>
  </si>
  <si>
    <t>Поршень китайской бензопилы 58см3 (Ø45,20) "FORESTER"</t>
  </si>
  <si>
    <t>https://b2beez.ru/images/detailed/204/1_oa1k-8u.jpg</t>
  </si>
  <si>
    <t>G-2530</t>
  </si>
  <si>
    <t>Коленвал китайской бензопилы 38см3 (под сепаратор 15mm) "MANLE"</t>
  </si>
  <si>
    <t>https://b2beez.ru/images/detailed/162/orig_o6hg-x6.jpg</t>
  </si>
  <si>
    <t>G-2575</t>
  </si>
  <si>
    <t>Тормоз ручной бензопилы (в сборе) Goodluck GL 4500/5200 (+натяжитель цепи) "MANLE"</t>
  </si>
  <si>
    <t>https://b2beez.ru/images/detailed/162/orig_xa8g-o4.jpg</t>
  </si>
  <si>
    <t>G-2606</t>
  </si>
  <si>
    <t>Стартер (в сборе) бензопилы Goodluck GL 4500/5200 ("легкий пуск", двойной шкив, 4 зацепа) "BEST"</t>
  </si>
  <si>
    <t>https://b2beez.ru/images/detailed/162/6455852073.jpg</t>
  </si>
  <si>
    <t>G-2894</t>
  </si>
  <si>
    <t>Карбюратор бензопилы Goodluck GL3800  "BEST" (mod A)</t>
  </si>
  <si>
    <t>https://b2beez.ru/images/detailed/162/orig_h8vr-u1.jpg</t>
  </si>
  <si>
    <t>G-2895</t>
  </si>
  <si>
    <t>Карбюратор бензопилы Goodluck GL3800 "WOODMAN"</t>
  </si>
  <si>
    <t>https://b2beez.ru/images/detailed/162/orig_rq32-33.jpg</t>
  </si>
  <si>
    <t>G-2897</t>
  </si>
  <si>
    <t>Карбюратор бензопилы Goodluck GL4500/5200 "WOODMAN" mod A</t>
  </si>
  <si>
    <t>https://b2beez.ru/images/detailed/162/6259140795.jpg</t>
  </si>
  <si>
    <t>G-2901</t>
  </si>
  <si>
    <t>Катушка зажигания бензопилы Goodluck 4500/5200 "BEST" (mod.A)</t>
  </si>
  <si>
    <t>https://b2beez.ru/images/detailed/162/6259140746.jpg</t>
  </si>
  <si>
    <t>G-2905</t>
  </si>
  <si>
    <t>Кольца поршневые китайской бензопилы 38см3 (Ø39mm) "WOODMAN" (1шт)</t>
  </si>
  <si>
    <t>https://b2beez.ru/images/detailed/205/1_c3co-cc.jpg</t>
  </si>
  <si>
    <t>G-2906</t>
  </si>
  <si>
    <t>Крестовина муфты сцепления бензопилы Goodluck GL4500/5200 "WOODMAN" (mod.A)</t>
  </si>
  <si>
    <t>https://b2beez.ru/images/detailed/162/6141443301.jpg</t>
  </si>
  <si>
    <t>G-2907</t>
  </si>
  <si>
    <t>Крышка маслянного бака бензопилы Goodluck GL4500/5200 "BEST" (mod.A)</t>
  </si>
  <si>
    <t>https://b2beez.ru/images/detailed/162/orig_l8ry-gr.jpg</t>
  </si>
  <si>
    <t>G-2910</t>
  </si>
  <si>
    <t>Лента тормоза бензопилы GOODLUCK GL 2400 "WOODMAN" (mod.A)</t>
  </si>
  <si>
    <t>https://b2beez.ru/images/detailed/162/orig_c6ci-fo.jpg</t>
  </si>
  <si>
    <t>G-2914</t>
  </si>
  <si>
    <t>Маслонасос бензопилы Goodluck GL 4500/5200 "WOODMAN" (mod.A)</t>
  </si>
  <si>
    <t>https://b2beez.ru/images/detailed/162/6141443622.jpg</t>
  </si>
  <si>
    <t>G-2924</t>
  </si>
  <si>
    <t>Пластина натяжителя цепи бензопилы Goodluck GL 4500/5200 "BEST" (mod.A)</t>
  </si>
  <si>
    <t>https://b2beez.ru/images/detailed/162/orig_f5dl-e8.jpg</t>
  </si>
  <si>
    <t>G-2927</t>
  </si>
  <si>
    <t>Поршень китайской бензопилы 38см3 (Ø39) "WOODMAN" (mod.A)</t>
  </si>
  <si>
    <t>https://b2beez.ru/images/detailed/162/6259140863.jpg</t>
  </si>
  <si>
    <t>G-2928</t>
  </si>
  <si>
    <t>Поршень китайской бензопилы 58см3 (Ø45,20) "BEST" (mod.A)</t>
  </si>
  <si>
    <t>https://b2beez.ru/images/detailed/162/orig_mpfd-5z.jpg</t>
  </si>
  <si>
    <t>G-2929</t>
  </si>
  <si>
    <t>Поршневая китайской бензопилы (ЦПГ) 24см3 (Ø34) (+поддон) "WOODMAN"</t>
  </si>
  <si>
    <t>https://b2beez.ru/images/detailed/162/orig_ns32-8f.jpg</t>
  </si>
  <si>
    <t>G-2936</t>
  </si>
  <si>
    <t>Пружина стартера бензопилы Goodluck GL4500/5200 "BEST" (mod.A)</t>
  </si>
  <si>
    <t>https://b2beez.ru/images/detailed/162/orig_aj3p-n1.jpg</t>
  </si>
  <si>
    <t>G-2941</t>
  </si>
  <si>
    <t>Рукоятка передняя бензопилы GOODLUCK GL 2400 "FORESTER" (mod.A)</t>
  </si>
  <si>
    <t>https://b2beez.ru/images/detailed/162/orig_8iwo-b1.jpg</t>
  </si>
  <si>
    <t>G-2942</t>
  </si>
  <si>
    <t>Сайлентблок бензопилы Goodluck (1шт) "WOODMAN" (mod.A)</t>
  </si>
  <si>
    <t>https://b2beez.ru/images/detailed/162/orig_zwt0-88.jpg</t>
  </si>
  <si>
    <t>G-2943</t>
  </si>
  <si>
    <t>Сайлентблок бензопилы Goodluck (2шт) "WOODMAN" (mod.A)</t>
  </si>
  <si>
    <t>https://b2beez.ru/images/detailed/162/orig_xt7x-4i.jpg</t>
  </si>
  <si>
    <t>G-2947</t>
  </si>
  <si>
    <t>Сальники коленвала (пара) бензопилы Goodluck GL4500/5200 "BEST" (mod.A)</t>
  </si>
  <si>
    <t>https://b2beez.ru/images/detailed/162/orig_6omi-wz.jpg</t>
  </si>
  <si>
    <t>G-2958</t>
  </si>
  <si>
    <t>Тормоз ручной бензопилы (в сборе) GOODLUCK GL 2400 "FORESTER" (mod.A)</t>
  </si>
  <si>
    <t>https://b2beez.ru/images/detailed/162/orig_ty3x-rl.jpg</t>
  </si>
  <si>
    <t>G-2959</t>
  </si>
  <si>
    <t>Тормоз ручной бензопилы (в сборе) Goodluck GL 4500/5200 (+натяжитель цепи) "BEST" (mod.A)</t>
  </si>
  <si>
    <t>https://b2beez.ru/images/detailed/162/orig_18xl-jb.jpg</t>
  </si>
  <si>
    <t>G-3000</t>
  </si>
  <si>
    <t>Коленвал китайской бензопилы 38см3 (под сепаратор 15mm) "WOODMAN" (mod.A)</t>
  </si>
  <si>
    <t>https://b2beez.ru/images/detailed/162/orig_2xz9-6o.jpg</t>
  </si>
  <si>
    <t>G-343</t>
  </si>
  <si>
    <t>Карбюратор бензопилы Goodluck GL4500/5200 "WOODMAN" mod B</t>
  </si>
  <si>
    <t>https://b2beez.ru/images/detailed/162/orig_0my3-7k.jpg</t>
  </si>
  <si>
    <t>G-3718</t>
  </si>
  <si>
    <t>Стопорное кольцо храповика стартера бензопилы Goodluck GL4500/5200</t>
  </si>
  <si>
    <t>https://b2beez.ru/images/detailed/162/orig_fc69-wd.jpg</t>
  </si>
  <si>
    <t>G-410</t>
  </si>
  <si>
    <t>Коленвал китайской бензопилы 45, 52, 58 см3 (под сепаратор 15mm) "WOODMAN" (mod.B)</t>
  </si>
  <si>
    <t>https://b2beez.ru/images/detailed/162/orig_qrj6-qk.jpg</t>
  </si>
  <si>
    <t>G-414</t>
  </si>
  <si>
    <t>Кольца поршневые китайской бензопилы 38см3 (Ø39mm) (1шт) "WOODMAN"</t>
  </si>
  <si>
    <t>https://b2beez.ru/images/detailed/205/1_jecb-oe.jpg</t>
  </si>
  <si>
    <t>G-496</t>
  </si>
  <si>
    <t>Маслонасос бензопилы Goodluck GL 4500/5200 "WOODMAN"</t>
  </si>
  <si>
    <t>https://b2beez.ru/images/detailed/162/orig_q3jk-qx.jpg</t>
  </si>
  <si>
    <t>G-561</t>
  </si>
  <si>
    <t>Натяжитель цепи бензопилы Goodluck GL 4500/5200 (червячная передача) "BEEZMOTO"</t>
  </si>
  <si>
    <t>https://b2beez.ru/images/detailed/162/orig_071b-hw.jpg</t>
  </si>
  <si>
    <t>G-607</t>
  </si>
  <si>
    <t>Поршневая китайской бензопилы (ЦПГ) 52см3 (Ø45) (черная) "BEEZMOTO"</t>
  </si>
  <si>
    <t>https://b2beez.ru/images/detailed/162/orig_qwzy-ce.jpg</t>
  </si>
  <si>
    <t>G-615</t>
  </si>
  <si>
    <t>Привод маслонасоса бензопилы (червяк) Goodluck GL4500/5200 "FORESTER"</t>
  </si>
  <si>
    <t>https://b2beez.ru/images/detailed/162/orig_xgui-32.jpg</t>
  </si>
  <si>
    <t>G-621</t>
  </si>
  <si>
    <t>Крышка маслянного бака бензопилы Goodluck GL4500/5200 "FORESTER"</t>
  </si>
  <si>
    <t>https://b2beez.ru/images/detailed/162/6259140854.jpg</t>
  </si>
  <si>
    <t>G-729</t>
  </si>
  <si>
    <t>Стартер (в сборе) бензопилы Goodluck GL 4500/5200 ("легкий пуск", 4 зацепа) "WOODMAN"</t>
  </si>
  <si>
    <t>https://b2beez.ru/images/detailed/162/orig_ar8n-4j.jpg</t>
  </si>
  <si>
    <t>G-803</t>
  </si>
  <si>
    <t>Упор зубчатый (гребенка) бензопилы Goodluck "FORESTER"</t>
  </si>
  <si>
    <t>https://b2beez.ru/images/detailed/162/orig_lyea-o0.jpg</t>
  </si>
  <si>
    <t>G-988</t>
  </si>
  <si>
    <t>Карбюратор бензопилы Goodluck GL4500/5200 "MAX ENERGY" mod:B</t>
  </si>
  <si>
    <t>https://b2beez.ru/images/detailed/162/orig_gc9b-4x.jpg</t>
  </si>
  <si>
    <t>H-102</t>
  </si>
  <si>
    <t>Поршневая бензопилы (ЦПГ) Husqvarna 268 (Ø50) "WOODMAN"</t>
  </si>
  <si>
    <t>https://b2beez.ru/images/detailed/163/orig_xzjn-6l.jpg</t>
  </si>
  <si>
    <t>H-103</t>
  </si>
  <si>
    <t>Поршневая бензопилы (ЦПГ) Husqvarna 268 (Ø50) (черная) "WOODMAN"</t>
  </si>
  <si>
    <t>https://b2beez.ru/images/detailed/163/orig_3llz-5l.jpg</t>
  </si>
  <si>
    <t>H-117</t>
  </si>
  <si>
    <t>Поршневая бензопилы (ЦПГ) Husqvarna 61 (Ø48) "WOODMAN"</t>
  </si>
  <si>
    <t>https://b2beez.ru/images/detailed/163/6134789439.jpg</t>
  </si>
  <si>
    <t>H-131</t>
  </si>
  <si>
    <t>Тарелка сцепления бензопилы (звезда ведущая) Husqvarna 137/142 "WOODMAN"</t>
  </si>
  <si>
    <t>https://b2beez.ru/images/detailed/163/orig_zasq-z8.jpg</t>
  </si>
  <si>
    <t>H-181</t>
  </si>
  <si>
    <t>Поршневая бензопилы (ЦПГ) Husqvarna 328 (Ø36) "WOODMAN"</t>
  </si>
  <si>
    <t>https://b2beez.ru/images/detailed/163/orig_k9sx-pa.jpg</t>
  </si>
  <si>
    <t>H-246</t>
  </si>
  <si>
    <t>Термоизолирующий экран между карбюратором и цилиндром бензопилы Husqvarna 137 "FORESTER"</t>
  </si>
  <si>
    <t>https://b2beez.ru/images/detailed/163/6141443201.jpg</t>
  </si>
  <si>
    <t>H-273</t>
  </si>
  <si>
    <t>Коленвал бензопилы Husqvarna 345/350 (под сепаратор 13mm) "WOODMAN"</t>
  </si>
  <si>
    <t>https://b2beez.ru/images/detailed/163/orig_dv1j-tm.jpg</t>
  </si>
  <si>
    <t>H-277</t>
  </si>
  <si>
    <t>Муфта сцепления бензопилы Husqvarna 268/272 "WOODMAN"</t>
  </si>
  <si>
    <t>https://b2beez.ru/images/detailed/163/orig_9j1r-au.jpg</t>
  </si>
  <si>
    <t>H-279</t>
  </si>
  <si>
    <t>Маслонасос бензопилы Husqvarna 268/272 "WOODMAN"</t>
  </si>
  <si>
    <t>https://b2beez.ru/images/detailed/163/orig_rc1v-7f.jpg</t>
  </si>
  <si>
    <t>H-282</t>
  </si>
  <si>
    <t>Маслонасос бензопилы Husqvarna 345/350 "WOODMAN"</t>
  </si>
  <si>
    <t>https://b2beez.ru/images/detailed/163/orig_qymx-gj.jpg</t>
  </si>
  <si>
    <t>H-286</t>
  </si>
  <si>
    <t>Катушка зажигания бензопилы Husqvarna 365/372 "BEEZMOTO"</t>
  </si>
  <si>
    <t>https://b2beez.ru/images/detailed/163/orig_2itc-xp.jpg</t>
  </si>
  <si>
    <t>H-291</t>
  </si>
  <si>
    <t>Магнето бензопилы Husqvarna 345/350 "WOODMAN"</t>
  </si>
  <si>
    <t>https://b2beez.ru/images/detailed/163/orig_9b9q-8w.jpg</t>
  </si>
  <si>
    <t>H-295</t>
  </si>
  <si>
    <t>Тарелка сцепления бензопилы (звезда ведущая) Husqvarna 345/350 "WOODMAN"</t>
  </si>
  <si>
    <t>https://b2beez.ru/images/detailed/163/orig_qhcd-ow.jpg</t>
  </si>
  <si>
    <t>H-296</t>
  </si>
  <si>
    <t>Тарелка сцепления бензопилы (под съемную звезду) Husqvarna 345/350 (+звезда) "WOODMAN"</t>
  </si>
  <si>
    <t>https://b2beez.ru/images/detailed/163/orig_xwub-df.jpg</t>
  </si>
  <si>
    <t>H-297</t>
  </si>
  <si>
    <t>Стартер (в сборе) бензопилы Husqvarna 345/350 "WOODMAN"</t>
  </si>
  <si>
    <t>https://b2beez.ru/images/detailed/163/orig_mkby-hx.jpg</t>
  </si>
  <si>
    <t>H-307</t>
  </si>
  <si>
    <t>Выключатель бензопилы Husqvarna 137/142 "WOODMAN"</t>
  </si>
  <si>
    <t>https://b2beez.ru/images/detailed/163/6141443150.jpg</t>
  </si>
  <si>
    <t>H-308</t>
  </si>
  <si>
    <t>Сепаратор верхней головки шатуна бензопилы Husqvarna 137/142 "WOODMAN"</t>
  </si>
  <si>
    <t>https://b2beez.ru/images/detailed/163/6259141044.jpg</t>
  </si>
  <si>
    <t>H-311</t>
  </si>
  <si>
    <t>Прокладки бензопилы (набор) Husqvarna 137/142 "WOODMAN"</t>
  </si>
  <si>
    <t>https://b2beez.ru/images/detailed/163/orig_uji0-5t.jpg</t>
  </si>
  <si>
    <t>H-314</t>
  </si>
  <si>
    <t>Патрубок воздушного фильтра бензопилы Husqvarna 137/142 "WOODMAN"</t>
  </si>
  <si>
    <t>https://b2beez.ru/images/detailed/163/orig_lvpk-2r.jpg</t>
  </si>
  <si>
    <t>H-319</t>
  </si>
  <si>
    <t>Поршень бензопилы Husqvarna 340 (Ø40,00) "WOODMAN"</t>
  </si>
  <si>
    <t>https://b2beez.ru/images/detailed/204/2_oatp-1u.jpg</t>
  </si>
  <si>
    <t>H-321</t>
  </si>
  <si>
    <t>Поршень бензопилы Husqvarna 357/359 (Ø47,00) "WOODMAN"</t>
  </si>
  <si>
    <t>https://b2beez.ru/images/detailed/163/6141443450.jpg</t>
  </si>
  <si>
    <t>H-323</t>
  </si>
  <si>
    <t>Кольца поршневые бензопилы Husqvarna 236/240 (Ø39mm) "PISTON RING" (1шт)</t>
  </si>
  <si>
    <t>https://b2beez.ru/images/detailed/163/orig_ltv6-uk.jpg</t>
  </si>
  <si>
    <t>H-324</t>
  </si>
  <si>
    <t>Кольца поршневые бензопилы Husqvarna 340 (Ø40mm) "PISTON RING" (1шт)</t>
  </si>
  <si>
    <t>https://b2beez.ru/images/detailed/164/orig_fnee-mx.jpg</t>
  </si>
  <si>
    <t>H-325</t>
  </si>
  <si>
    <t>Кольца поршневые бензопилы Husqvarna 357/359 (Ø47mm) "PISTON RING" (1шт)</t>
  </si>
  <si>
    <t>https://b2beez.ru/images/detailed/164/orig_z2vx-vj.jpg</t>
  </si>
  <si>
    <t>H-326</t>
  </si>
  <si>
    <t>Кольца поршневые бензопилы Husqvarna 372 (Ø50mm) "PISTON RING" (1шт)</t>
  </si>
  <si>
    <t>https://b2beez.ru/images/detailed/164/orig_olvc-8x.jpg</t>
  </si>
  <si>
    <t>H-328</t>
  </si>
  <si>
    <t>Цепь пильная 325, 1.3mm, 72зв, RS, под шину 18" (45см) Husqvarna 365 "HAOYU" (20"LPX72)</t>
  </si>
  <si>
    <t>https://b2beez.ru/images/detailed/164/orig_0oiu-hy.jpg</t>
  </si>
  <si>
    <t>H-333</t>
  </si>
  <si>
    <t>Цепь пильная 325, 1.5mm, 64зв, серп, под шину 15" (38.5см) Husqvarna 365 "BEEZMOTO" (21LPX64)</t>
  </si>
  <si>
    <t>https://b2beez.ru/images/detailed/164/orig_dern-u3.jpg</t>
  </si>
  <si>
    <t>H-347</t>
  </si>
  <si>
    <t>Ремкомплект карбюратора бензопилы Husqvarna 137/142 "WOODMAN"</t>
  </si>
  <si>
    <t>https://b2beez.ru/images/detailed/164/6141443420.jpg</t>
  </si>
  <si>
    <t>H-349</t>
  </si>
  <si>
    <t>Ремкомплект карбюратора бензопилы Husqvarna 345 "WOODMAN"</t>
  </si>
  <si>
    <t>https://b2beez.ru/images/detailed/164/orig_l302-x9.jpg</t>
  </si>
  <si>
    <t>H-350</t>
  </si>
  <si>
    <t>Ремкомплект карбюратора бензопилы Husqvarna 345 (полный) "WOODMAN"</t>
  </si>
  <si>
    <t>https://b2beez.ru/images/detailed/164/orig_986e-5n.jpg</t>
  </si>
  <si>
    <t>H-351</t>
  </si>
  <si>
    <t>Ремкомплект карбюратора бензопилы Husqvarna 365/372 "WOODMAN"</t>
  </si>
  <si>
    <t>https://b2beez.ru/images/detailed/164/6141443421.jpg</t>
  </si>
  <si>
    <t>H-352</t>
  </si>
  <si>
    <t>Ремкомплект карбюратора бензопилы Husqvarna 365/372 (полный) "WOODMAN"</t>
  </si>
  <si>
    <t>https://b2beez.ru/images/detailed/164/6141443497.jpg</t>
  </si>
  <si>
    <t>H-356</t>
  </si>
  <si>
    <t>Кольца поршневые бензопилы Husqvarna 142 (Ø40mm) "HND"</t>
  </si>
  <si>
    <t>https://b2beez.ru/images/detailed/164/orig_v95m-v0.jpg</t>
  </si>
  <si>
    <t>H-358</t>
  </si>
  <si>
    <t>Кольца поршневые бензопилы Husqvarna 268 (Ø50mm) "HND"</t>
  </si>
  <si>
    <t>https://b2beez.ru/images/detailed/164/6259140788.jpg</t>
  </si>
  <si>
    <t>H-359</t>
  </si>
  <si>
    <t>Кольца поршневые бензопилы Husqvarna 272 (Ø52mm) "HND"</t>
  </si>
  <si>
    <t>https://b2beez.ru/images/detailed/164/orig_0ya8-cx.jpg</t>
  </si>
  <si>
    <t>H-360</t>
  </si>
  <si>
    <t>Кольца поршневые бензопилы Husqvarna 340 (Ø40mm) "HND" (1шт)</t>
  </si>
  <si>
    <t>https://b2beez.ru/images/detailed/164/6259140788_aw4q-94.jpg</t>
  </si>
  <si>
    <t>H-363</t>
  </si>
  <si>
    <t>Кольца поршневые бензопилы Husqvarna 357/359 (Ø47mm) "HND"</t>
  </si>
  <si>
    <t>https://b2beez.ru/images/detailed/164/orig_if1s-jo.jpg</t>
  </si>
  <si>
    <t>H-364</t>
  </si>
  <si>
    <t>Кольца поршневые бензопилы Husqvarna 365 (Ø48mm) "HND"</t>
  </si>
  <si>
    <t>https://b2beez.ru/images/detailed/164/orig_wu5u-kn.jpg</t>
  </si>
  <si>
    <t>H-366</t>
  </si>
  <si>
    <t>Кольца поршневые бензопилы Husqvarna 51 (Ø45mm) "HND"</t>
  </si>
  <si>
    <t>https://b2beez.ru/images/detailed/164/orig_t085-mh.jpg</t>
  </si>
  <si>
    <t>H-368</t>
  </si>
  <si>
    <t>Кольца поршневые бензопилы Husqvarna 61 (Ø48mm) "HND"</t>
  </si>
  <si>
    <t>https://b2beez.ru/images/detailed/164/orig_fxdn-j1.jpg</t>
  </si>
  <si>
    <t>H-370</t>
  </si>
  <si>
    <t>Цепь пильная 325, 1.3mm, 72зв, RS, под шину 18" (45см) 4500/5200 "BEEZMOTO"</t>
  </si>
  <si>
    <t>https://b2beez.ru/images/detailed/204/H-370-2.jpg</t>
  </si>
  <si>
    <t>H-372</t>
  </si>
  <si>
    <t>Цепь пильная 325, 1.3mm, 72зв, серп, под шину 16" (40см) Husqvarna 365 "STOHF"</t>
  </si>
  <si>
    <t>https://b2beez.ru/images/detailed/164/orig.png</t>
  </si>
  <si>
    <t>H-373</t>
  </si>
  <si>
    <t>Цепь пильная 325, 1.3mm, 72зв, серп под шину 18" (45см) Husqvarna 365 "STOHF PRO"</t>
  </si>
  <si>
    <t>https://b2beez.ru/images/detailed/164/orig_wr6c-ni.jpg</t>
  </si>
  <si>
    <t>H-378</t>
  </si>
  <si>
    <t>Карбюратор бензопилы Husqvarna 281/288 "XINLONG"</t>
  </si>
  <si>
    <t>https://b2beez.ru/images/detailed/164/orig_n8sl-gd.jpg</t>
  </si>
  <si>
    <t>H-380</t>
  </si>
  <si>
    <t>Ремкомплект карбюратора бензопилы Husqvarna 365/372 "XINLONG"</t>
  </si>
  <si>
    <t>https://b2beez.ru/images/detailed/164/6259140941.jpg</t>
  </si>
  <si>
    <t>H-394</t>
  </si>
  <si>
    <t>Тарелка сцепления бензопилы (под съемную звезду) Husqvarna 345/350 (+звезда) "ZUNA"</t>
  </si>
  <si>
    <t>https://b2beez.ru/images/detailed/164/orig_4p7v-3t.jpg</t>
  </si>
  <si>
    <t>H-395</t>
  </si>
  <si>
    <t>Тарелка сцепления бензопилы (под съемную звезду) Husqvarna 365/372 (+звезда) "ZUNA"</t>
  </si>
  <si>
    <t>https://b2beez.ru/images/detailed/164/orig_wn7n-vd.jpg</t>
  </si>
  <si>
    <t>H-397</t>
  </si>
  <si>
    <t>Тарелка сцепления бензопилы (звезда ведущая) Husqvarna 137/142 (+сепаратор) "SMP"</t>
  </si>
  <si>
    <t>https://b2beez.ru/images/detailed/164/orig_h5z2-z3.jpg</t>
  </si>
  <si>
    <t>H-402</t>
  </si>
  <si>
    <t>Тарелка сцепления бензопилы (звезда ведущая) Husqvarna 365/372 "SMP"</t>
  </si>
  <si>
    <t>https://b2beez.ru/images/detailed/164/orig_euzu-xh.jpg</t>
  </si>
  <si>
    <t>H-41</t>
  </si>
  <si>
    <t>Глушитель бензопилы Husqvarna 137/142 "WOODMAN"</t>
  </si>
  <si>
    <t>https://b2beez.ru/images/detailed/164/orig_opyi-sh.jpg</t>
  </si>
  <si>
    <t>H-439</t>
  </si>
  <si>
    <t>Поршневая бензопилы (ЦПГ) Husqvarna 137 (Ø38) (черная, +поддон) "BEEZMOTO"</t>
  </si>
  <si>
    <t>https://b2beez.ru/images/detailed/164/orig_436y-uj.jpg</t>
  </si>
  <si>
    <t>H-442</t>
  </si>
  <si>
    <t>Поршневая бензопилы (ЦПГ) Husqvarna 236/240 (Ø39) (черная) "ZUNA"</t>
  </si>
  <si>
    <t>H-443</t>
  </si>
  <si>
    <t>Поршневая бензопилы (ЦПГ) Husqvarna 236/240 (Ø39) (черная) "MANLE"</t>
  </si>
  <si>
    <t>H-458</t>
  </si>
  <si>
    <t>Тарелка сцепления бензопилы (под съемную звезду) Husqvarna 137/142 (+звезда) "HORZA"</t>
  </si>
  <si>
    <t>https://b2beez.ru/images/detailed/164/orig_sbxa-u8.jpg</t>
  </si>
  <si>
    <t>H-51</t>
  </si>
  <si>
    <t>Кольца поршневые бензопилы Husqvarna 137 (Ø38mm) "WOODMAN" (1шт)</t>
  </si>
  <si>
    <t>https://b2beez.ru/images/detailed/164/orig_bwc5-cw.jpg</t>
  </si>
  <si>
    <t>H-53</t>
  </si>
  <si>
    <t>Кольца поршневые бензопилы Husqvarna 142 (Ø40mm) "PISTON RING" (1шт)</t>
  </si>
  <si>
    <t>https://b2beez.ru/images/detailed/164/orig_3tpi-lk.jpg</t>
  </si>
  <si>
    <t>H-55</t>
  </si>
  <si>
    <t>Кольца поршневые бензопилы Husqvarna 272 (Ø52mm) "PISTON RING" (1шт)</t>
  </si>
  <si>
    <t>https://b2beez.ru/images/detailed/164/orig_hb3m-yb.jpg</t>
  </si>
  <si>
    <t>H-57</t>
  </si>
  <si>
    <t>Кольца поршневые бензопилы Husqvarna 350 (Ø44mm, высокая) "PISTON RING" (1шт)</t>
  </si>
  <si>
    <t>https://b2beez.ru/images/detailed/164/orig_j1ji-xc.jpg</t>
  </si>
  <si>
    <t>H-58</t>
  </si>
  <si>
    <t>Кольца поршневые бензопилы Husqvarna 350 (Ø44mm, низкая) "PISTON RING" (1шт)</t>
  </si>
  <si>
    <t>https://b2beez.ru/images/detailed/164/orig_2z3p-0u.jpg</t>
  </si>
  <si>
    <t>H-60</t>
  </si>
  <si>
    <t>Кольца поршневые бензопилы Husqvarna 51 (Ø45mm) "PISTON RING" (1шт)</t>
  </si>
  <si>
    <t>https://b2beez.ru/images/detailed/164/orig_422k-kl.jpg</t>
  </si>
  <si>
    <t>H-62</t>
  </si>
  <si>
    <t>Кольца поршневые бензопилы Husqvarna 61 (Ø48mm) "PISTON RING" (1шт)</t>
  </si>
  <si>
    <t>https://b2beez.ru/images/detailed/164/orig_2oyo-7s.jpg</t>
  </si>
  <si>
    <t>H-657</t>
  </si>
  <si>
    <t>Шланг топливный бензопилы Husqvarna 137/142 "MANLE"</t>
  </si>
  <si>
    <t>https://b2beez.ru/images/detailed/164/orig_hzx2-h2.jpg</t>
  </si>
  <si>
    <t>H-681</t>
  </si>
  <si>
    <t>Выключатель бензопилы Husqvarna 137/142 "WOODMAN" (mod.A)</t>
  </si>
  <si>
    <t>https://b2beez.ru/images/detailed/164/6259140808.jpg</t>
  </si>
  <si>
    <t>H-705</t>
  </si>
  <si>
    <t>Патрубок карбюратора (коллектор) бензопилы Husqvarna 137/142 "WOODMAN" (mod.A)</t>
  </si>
  <si>
    <t>https://b2beez.ru/images/detailed/164/6286958858.jpg</t>
  </si>
  <si>
    <t>H-706</t>
  </si>
  <si>
    <t>Переходник карбюратора бензопилы (коллектор) Husqvarna 137/142 "BEEZMOTO"</t>
  </si>
  <si>
    <t>https://b2beez.ru/images/detailed/164/7175041762.jpg</t>
  </si>
  <si>
    <t>H-707</t>
  </si>
  <si>
    <t>Подшипник коленвала бензопилы (пара) Husqvarna 137/142 (+сальник)</t>
  </si>
  <si>
    <t>https://b2beez.ru/images/detailed/164/6259140880.jpg</t>
  </si>
  <si>
    <t>H-711</t>
  </si>
  <si>
    <t>Поршень бензопилы Husqvarna 340 (Ø40,00) "WOODMAN" (mod.A)</t>
  </si>
  <si>
    <t>https://b2beez.ru/images/detailed/164/orig_q475-ow.jpg</t>
  </si>
  <si>
    <t>H-723</t>
  </si>
  <si>
    <t>Поршень бензопилы Husqvarna 61 (Ø48,00) "WOODMAN" (mod.A)</t>
  </si>
  <si>
    <t>https://b2beez.ru/images/detailed/204/1_9bin-hl.jpg</t>
  </si>
  <si>
    <t>H-736</t>
  </si>
  <si>
    <t>Поршневая бензопилы (ЦПГ) Husqvarna 455/455E/440E, Rancher 460 (Ø45mm) "WOODMAN"</t>
  </si>
  <si>
    <t>https://b2beez.ru/images/detailed/164/6134794783.jpg</t>
  </si>
  <si>
    <t>H-737</t>
  </si>
  <si>
    <t>Поршневая бензопилы (ЦПГ) Husqvarna 575 (Ø51) "WOODMAN" (mod.A)</t>
  </si>
  <si>
    <t>https://b2beez.ru/images/detailed/164/orig_hly8-6r.jpg</t>
  </si>
  <si>
    <t>H-741</t>
  </si>
  <si>
    <t>Сепаратор верхней головки шатуна бензопилы Husqvarna 137/142 "WOODMAN" (mod.A)</t>
  </si>
  <si>
    <t>https://b2beez.ru/images/detailed/164/orig_f3lt-k6.jpg</t>
  </si>
  <si>
    <t>H-746</t>
  </si>
  <si>
    <t>Стартер (в сборе) бензопилы Husqvarna 125R "WOODMAN" (mod.A)</t>
  </si>
  <si>
    <t>https://b2beez.ru/images/detailed/164/6286958870.jpg</t>
  </si>
  <si>
    <t>H-750</t>
  </si>
  <si>
    <t>Стартер (в сборе) бензопилы Husqvarna 61/268 "WOODMAN" (mod.A)</t>
  </si>
  <si>
    <t>https://b2beez.ru/images/detailed/164/orig_3k8b-c4.jpg</t>
  </si>
  <si>
    <t>H-77</t>
  </si>
  <si>
    <t>Маслонасос бензопилы Husqvarna 137/142 (+шланг, фильтр) "BEEZMOTO"</t>
  </si>
  <si>
    <t>https://b2beez.ru/images/detailed/164/orig_wj6h-1p.jpg</t>
  </si>
  <si>
    <t>H-790</t>
  </si>
  <si>
    <t>Шина для бензопилы 13" 1,5mm, 0.325, 56зв, K095 "WIN"</t>
  </si>
  <si>
    <t>https://b2beez.ru/images/detailed/164/orig_0k7t-5e.jpg</t>
  </si>
  <si>
    <t>H-798</t>
  </si>
  <si>
    <t>Шина для бензопилы 18" 1,6mm, 3/8, 64зв "WIN" (mod:B)</t>
  </si>
  <si>
    <t>https://b2beez.ru/images/detailed/164/orig_hgit-ie.jpg</t>
  </si>
  <si>
    <t>H-805</t>
  </si>
  <si>
    <t>Шина для бензопилы 15" 1,5mm, 0.325, 64зв, D196 "GAR"</t>
  </si>
  <si>
    <t>https://b2beez.ru/images/detailed/164/orig_yfsc-g1.jpg</t>
  </si>
  <si>
    <t>H-81</t>
  </si>
  <si>
    <t>Подшипники коленвала бензопилы (пара) Husqvarna 137/142 "WOODMAN"</t>
  </si>
  <si>
    <t>https://b2beez.ru/images/detailed/164/orig_dje8-fx.jpg</t>
  </si>
  <si>
    <t>H-87</t>
  </si>
  <si>
    <t>Поршень бензопилы Husqvarna 268 (Ø50,00) "WOODMAN"</t>
  </si>
  <si>
    <t>https://b2beez.ru/images/detailed/165/6141443248.jpg</t>
  </si>
  <si>
    <t>H-92</t>
  </si>
  <si>
    <t>Поршень бензопилы Husqvarna 51 (Ø45,00) "WOODMAN"</t>
  </si>
  <si>
    <t>https://b2beez.ru/images/detailed/165/6141443248_jf3c-nu.jpg</t>
  </si>
  <si>
    <t>H-93</t>
  </si>
  <si>
    <t>Поршень бензопилы Husqvarna 55 (Ø46,00) "SUNDY"</t>
  </si>
  <si>
    <t>https://b2beez.ru/images/detailed/165/6141443248_ga3q-gd.jpg</t>
  </si>
  <si>
    <t>H-94</t>
  </si>
  <si>
    <t>Поршень бензопилы Husqvarna 61 (Ø48,00) "WOODMAN"</t>
  </si>
  <si>
    <t>https://b2beez.ru/images/detailed/204/1_29p9-nm.jpg</t>
  </si>
  <si>
    <t>M-659</t>
  </si>
  <si>
    <t>Коленвал китайской бензопилы 45, 52, 58 см3 (под сепаратор 15mm) "FORESTER"</t>
  </si>
  <si>
    <t>https://b2beez.ru/images/detailed/170/orig_wuvv-6d.jpg</t>
  </si>
  <si>
    <t>M-660</t>
  </si>
  <si>
    <t>Коленвал китайской бензопилы 45, 52, 58 см3 (под сепаратор 15mm) "FORESTER" (mod.B)</t>
  </si>
  <si>
    <t>https://b2beez.ru/images/detailed/170/orig.png</t>
  </si>
  <si>
    <t>M-662</t>
  </si>
  <si>
    <t>Муфта сцепления бензопилы ДАНИЛО-38 "FORESTER" (mod.A)</t>
  </si>
  <si>
    <t>https://b2beez.ru/images/detailed/170/6141443096.jpg</t>
  </si>
  <si>
    <t>M-672</t>
  </si>
  <si>
    <t>Цепь пильная 3/8, 1.3mm, 62зв, RS, под шину 18" (45см) "BEEZMOTO"</t>
  </si>
  <si>
    <t>https://b2beez.ru/images/detailed/170/7062957666.jpg</t>
  </si>
  <si>
    <t>N-2607</t>
  </si>
  <si>
    <t>Шкив стартера (храповик) бензопилы Goodluck GL 4500/5200 (легкий пуск) "BEST"</t>
  </si>
  <si>
    <t>https://b2beez.ru/images/detailed/170/orig_n996-rh.jpg</t>
  </si>
  <si>
    <t>O-2400</t>
  </si>
  <si>
    <t>Поршень бензопилы Oleo-Mac 952 (Ø45) "WOODMAN" (mod.A)</t>
  </si>
  <si>
    <t>https://b2beez.ru/images/detailed/172/6141443331.jpg</t>
  </si>
  <si>
    <t>P-1121</t>
  </si>
  <si>
    <t>Поршневая бензопилы (ЦПГ) Partner P350 (Ø41,1) (+поддон) (черная) "BEEZMOTO"</t>
  </si>
  <si>
    <t>https://b2beez.ru/images/detailed/172/orig_ag70-o4.jpg</t>
  </si>
  <si>
    <t>P-19</t>
  </si>
  <si>
    <t>Шланг масляный бензопилы Partner P350 "FORESTER"</t>
  </si>
  <si>
    <t>https://b2beez.ru/images/detailed/173/6141443613.jpg</t>
  </si>
  <si>
    <t>P-2185</t>
  </si>
  <si>
    <t>Шина для бензопилы 14" 1,3mm, 3/8, 52зв, K095 "PRTN"</t>
  </si>
  <si>
    <t>https://b2beez.ru/images/detailed/173/orig_iz07-go.jpg</t>
  </si>
  <si>
    <t>P-2188</t>
  </si>
  <si>
    <t>Шина для бензопилы 13" 1,5mm, 0.325, 56зв "HSQ"</t>
  </si>
  <si>
    <t>https://b2beez.ru/images/detailed/173/orig_ewke-kl.jpg</t>
  </si>
  <si>
    <t>P-2189</t>
  </si>
  <si>
    <t>Шина для бензопилы 13" 1,5mm, 0.325, 56зв, D196 "HSQ"</t>
  </si>
  <si>
    <t>https://b2beez.ru/images/detailed/173/orig_pwlv-0z.jpg</t>
  </si>
  <si>
    <t>P-24</t>
  </si>
  <si>
    <t>Натяжитель цепи бензопилы Partner P350 "FORESTER"</t>
  </si>
  <si>
    <t>https://b2beez.ru/images/detailed/173/orig_v4ec-jk.jpg</t>
  </si>
  <si>
    <t>P-3163</t>
  </si>
  <si>
    <t>Крышка бака масляного бензопилы Partner P350 "WOODMAN"</t>
  </si>
  <si>
    <t>https://b2beez.ru/images/detailed/173/orig_b3fq-l0.jpg</t>
  </si>
  <si>
    <t>P-3791</t>
  </si>
  <si>
    <t>Кольца поршневые бензопилы Partner P350 (Ø41,1mm) "HND"</t>
  </si>
  <si>
    <t>https://b2beez.ru/images/detailed/173/6259140780.jpg</t>
  </si>
  <si>
    <t>P-4368</t>
  </si>
  <si>
    <t>Поршневая бензопилы (ЦПГ) Partner P350 (Ø41,1) (+поддон) (черная) "KAWASAHI"</t>
  </si>
  <si>
    <t>P-6041</t>
  </si>
  <si>
    <t>Патрубок карбюратора (коллектор) бензопилы Partner P350 (2шт) "BEEZMOTO"</t>
  </si>
  <si>
    <t>https://b2beez.ru/images/detailed/174/orig_u9r2-nw.jpg</t>
  </si>
  <si>
    <t>P-627</t>
  </si>
  <si>
    <t>Коленвал бензопилы Partner P350 (под сепаратор 14mm) "WOODMAN"</t>
  </si>
  <si>
    <t>https://b2beez.ru/images/detailed/174/orig_58tn-i6.jpg</t>
  </si>
  <si>
    <t>P-630</t>
  </si>
  <si>
    <t>Кольца поршневые бензопилы Partner P350 (Ø41,1mm) "WOODMAN"</t>
  </si>
  <si>
    <t>https://b2beez.ru/images/detailed/174/6141443404.jpg</t>
  </si>
  <si>
    <t>P-6469</t>
  </si>
  <si>
    <t>Шина для бензопилы 16" 1,3mm, 13/40, 67зв, D024 "HSQ"</t>
  </si>
  <si>
    <t>https://b2beez.ru/images/detailed/175/orig_oc5o-1u.jpg</t>
  </si>
  <si>
    <t>P-6489</t>
  </si>
  <si>
    <t>Кольца поршневые бензопилы Partner P350 (Ø38mm) "WOODMAN" (mod.A)</t>
  </si>
  <si>
    <t>https://b2beez.ru/images/detailed/175/6286958888.jpg</t>
  </si>
  <si>
    <t>P-6490</t>
  </si>
  <si>
    <t>Крышка бака топливного бензопилы Partner P350 "WOODMAN" (mod.A)</t>
  </si>
  <si>
    <t>https://b2beez.ru/images/detailed/175/6286958861.jpg</t>
  </si>
  <si>
    <t>P-6559</t>
  </si>
  <si>
    <t>Фильтр воздушный (в сборе) бензопилы Partner P350 "BEEZMOTO"</t>
  </si>
  <si>
    <t>https://b2beez.ru/images/detailed/175/orig_ey3i-mw.jpg</t>
  </si>
  <si>
    <t>P-6562</t>
  </si>
  <si>
    <t>Цепь пильная 3/8, 1.3mm, 52зв, RS, под шину 14" (35см) Partner 350-401 "BEEZMOTO"</t>
  </si>
  <si>
    <t>https://b2beez.ru/images/detailed/175/orig_b2kb-mn.jpg</t>
  </si>
  <si>
    <t>P-6564</t>
  </si>
  <si>
    <t>Цепь пильная 3/8, 1.3mm, 57зв, серп, под шину 16" (40,5см) Partner 350-401 "BEST"</t>
  </si>
  <si>
    <t>https://b2beez.ru/images/detailed/175/6287912769.jpg</t>
  </si>
  <si>
    <t>P-6567</t>
  </si>
  <si>
    <t>Шланг топливный бензопилы Partner P350 "WOODMAN" (mod.A)</t>
  </si>
  <si>
    <t>https://b2beez.ru/images/detailed/175/orig_nfsj-5r.jpg</t>
  </si>
  <si>
    <t>P-7160</t>
  </si>
  <si>
    <t>Гайка шины бензопилы Partner (10шт) "BEEZMOTO"</t>
  </si>
  <si>
    <t>https://b2beez.ru/images/detailed/175/orig_vec5-8d.jpg</t>
  </si>
  <si>
    <t>S-12</t>
  </si>
  <si>
    <t>Шпилька карбюратора бензопилы Stihl MS 180 "FORESTER"</t>
  </si>
  <si>
    <t>https://b2beez.ru/images/detailed/178/orig_tdgj-mh.jpg</t>
  </si>
  <si>
    <t>S-13</t>
  </si>
  <si>
    <t>Натяжитель цепи бензопилы Stihl MS 180 "BEEZMOTO"</t>
  </si>
  <si>
    <t>https://b2beez.ru/images/detailed/178/orig_krq5-8c.jpg</t>
  </si>
  <si>
    <t>S-1380</t>
  </si>
  <si>
    <t>Шайба стопорная тарелки сцепления бензопилы Stihl MS 180 (Ø27mm) "FORESTER"</t>
  </si>
  <si>
    <t>https://b2beez.ru/images/detailed/178/6141583793.jpg</t>
  </si>
  <si>
    <t>S-144</t>
  </si>
  <si>
    <t>Катушка зажигания бензопилы Stihl MS 180 "BEEZMOTO"</t>
  </si>
  <si>
    <t>https://b2beez.ru/images/detailed/178/orig_5t28-e2.jpg</t>
  </si>
  <si>
    <t>S-15</t>
  </si>
  <si>
    <t>Лента тормоза бензопилы Stihl MS 180 "FORESTER"</t>
  </si>
  <si>
    <t>https://b2beez.ru/images/detailed/178/orig_969r-dt.jpg</t>
  </si>
  <si>
    <t>S-159</t>
  </si>
  <si>
    <t>Кольца поршневые бензопилы Stihl MS 360 (Ø48mm) "WOODMAN"</t>
  </si>
  <si>
    <t>https://b2beez.ru/images/detailed/178/orig_kb8t-cq.jpg</t>
  </si>
  <si>
    <t>S-162</t>
  </si>
  <si>
    <t>Кольца поршневые бензопилы Stihl MS 381 (Ø52mm) "WOODMAN"</t>
  </si>
  <si>
    <t>https://b2beez.ru/images/detailed/178/6141443263_fgzv-25.jpg</t>
  </si>
  <si>
    <t>S-163</t>
  </si>
  <si>
    <t>Кольца поршневые бензопилы Stihl MS 440 (Ø50mm) "WOODMAN"</t>
  </si>
  <si>
    <t>https://b2beez.ru/images/detailed/178/6141443263_firc-87.jpg</t>
  </si>
  <si>
    <t>S-1721</t>
  </si>
  <si>
    <t>Звезда бензопилы (венец привода) 404-7 Stihl MS</t>
  </si>
  <si>
    <t>https://b2beez.ru/images/detailed/178/orig_qmj9-e8.jpg</t>
  </si>
  <si>
    <t>S-2</t>
  </si>
  <si>
    <t>Пружина муфты сцепления бензопилы Stihl MS 180 "FORESTER"</t>
  </si>
  <si>
    <t>https://b2beez.ru/images/detailed/179/orig_42ll-0a.jpg</t>
  </si>
  <si>
    <t>S-2156</t>
  </si>
  <si>
    <t>Бак масляный бензопилы Stihl MS 180 "FORESTER"</t>
  </si>
  <si>
    <t>https://b2beez.ru/images/detailed/179/6141443431.jpg</t>
  </si>
  <si>
    <t>S-216</t>
  </si>
  <si>
    <t>Маслонасос бензопилы Stihl MS 180/230/250 "WOODMAN"</t>
  </si>
  <si>
    <t>https://b2beez.ru/images/detailed/179/orig_brrq-qq.jpg</t>
  </si>
  <si>
    <t>S-23</t>
  </si>
  <si>
    <t>Механизм рычага ручного тормоза бензопилы Stihl MS 180 "FORESTER"</t>
  </si>
  <si>
    <t>https://b2beez.ru/images/detailed/179/orig_pwf0-lg.jpg</t>
  </si>
  <si>
    <t>S-2673</t>
  </si>
  <si>
    <t>Карбюратор бензопилы Stihl MS 230/250 (Walbro) "WOODMAN"</t>
  </si>
  <si>
    <t>https://b2beez.ru/images/detailed/179/orig_rg2j-ys.jpg</t>
  </si>
  <si>
    <t>S-2674</t>
  </si>
  <si>
    <t>Карбюратор бензопилы Stihl MS 380/381 "WOODMAN"</t>
  </si>
  <si>
    <t>https://b2beez.ru/images/detailed/179/orig_msak-d9.jpg</t>
  </si>
  <si>
    <t>S-2676</t>
  </si>
  <si>
    <t>Муфта сцепления бензопилы Stihl MS 380/381 "WOODMAN"</t>
  </si>
  <si>
    <t>https://b2beez.ru/images/detailed/179/6141443430.jpg</t>
  </si>
  <si>
    <t>S-2679</t>
  </si>
  <si>
    <t>Маслонасос бензопилы Stihl MS 380/381 "BEEZMOTO"</t>
  </si>
  <si>
    <t>https://b2beez.ru/images/detailed/179/orig_f9j0-em.jpg</t>
  </si>
  <si>
    <t>S-2681</t>
  </si>
  <si>
    <t>Маслонасос бензопилы Stihl MS 360 "WOODMAN"</t>
  </si>
  <si>
    <t>https://b2beez.ru/images/detailed/179/orig_ycjt-jw.jpg</t>
  </si>
  <si>
    <t>S-2682</t>
  </si>
  <si>
    <t>Маслонасос бензопилы Stihl MS 066/660 "WOODMAN"</t>
  </si>
  <si>
    <t>https://b2beez.ru/images/detailed/179/orig_9iwt-hy.jpg</t>
  </si>
  <si>
    <t>S-2692</t>
  </si>
  <si>
    <t>Магнето бензопилы Stihl MS 380/381 "WOODMAN"</t>
  </si>
  <si>
    <t>https://b2beez.ru/images/detailed/179/orig_so3b-j1.jpg</t>
  </si>
  <si>
    <t>S-2697</t>
  </si>
  <si>
    <t>Фильтр топливный бензопилы Stihl MS 180 "WOODMAN"</t>
  </si>
  <si>
    <t>https://b2beez.ru/images/detailed/179/orig_3vmb-um.jpg</t>
  </si>
  <si>
    <t>S-2701</t>
  </si>
  <si>
    <t>Шланг топливный бензопилы Stihl MS 180 "SUNDY"</t>
  </si>
  <si>
    <t>https://b2beez.ru/images/detailed/179/orig_gktm-6a.jpg</t>
  </si>
  <si>
    <t>S-2703</t>
  </si>
  <si>
    <t>Прокладка карбюратора бензопилы Stihl MS 180 "WOODMAN"</t>
  </si>
  <si>
    <t>https://b2beez.ru/images/detailed/179/6141443147.jpg</t>
  </si>
  <si>
    <t>S-2704</t>
  </si>
  <si>
    <t>Привод маслонасоса бензопилы Stihl MS 180 "WOODMAN"</t>
  </si>
  <si>
    <t>https://b2beez.ru/images/detailed/179/orig_88jq-31.jpg</t>
  </si>
  <si>
    <t>S-2709</t>
  </si>
  <si>
    <t>Поршневая бензопилы (ЦПГ) Stihl MS 070 (Ø58) "WOODMAN"</t>
  </si>
  <si>
    <t>https://b2beez.ru/images/detailed/179/orig_4jo3-61.jpg</t>
  </si>
  <si>
    <t>S-2710</t>
  </si>
  <si>
    <t>Поршень бензопилы Stihl MS 066 (Ø54,00) "WOODMAN"</t>
  </si>
  <si>
    <t>https://b2beez.ru/images/detailed/204/1_e6yx-50.jpg</t>
  </si>
  <si>
    <t>S-2711</t>
  </si>
  <si>
    <t>Поршень бензопилы Stihl MS 070 (Ø58.00) "WOODMAN"</t>
  </si>
  <si>
    <t>https://b2beez.ru/images/detailed/179/6141443289.jpg</t>
  </si>
  <si>
    <t>S-2712</t>
  </si>
  <si>
    <t>Кольца поршневые бензопилы Stihl MS 066 (Ø54mm) "WOODMAN"</t>
  </si>
  <si>
    <t>https://b2beez.ru/images/detailed/179/6141443384.jpg</t>
  </si>
  <si>
    <t>S-2713</t>
  </si>
  <si>
    <t>Кольца поршневые бензопилы Stihl MS 070 (Ø58mm) "WOODMAN"</t>
  </si>
  <si>
    <t>https://b2beez.ru/images/detailed/179/6141443656.jpg</t>
  </si>
  <si>
    <t>S-2747</t>
  </si>
  <si>
    <t>Цепь пильная 3/8, 1.3mm, 44зв, RS, под шину 12" (30см) Stihl 180-250 "HAOYU" (91VXL44)</t>
  </si>
  <si>
    <t>https://b2beez.ru/images/detailed/179/6152135873_8dn8-pq.jpg</t>
  </si>
  <si>
    <t>S-2749</t>
  </si>
  <si>
    <t>Цепь пильная 3/8, 1.3mm, 44зв, серп, под шину 12" (30см) Stihl 180-250 "BEEZMOTO" (91P44)</t>
  </si>
  <si>
    <t>https://b2beez.ru/images/detailed/179/orig_hdoj-u5.jpg</t>
  </si>
  <si>
    <t>S-2978</t>
  </si>
  <si>
    <t>Ремкомплект карбюратора бензопилы Stihl MS 170/180 "WOODMAN"</t>
  </si>
  <si>
    <t>https://b2beez.ru/images/detailed/179/orig_wpdj-ai.jpg</t>
  </si>
  <si>
    <t>S-2982</t>
  </si>
  <si>
    <t>Ремкомплект карбюратора бензопилы Stihl MS 290/390 "WOODMAN"</t>
  </si>
  <si>
    <t>https://b2beez.ru/images/detailed/179/orig_os8l-wb.jpg</t>
  </si>
  <si>
    <t>S-2983</t>
  </si>
  <si>
    <t>Ремкомплект карбюратора бензопилы Stihl MS 290/390 (полный) "WOODMAN"</t>
  </si>
  <si>
    <t>https://b2beez.ru/images/detailed/179/orig_l7cg-he.jpg</t>
  </si>
  <si>
    <t>S-2985</t>
  </si>
  <si>
    <t>Ремкомплект карбюратора бензопилы Stihl MS 360 (полный) "WOODMAN"</t>
  </si>
  <si>
    <t>https://b2beez.ru/images/detailed/179/orig_5xkk-q9.jpg</t>
  </si>
  <si>
    <t>S-2986</t>
  </si>
  <si>
    <t>Ремкомплект карбюратора бензопилы Stihl MS 361 "WOODMAN"</t>
  </si>
  <si>
    <t>https://b2beez.ru/images/detailed/179/orig_xuf6-lp.jpg</t>
  </si>
  <si>
    <t>S-2987</t>
  </si>
  <si>
    <t>https://b2beez.ru/images/detailed/179/orig_8vt4-gv.jpg</t>
  </si>
  <si>
    <t>S-2991</t>
  </si>
  <si>
    <t>Кольца поршневые бензопилы Stihl MS 210 (Ø40mm) "HND"</t>
  </si>
  <si>
    <t>https://b2beez.ru/images/detailed/179/6259140780.jpg</t>
  </si>
  <si>
    <t>S-2992</t>
  </si>
  <si>
    <t>Кольца поршневые бензопилы Stihl MS 230 (Ø40mm) "HND"</t>
  </si>
  <si>
    <t>https://b2beez.ru/images/detailed/179/6259140780_40cy-xk.jpg</t>
  </si>
  <si>
    <t>S-2995</t>
  </si>
  <si>
    <t>Кольца поршневые бензопилы Stihl MS 290 (Ø46mm) "HND"</t>
  </si>
  <si>
    <t>https://b2beez.ru/images/detailed/179/6259140780_zmik-46.jpg</t>
  </si>
  <si>
    <t>S-2996</t>
  </si>
  <si>
    <t>Кольца поршневые бензопилы Stihl MS 360 (Ø48mm) "HND"</t>
  </si>
  <si>
    <t>https://b2beez.ru/images/detailed/179/6259140780_25mc-zd.jpg</t>
  </si>
  <si>
    <t>S-2998</t>
  </si>
  <si>
    <t>Кольца поршневые бензопилы Stihl MS 380 (Ø52mm) "HND"</t>
  </si>
  <si>
    <t>https://b2beez.ru/images/detailed/179/6259140780_sx8c-u3.jpg</t>
  </si>
  <si>
    <t>S-2999</t>
  </si>
  <si>
    <t>Кольца поршневые бензопилы Stihl MS 381 (Ø52mm) "HND"</t>
  </si>
  <si>
    <t>https://b2beez.ru/images/detailed/179/6259140780_hczm-yy.jpg</t>
  </si>
  <si>
    <t>S-3000</t>
  </si>
  <si>
    <t>Кольца поршневые бензопилы Stihl MS 440 (Ø50mm) "HND"</t>
  </si>
  <si>
    <t>https://b2beez.ru/images/detailed/179/6259140780_ckwk-h0.jpg</t>
  </si>
  <si>
    <t>S-3199</t>
  </si>
  <si>
    <t>Цепь пильная 3/8, 1.6mm, 60зв, серп, под шину 16" (40см) Stihl 360 "STOHF"</t>
  </si>
  <si>
    <t>https://b2beez.ru/images/detailed/180/6152135917.jpg</t>
  </si>
  <si>
    <t>S-3207</t>
  </si>
  <si>
    <t>Шина для бензопилы 13" 1,3mm, 0.325, 56зв, D196 "HaoYu"</t>
  </si>
  <si>
    <t>https://b2beez.ru/images/detailed/180/orig_dpu4-eh.jpg</t>
  </si>
  <si>
    <t>S-3208</t>
  </si>
  <si>
    <t>https://b2beez.ru/images/detailed/180/orig_rwez-ap.jpg</t>
  </si>
  <si>
    <t>S-3209</t>
  </si>
  <si>
    <t>https://b2beez.ru/images/detailed/180/orig_dviw-0y.jpg</t>
  </si>
  <si>
    <t>S-3212</t>
  </si>
  <si>
    <t>Шина для бензопилы 18" 1,5mm, 3/8, 64зв, D176 "HaoYu"</t>
  </si>
  <si>
    <t>https://b2beez.ru/images/detailed/180/orig_owrl-fp.jpg</t>
  </si>
  <si>
    <t>S-3216</t>
  </si>
  <si>
    <t>Шина для бензопилы 15" 1,5mm, 0.325, 64зв "HaoYu"</t>
  </si>
  <si>
    <t>https://b2beez.ru/images/detailed/180/orig_knhy-v4.jpg</t>
  </si>
  <si>
    <t>S-3218</t>
  </si>
  <si>
    <t>Шина для бензопилы 14" 1,3mm, 3/8, 52зв, D196 "HaoYu"</t>
  </si>
  <si>
    <t>https://b2beez.ru/images/detailed/180/orig_cer2-k6.jpg</t>
  </si>
  <si>
    <t>S-3225</t>
  </si>
  <si>
    <t>Шина для бензопилы 15" 1,5mm, 3/8, 56зв, K095 "HaoYu"</t>
  </si>
  <si>
    <t>https://b2beez.ru/images/detailed/180/orig_skug-0k.jpg</t>
  </si>
  <si>
    <t>S-3226</t>
  </si>
  <si>
    <t>Шина для бензопилы 15" 1,5mm, 3/8, 56зв, K095  "HaoYu"</t>
  </si>
  <si>
    <t>https://b2beez.ru/images/detailed/180/orig_x05t-9o.jpg</t>
  </si>
  <si>
    <t>S-3263</t>
  </si>
  <si>
    <t>Цепь пильная 3/8, 1.6mm, 66зв, RS, под шину 18" (45см) Stihl 360 "BEEZMOTO"</t>
  </si>
  <si>
    <t>https://b2beez.ru/images/detailed/204/S-3263-2_91b5-h8.jpg</t>
  </si>
  <si>
    <t>S-3272</t>
  </si>
  <si>
    <t>Подшипники коленвала бензопилы (пара) Stihl MS 440 "WOODMAN"</t>
  </si>
  <si>
    <t>https://b2beez.ru/images/detailed/180/orig_r9jq-rf.jpg</t>
  </si>
  <si>
    <t>S-3275</t>
  </si>
  <si>
    <t>Ремкомплект карбюратора бензопилы Stihl MS 440 (полный) "WOODMAN"</t>
  </si>
  <si>
    <t>https://b2beez.ru/images/detailed/180/orig_u0qw-q7.jpg</t>
  </si>
  <si>
    <t>S-3276</t>
  </si>
  <si>
    <t>Муфта сцепления бензопилы Stihl MS 440 "WOODMAN"</t>
  </si>
  <si>
    <t>https://b2beez.ru/images/detailed/180/6141443189.jpg</t>
  </si>
  <si>
    <t>S-3277</t>
  </si>
  <si>
    <t>Пружина муфты сцепления бензопилы Stihl MS 440 "WOODMAN"</t>
  </si>
  <si>
    <t>https://b2beez.ru/images/detailed/180/orig_0gin-id.jpg</t>
  </si>
  <si>
    <t>S-3279</t>
  </si>
  <si>
    <t>Шкив стартера (храповик) бензопилы Stihl MS 440 "WOODMAN"</t>
  </si>
  <si>
    <t>https://b2beez.ru/images/detailed/180/orig_8tyq-co.jpg</t>
  </si>
  <si>
    <t>S-3287</t>
  </si>
  <si>
    <t>Маслонасос бензопилы Stihl MS 440 "WOODMAN"</t>
  </si>
  <si>
    <t>https://b2beez.ru/images/detailed/180/6141443678.jpg</t>
  </si>
  <si>
    <t>S-3288</t>
  </si>
  <si>
    <t>Магнето бензопилы Stihl MS 440 "WOODMAN"</t>
  </si>
  <si>
    <t>https://b2beez.ru/images/detailed/180/orig_poq9-ms.jpg</t>
  </si>
  <si>
    <t>S-3299</t>
  </si>
  <si>
    <t>Декомпрессионный клапан бензопилы Stihl MS 240/260/360/381/440/460/461/650/660, FS 300,500 "WOODMAN"</t>
  </si>
  <si>
    <t>https://b2beez.ru/images/detailed/180/orig_l9xu-cq.jpg</t>
  </si>
  <si>
    <t>S-3305</t>
  </si>
  <si>
    <t>Кольцо задней рукоятки (корпуса топливного бака) бензопилы Stihl MS 440/460/461/640/650/660 "WOODMAN</t>
  </si>
  <si>
    <t>https://b2beez.ru/images/detailed/180/6141443777.jpg</t>
  </si>
  <si>
    <t>S-3308</t>
  </si>
  <si>
    <t>Курок ручки газа бензопилы Stihl MS 210/230/250/290/310/390/440/460/461 "WOODMAN"</t>
  </si>
  <si>
    <t>https://b2beez.ru/images/detailed/180/orig_yjqs-r4.jpg</t>
  </si>
  <si>
    <t>S-3435</t>
  </si>
  <si>
    <t>Карбюратор бензопилы Stihl MS 230/250 (Walbro) "XINLONG"</t>
  </si>
  <si>
    <t>https://b2beez.ru/images/detailed/180/orig_adzg-x2.jpg</t>
  </si>
  <si>
    <t>S-3437</t>
  </si>
  <si>
    <t>Карбюратор бензопилы Stihl MS 230/250 "XINLONG"</t>
  </si>
  <si>
    <t>https://b2beez.ru/images/detailed/180/orig_27gt-xw.jpg</t>
  </si>
  <si>
    <t>S-3442</t>
  </si>
  <si>
    <t>Карбюратор бензопилы Stihl MS 380/381 "XINLONG"</t>
  </si>
  <si>
    <t>https://b2beez.ru/images/detailed/180/orig_p255-sd.jpg</t>
  </si>
  <si>
    <t>S-3446</t>
  </si>
  <si>
    <t>Карбюратор бензопилы Komatsu ZENOAH 6200 "XINLONG"</t>
  </si>
  <si>
    <t>https://b2beez.ru/images/detailed/180/orig_7sro-li.jpg</t>
  </si>
  <si>
    <t>S-3450</t>
  </si>
  <si>
    <t>Ремкомплект карбюратора бензопилы Stihl MS 380/381 "XINLONG"</t>
  </si>
  <si>
    <t>https://b2beez.ru/images/detailed/180/6141443338.jpg</t>
  </si>
  <si>
    <t>S-3453</t>
  </si>
  <si>
    <t>Ремкомплект карбюратора бензопилы Husqvarna 268 "XINLONG"</t>
  </si>
  <si>
    <t>https://b2beez.ru/images/detailed/180/6141443440.jpg</t>
  </si>
  <si>
    <t>S-3454</t>
  </si>
  <si>
    <t>Ремкомплект карбюратора бензопилы Stihl MS 290/440 "XINLONG"</t>
  </si>
  <si>
    <t>https://b2beez.ru/images/detailed/180/orig_812w-3h.jpg</t>
  </si>
  <si>
    <t>S-3455</t>
  </si>
  <si>
    <t>Ремкомплект карбюратора бензопилы Stihl MS 660 "XINLONG"</t>
  </si>
  <si>
    <t>https://b2beez.ru/images/detailed/180/orig_cs4j-0j.jpg</t>
  </si>
  <si>
    <t>S-3682</t>
  </si>
  <si>
    <t>Тарелка сцепления бензопилы (под съемную звезду) Stihl MS 024/026 (+звезда) "ZUNA"</t>
  </si>
  <si>
    <t>https://b2beez.ru/images/detailed/180/orig_uqhq-he.jpg</t>
  </si>
  <si>
    <t>S-3692</t>
  </si>
  <si>
    <t>Тарелка сцепления бензопилы (звезда ведущая) Stihl MS 024/026 (+сепаратор)</t>
  </si>
  <si>
    <t>https://b2beez.ru/images/detailed/180/orig_v77y-pq.jpg</t>
  </si>
  <si>
    <t>S-3696</t>
  </si>
  <si>
    <t>Тарелка сцепления бензопилы (звезда ведущая) Stihl MS 440 "SMP"</t>
  </si>
  <si>
    <t>https://b2beez.ru/images/detailed/180/orig_hvrt-qu.jpg</t>
  </si>
  <si>
    <t>S-3697</t>
  </si>
  <si>
    <t>Тарелка сцепления бензопилы (звезда ведущая) Stihl MS 024/026</t>
  </si>
  <si>
    <t>https://b2beez.ru/images/detailed/180/orig_w1og-8w.jpg</t>
  </si>
  <si>
    <t>S-3819</t>
  </si>
  <si>
    <t>Звезда бензопилы (венец привода) P-7 (d=17mm) Stihl MS "ZUMBA"</t>
  </si>
  <si>
    <t>https://b2beez.ru/images/detailed/180/6141443288.jpg</t>
  </si>
  <si>
    <t>S-3848</t>
  </si>
  <si>
    <t>Кольца поршневые бензопилы Stihl MS 180 (Ø38mm) "SUNDY"</t>
  </si>
  <si>
    <t>https://b2beez.ru/images/detailed/180/orig_qy16-xi.jpg</t>
  </si>
  <si>
    <t>S-3853</t>
  </si>
  <si>
    <t>Кольца поршневые бензопилы Stihl MS 230 (Ø40mm) "MANLE"</t>
  </si>
  <si>
    <t>https://b2beez.ru/images/detailed/181/6259140839.jpg</t>
  </si>
  <si>
    <t>S-3854</t>
  </si>
  <si>
    <t>Кольца поршневые бензопилы Stihl MS 250 (Ø42,5mm) "ZUNA"</t>
  </si>
  <si>
    <t>https://b2beez.ru/images/detailed/181/6259140830.jpg</t>
  </si>
  <si>
    <t>S-3855</t>
  </si>
  <si>
    <t>Кольца поршневые бензопилы Stihl MS 250 (Ø42,5mm) "MANLE"</t>
  </si>
  <si>
    <t>https://b2beez.ru/images/detailed/181/6259140830_noqg-z8.jpg</t>
  </si>
  <si>
    <t>S-3875</t>
  </si>
  <si>
    <t>Поршень бензопилы Stihl MS 180 (Ø38,00, p-10) "Gammart"</t>
  </si>
  <si>
    <t>https://b2beez.ru/images/detailed/181/orig_l0es-0u.jpg</t>
  </si>
  <si>
    <t>S-3881</t>
  </si>
  <si>
    <t>Поршень бензопилы Stihl MS 361 (Ø47,00, p-11) "ZUNA"</t>
  </si>
  <si>
    <t>https://b2beez.ru/images/detailed/181/6259140938.jpg</t>
  </si>
  <si>
    <t>S-3888</t>
  </si>
  <si>
    <t>Поршневая бензопилы (ЦПГ) Stihl MS 180 (Ø38, p-10) (+поддон, черная) "WOODMAN"</t>
  </si>
  <si>
    <t>https://b2beez.ru/images/detailed/181/orig_s86p-te.jpg</t>
  </si>
  <si>
    <t>S-3907</t>
  </si>
  <si>
    <t>Поршневая бензопилы (ЦПГ) Stihl MS 230 (Ø40) (черная) "MANLE"</t>
  </si>
  <si>
    <t>https://b2beez.ru/images/detailed/181/orig_b2bt-8r.jpg</t>
  </si>
  <si>
    <t>S-3937</t>
  </si>
  <si>
    <t>Ремкомплект карбюратора бензопилы Stihl MS 180 "ZUMBA"</t>
  </si>
  <si>
    <t>https://b2beez.ru/images/detailed/181/orig_f8os-21.jpg</t>
  </si>
  <si>
    <t>S-3938</t>
  </si>
  <si>
    <t>Ремкомплект карбюратора бензопилы Stihl MS 230/250 "ZUNA"</t>
  </si>
  <si>
    <t>https://b2beez.ru/images/detailed/181/6316443871.jpg</t>
  </si>
  <si>
    <t>S-3941</t>
  </si>
  <si>
    <t>Ремкомплект карбюратора бензопилы Stihl MS 361 (полный) "MANLE"</t>
  </si>
  <si>
    <t>https://b2beez.ru/images/detailed/181/orig_nakt-wp.jpg</t>
  </si>
  <si>
    <t>S-4028</t>
  </si>
  <si>
    <t>Тарелка сцепления бензопилы (звезда ведущая) Stihl MS 170/180 (6 зуб) (+сепаратор,шайба,стопор) "BEEZMOTO"</t>
  </si>
  <si>
    <t>https://b2beez.ru/images/detailed/181/7061786956.jpg</t>
  </si>
  <si>
    <t>S-4184</t>
  </si>
  <si>
    <t>Элемент воздушного фильтра бензопилы Stihl MS 180  "WOODMAN"</t>
  </si>
  <si>
    <t>https://b2beez.ru/images/detailed/181/orig_r5n7-f5.jpg</t>
  </si>
  <si>
    <t>S-458</t>
  </si>
  <si>
    <t>Муфта сцепления бензопилы Stihl MS 180/230/250 "WOODMAN"</t>
  </si>
  <si>
    <t>https://b2beez.ru/images/detailed/181/orig_ddnj-7i.jpg</t>
  </si>
  <si>
    <t>S-4601</t>
  </si>
  <si>
    <t>Поршневая бензопилы (ЦПГ) Stihl MS 230 (Ø40) "MANLE"</t>
  </si>
  <si>
    <t>https://b2beez.ru/images/detailed/181/orig_ot4d-xl.jpg</t>
  </si>
  <si>
    <t>S-4988</t>
  </si>
  <si>
    <t>Крышка бака масляного бензопилы Stihl MS 180 "BEEZMOTO"</t>
  </si>
  <si>
    <t>https://b2beez.ru/images/detailed/181/orig_bglb-ug.jpg</t>
  </si>
  <si>
    <t>S-4990</t>
  </si>
  <si>
    <t>Крышка бака топливного бензопилы Stihl MS 181-880, масляного бака MS 270/280/290/440-880 "WOODMAN"</t>
  </si>
  <si>
    <t>https://b2beez.ru/images/detailed/181/orig_o4ll-tj.jpg</t>
  </si>
  <si>
    <t>S-4999</t>
  </si>
  <si>
    <t>Манжет коллектора карбюратора бензопилы Stihl MS 180 "WOODMAN"</t>
  </si>
  <si>
    <t>https://b2beez.ru/images/detailed/181/6286958905.jpg</t>
  </si>
  <si>
    <t>S-5002</t>
  </si>
  <si>
    <t>Патрубок карбюратора (коллектор) бензопилы Stihl MS 180 "FORESTER" (mod.A)</t>
  </si>
  <si>
    <t>https://b2beez.ru/images/detailed/181/orig_8r1v-ml.jpg</t>
  </si>
  <si>
    <t>S-5018</t>
  </si>
  <si>
    <t>Поршень бензопилы Stihl MS 240 (Ø42,00, p-10) "WOODMAN" (mod.A)</t>
  </si>
  <si>
    <t>https://b2beez.ru/images/detailed/181/orig_4u9w-x7.jpg</t>
  </si>
  <si>
    <t>S-5048</t>
  </si>
  <si>
    <t>Привод маслонасоса бензопилы Stihl MS 180 "WOODMAN" (mod.A)</t>
  </si>
  <si>
    <t>https://b2beez.ru/images/detailed/181/orig_58b6-5n.jpg</t>
  </si>
  <si>
    <t>S-5073</t>
  </si>
  <si>
    <t>Тарелка сцепления бензопилы (под съемную звезду) Stihl MS 361 (+звезда) "WOODMAN"</t>
  </si>
  <si>
    <t>https://b2beez.ru/images/detailed/181/orig_he4t-rc.jpg</t>
  </si>
  <si>
    <t>S-5075</t>
  </si>
  <si>
    <t>Всасывающая головка бензопилы Stihl MS "WOODMAN"</t>
  </si>
  <si>
    <t>https://b2beez.ru/images/detailed/181/6141443583.jpg</t>
  </si>
  <si>
    <t>S-5101</t>
  </si>
  <si>
    <t>Шпилька шины бензопилы Stihl MS "WOODMAN" (mod.A)</t>
  </si>
  <si>
    <t>https://b2beez.ru/images/detailed/181/orig_yiq5-ln.jpg</t>
  </si>
  <si>
    <t>S-573</t>
  </si>
  <si>
    <t>Подшипники коленвала бензопилы (пара) Stihl MS 180 "BEEZMOTO"</t>
  </si>
  <si>
    <t>https://b2beez.ru/images/detailed/181/orig_y3iu-al.jpg</t>
  </si>
  <si>
    <t>S-590</t>
  </si>
  <si>
    <t>Поршень бензопилы Stihl MS 361 (Ø47,00, p-11) "WOODMAN"</t>
  </si>
  <si>
    <t>https://b2beez.ru/images/detailed/181/orig_wp6f-0w.jpg</t>
  </si>
  <si>
    <t>S-591</t>
  </si>
  <si>
    <t>Поршень бензопилы Stihl MS 380 (Ø52,00, p-12) "WOODMAN"</t>
  </si>
  <si>
    <t>https://b2beez.ru/images/detailed/181/orig_ksbf-rx.jpg</t>
  </si>
  <si>
    <t>S-593</t>
  </si>
  <si>
    <t>Поршень бензопилы Stihl MS 440 (Ø50,00, p-12) "WOODMAN"</t>
  </si>
  <si>
    <t>https://b2beez.ru/images/detailed/181/orig_zgya-fe.jpg</t>
  </si>
  <si>
    <t>S-609</t>
  </si>
  <si>
    <t>Поршневая бензопилы (ЦПГ) Stihl MS 230 (Ø40) "WOODMAN"</t>
  </si>
  <si>
    <t>https://b2beez.ru/images/detailed/181/6129909010.jpg</t>
  </si>
  <si>
    <t>S-620</t>
  </si>
  <si>
    <t>Поршневая бензопилы (ЦПГ) Stihl MS 380 (Ø52) "WOODMAN"</t>
  </si>
  <si>
    <t>https://b2beez.ru/images/detailed/181/orig_1y6c-ca.jpg</t>
  </si>
  <si>
    <t>S-621</t>
  </si>
  <si>
    <t>Поршневая бензопилы (ЦПГ) Stihl MS 380 (Ø52) (черная) "WOODMAN"</t>
  </si>
  <si>
    <t>https://b2beez.ru/images/detailed/181/orig_1xuf-oh.jpg</t>
  </si>
  <si>
    <t>U-10</t>
  </si>
  <si>
    <t>Звезда бензопилы (венец привода) P-7 (d=17mm) Stihl MS "JINTAI"</t>
  </si>
  <si>
    <t>https://b2beez.ru/images/detailed/183/orig_8mx1-7i.jpg</t>
  </si>
  <si>
    <t>U-15</t>
  </si>
  <si>
    <t>Цепь пильная (бухта) 3/8, 1.5mm, (30.5 м) "HAOYU"</t>
  </si>
  <si>
    <t>U-17</t>
  </si>
  <si>
    <t>Цепь пильная (бухта) 0.325, 1.3mm, RS (30.5м) "HAOYU"</t>
  </si>
  <si>
    <t>https://b2beez.ru/images/detailed/183/6152830442.jpg</t>
  </si>
  <si>
    <t>U-191</t>
  </si>
  <si>
    <t>Шина для бензопилы 18" 1,5mm, 0,325, 72зв "ORN" (mod:B)</t>
  </si>
  <si>
    <t>https://b2beez.ru/images/detailed/183/orig_lm6z-rp.jpg</t>
  </si>
  <si>
    <t>U-197</t>
  </si>
  <si>
    <t>Шина для бензопилы 18" 1,5mm, 3/8, 64зв, D176 "ORN"</t>
  </si>
  <si>
    <t>https://b2beez.ru/images/detailed/183/orig_0wqe-ge.jpg</t>
  </si>
  <si>
    <t>U-198</t>
  </si>
  <si>
    <t>https://b2beez.ru/images/detailed/183/orig_pkwb-7w.jpg</t>
  </si>
  <si>
    <t>U-200</t>
  </si>
  <si>
    <t>Шина для бензопилы 18" 1,5mm, 3/8, 64зв, D176 "BEEZMOTO"</t>
  </si>
  <si>
    <t>https://b2beez.ru/images/detailed/183/orig_5kgn-yl.jpg</t>
  </si>
  <si>
    <t>U-201</t>
  </si>
  <si>
    <t>Шина для бензопилы 18" 1,5mm, 3/8, 64зв, D176  "STIHL"</t>
  </si>
  <si>
    <t>https://b2beez.ru/images/detailed/184/orig.jpg</t>
  </si>
  <si>
    <t>U-202</t>
  </si>
  <si>
    <t>Шина для бензопилы 18" 1,5mm, 3/8, 64зв, D176 "STIHL"</t>
  </si>
  <si>
    <t>https://b2beez.ru/images/detailed/184/orig_hzl6-a3.jpg</t>
  </si>
  <si>
    <t>U-205</t>
  </si>
  <si>
    <t>Шина для бензопилы 18" 1,6mm, 3/8, 64зв, D176 "HSQ"</t>
  </si>
  <si>
    <t>https://b2beez.ru/images/detailed/184/orig_esu4-oe.jpg</t>
  </si>
  <si>
    <t>U-209</t>
  </si>
  <si>
    <t>Шина для бензопилы 18" 1,6mm, 3/8, 66зв "ORN" (mod:A)</t>
  </si>
  <si>
    <t>https://b2beez.ru/images/detailed/184/6259144516.jpg</t>
  </si>
  <si>
    <t>U-211</t>
  </si>
  <si>
    <t>Шина для бензопилы 18" 1,6mm, 3/8, 66зв, D024 "BEEZMOTO"</t>
  </si>
  <si>
    <t>https://b2beez.ru/images/detailed/184/orig_6mvw-cx.jpg</t>
  </si>
  <si>
    <t>U-221</t>
  </si>
  <si>
    <t>Шина для бензопилы 20" 1,5mm, 0.325, 76зв, D176 "ORN"</t>
  </si>
  <si>
    <t>https://b2beez.ru/images/detailed/184/orig_tyaw-fa.jpg</t>
  </si>
  <si>
    <t>U-236</t>
  </si>
  <si>
    <t>Звезда бензопилы (венец привода) P-7 (d=17mm) Stihl MS "WOODMAN"</t>
  </si>
  <si>
    <t>https://b2beez.ru/images/detailed/184/orig_0p22-7f.jpg</t>
  </si>
  <si>
    <t>U-249</t>
  </si>
  <si>
    <t>Фильтр топливный бензопилы (L-28mm, h-20mm, Ø5,4mm, mod.2015) "BEST" (mod.A)</t>
  </si>
  <si>
    <t>https://b2beez.ru/images/detailed/184/orig_rqof-mt.jpg</t>
  </si>
  <si>
    <t>U-261</t>
  </si>
  <si>
    <t>Чехол шины пильной 12-18" (45см) (черный, пластмассовый) "BEEZMOTO"</t>
  </si>
  <si>
    <t>https://b2beez.ru/images/detailed/184/orig_y309-qe.jpg</t>
  </si>
  <si>
    <t>U-268</t>
  </si>
  <si>
    <t>Шина для бензопилы 12" 1,1mm, 3/8, 44зв, A064 "BEEZMOTO"</t>
  </si>
  <si>
    <t>https://b2beez.ru/images/detailed/184/orig_boub-ke.jpg</t>
  </si>
  <si>
    <t>U-272</t>
  </si>
  <si>
    <t>Шина для бензопилы 13" 1,3mm, 0.325, 56зв, D196 "PROFESSIONAL"</t>
  </si>
  <si>
    <t>https://b2beez.ru/images/detailed/184/orig_eqxy-5r.jpg</t>
  </si>
  <si>
    <t>U-273</t>
  </si>
  <si>
    <t>Шина для бензопилы 13" 1,3mm, 0.325, 56зв, K095 "BEEZMOTO"</t>
  </si>
  <si>
    <t>https://b2beez.ru/images/detailed/184/orig_jc6v-m5.jpg</t>
  </si>
  <si>
    <t>U-274</t>
  </si>
  <si>
    <t>Шина для бензопилы 13" 1,5mm, 0.325, 56зв, D196 "BEEZMOTO"</t>
  </si>
  <si>
    <t>https://b2beez.ru/images/detailed/184/orig_bgq6-pn.jpg</t>
  </si>
  <si>
    <t>U-275</t>
  </si>
  <si>
    <t>Шина для бензопилы 13" 1,5mm, 0.325, 56зв, K095 "BEEZMOTO"</t>
  </si>
  <si>
    <t>https://b2beez.ru/images/detailed/184/orig_8k3n-zd.jpg</t>
  </si>
  <si>
    <t>U-276</t>
  </si>
  <si>
    <t>Шина для бензопилы 14" 1,1mm, 3/8, 50зв "BEEZMOTO"</t>
  </si>
  <si>
    <t>https://b2beez.ru/images/detailed/184/orig_ft6a-sq.jpg</t>
  </si>
  <si>
    <t>U-279</t>
  </si>
  <si>
    <t>Шина для бензопилы 14" 1,3mm, 3/8, 52зв (without logo) "BEEZMOTO"</t>
  </si>
  <si>
    <t>https://b2beez.ru/images/detailed/184/orig_ilvg-4x.jpg</t>
  </si>
  <si>
    <t>U-283</t>
  </si>
  <si>
    <t>Шина для бензопилы 15" 1,6mm, 3/8, 56зв (without logo) "BEEZMOTO"</t>
  </si>
  <si>
    <t>https://b2beez.ru/images/detailed/184/orig_e3ft-ih.jpg</t>
  </si>
  <si>
    <t>U-284</t>
  </si>
  <si>
    <t>Шина для бензопилы 15" 1,6mm, 3/8, 56зв, D196 "BEEZMOTO"</t>
  </si>
  <si>
    <t>https://b2beez.ru/images/detailed/184/orig_j1zc-ti.jpg</t>
  </si>
  <si>
    <t>U-285</t>
  </si>
  <si>
    <t>Шина для бензопилы 16" 1,1mm, 3/8, 56/57зв, D176 'BEEZMOTO'</t>
  </si>
  <si>
    <t>https://b2beez.ru/images/detailed/184/orig_g2lo-la.jpg</t>
  </si>
  <si>
    <t>U-286</t>
  </si>
  <si>
    <t>Шина для бензопилы 16" 1,1mm, 3/8, 56/57зв "BEST" (mod.B)</t>
  </si>
  <si>
    <t>https://b2beez.ru/images/detailed/184/6259144507.jpg</t>
  </si>
  <si>
    <t>U-287</t>
  </si>
  <si>
    <t>Шина для бензопилы 16" 1,3mm, 13/40, 67зв, D024 "BEEZMOTO"</t>
  </si>
  <si>
    <t>https://b2beez.ru/images/detailed/184/orig_6208-4k.jpg</t>
  </si>
  <si>
    <t>U-288</t>
  </si>
  <si>
    <t>Шина для бензопилы 16" 1,3mm, 13/40, 67зв, D025 (without logo) "BEEZMOTO"</t>
  </si>
  <si>
    <t>https://b2beez.ru/images/detailed/184/orig_f3fd-jm.jpg</t>
  </si>
  <si>
    <t>U-297</t>
  </si>
  <si>
    <t>Шина для бензопилы 16" 1,5mm, 0.325, 66зв (without logo) "BEEZMOTO"</t>
  </si>
  <si>
    <t>https://b2beez.ru/images/detailed/184/orig_hrm3-jq.jpg</t>
  </si>
  <si>
    <t>U-301</t>
  </si>
  <si>
    <t>Шина для бензопилы 18" 1,5mm, 0,325, 72зв, D176 "BEEZMOTO"</t>
  </si>
  <si>
    <t>https://b2beez.ru/images/detailed/184/orig_vypo-pi.jpg</t>
  </si>
  <si>
    <t>U-303</t>
  </si>
  <si>
    <t>https://b2beez.ru/images/detailed/184/orig_8t4z-n1.jpg</t>
  </si>
  <si>
    <t>U-304</t>
  </si>
  <si>
    <t>https://b2beez.ru/images/detailed/184/orig_9r97-1v.jpg</t>
  </si>
  <si>
    <t>U-305</t>
  </si>
  <si>
    <t>Шина для бензопилы 18" 1,6mm, 3/8, 64зв, D176 "BEEZMOTO"</t>
  </si>
  <si>
    <t>https://b2beez.ru/images/detailed/184/orig_ni6r-c9.jpg</t>
  </si>
  <si>
    <t>U-306</t>
  </si>
  <si>
    <t>https://b2beez.ru/images/detailed/184/orig_sw7g-uu.jpg</t>
  </si>
  <si>
    <t>U-311</t>
  </si>
  <si>
    <t>Шина для бензопилы 20" 1,6mm, 3/8, 72зв, D176 "BEEZMOTO"</t>
  </si>
  <si>
    <t>https://b2beez.ru/images/detailed/184/orig_wmsv-8m.jpg</t>
  </si>
  <si>
    <t>U-43</t>
  </si>
  <si>
    <t>Фильтр топливный бензопилы (L-24mm, h-15mm, Ø5,4mm, mod.2016) "KW"</t>
  </si>
  <si>
    <t>https://b2beez.ru/images/detailed/184/orig_i6sl-g8.jpg</t>
  </si>
  <si>
    <t>U-46</t>
  </si>
  <si>
    <t>Фильтр топливный бензопилы (L-22mm, h-16,8mm, Ø5,2mm, mod.2017-1 TEJI) "KW"</t>
  </si>
  <si>
    <t>https://b2beez.ru/images/detailed/184/orig_zqtp-m0.jpg</t>
  </si>
  <si>
    <t>U-47</t>
  </si>
  <si>
    <t>Фильтр топливный бензопилы (L-23mm, h-17,5mm, Ø4,1mm, mod.2009A) "KW"</t>
  </si>
  <si>
    <t>https://b2beez.ru/images/detailed/184/orig_j81n-dm.jpg</t>
  </si>
  <si>
    <t>U-48</t>
  </si>
  <si>
    <t>Фильтр топливный бензопилы (L-22mm, h-18mm, Ø5,2mm, mod.2017-2) "KW"</t>
  </si>
  <si>
    <t>https://b2beez.ru/images/detailed/184/orig_zo7h-uq.jpg</t>
  </si>
  <si>
    <t>U-52</t>
  </si>
  <si>
    <t>Фильтр топливный бензопилы (L-28mm, h-20mm, Ø8,5mm, mod.2015A) "KW"</t>
  </si>
  <si>
    <t>https://b2beez.ru/images/detailed/184/orig_ad57-no.jpg</t>
  </si>
  <si>
    <t>U-54</t>
  </si>
  <si>
    <t>Фильтр топливный бензопилы (L-31mm, h-20mm, Ø4,5mm, mod.2026B) "KW"</t>
  </si>
  <si>
    <t>https://b2beez.ru/images/detailed/184/orig_em0y-1g.jpg</t>
  </si>
  <si>
    <t>U-55</t>
  </si>
  <si>
    <t>Фильтр топливный бензопилы (L-31mm, h-20mm, Ø4,6mm, mod.2026) "KW"</t>
  </si>
  <si>
    <t>https://b2beez.ru/images/detailed/184/orig_lf3i-p5.jpg</t>
  </si>
  <si>
    <t>U-57</t>
  </si>
  <si>
    <t>Фильтр топливный бензопилы Husqvarna 137/142 (L-31mm, h-20mm, Ø5mm, mod.2026-RED) (x5шт) "BEEZMOTO"</t>
  </si>
  <si>
    <t>https://b2beez.ru/images/detailed/184/orig_tnvh-me.jpg</t>
  </si>
  <si>
    <t>U-58</t>
  </si>
  <si>
    <t>Фильтр топливный бензопилы (L-31mm, h-20mm, Ø6mm, mod:2026A) "KW"</t>
  </si>
  <si>
    <t>https://b2beez.ru/images/detailed/184/orig_9v4q-6v.jpg</t>
  </si>
  <si>
    <t>U-59</t>
  </si>
  <si>
    <t>Фильтр топливный бензопилы (L-31mm, h-20mm, Ø8,3mm, mod.2026E) "KW"</t>
  </si>
  <si>
    <t>https://b2beez.ru/images/detailed/184/orig_18jw-2h.jpg</t>
  </si>
  <si>
    <t>U-66</t>
  </si>
  <si>
    <t>Фильтр топливный бензопилы (L-33,5mm, h-17,5mm, Ø8,3mm, mod.2012) "KW"</t>
  </si>
  <si>
    <t>https://b2beez.ru/images/detailed/184/orig_q5ix-fd.jpg</t>
  </si>
  <si>
    <t>U-67</t>
  </si>
  <si>
    <t>Фильтр топливный бензопилы (L-32mm, h-18mm, Ø4,8mm, mod:202-1) "KW"</t>
  </si>
  <si>
    <t>https://b2beez.ru/images/detailed/184/orig_lgwi-cc.jpg</t>
  </si>
  <si>
    <t>U-68</t>
  </si>
  <si>
    <t>Фильтр топливный бензопилы (L-31mm, h-19mm, Ø5mm, mod.203) "KW"</t>
  </si>
  <si>
    <t>https://b2beez.ru/images/detailed/184/orig_uf0i-xr.jpg</t>
  </si>
  <si>
    <t>U-72</t>
  </si>
  <si>
    <t>Фильтр топливный бензопилы (L-22mm, h-34,5mm, Ø8,3mm, mod:2013) "KW"</t>
  </si>
  <si>
    <t>https://b2beez.ru/images/detailed/184/orig_moo4-id.jpg</t>
  </si>
  <si>
    <t>U-75</t>
  </si>
  <si>
    <t>Фильтр топливный бензопилы (L-14mm, h-27mm, Ø5,5mm, mod:2024A) "KW"</t>
  </si>
  <si>
    <t>https://b2beez.ru/images/detailed/184/6141566385.jpg</t>
  </si>
  <si>
    <t>U-82</t>
  </si>
  <si>
    <t>Звезда бензопилы (венец привода) 325-7 Goodluck GL4500/5200, Husqvarna 137/142 "BEEZMOTO"</t>
  </si>
  <si>
    <t>https://b2beez.ru/images/detailed/184/orig_h0st-mp.jpg</t>
  </si>
  <si>
    <t>C-484</t>
  </si>
  <si>
    <t>Цепь пильная 3/8, 1.3mm, 62зв, RS, под шину 18" (45см) "STL"</t>
  </si>
  <si>
    <t>https://b2beez.ru/images/detailed/204/C-484_nuvv-6r.jpg</t>
  </si>
  <si>
    <t>C-498</t>
  </si>
  <si>
    <t>Цепь пильная 3/8, 1.6mm, 64зв, RS, под шину 17" (43см) "Stihl"</t>
  </si>
  <si>
    <t>https://b2beez.ru/images/detailed/156/orig_hcnp-o2.jpg</t>
  </si>
  <si>
    <t>C-505</t>
  </si>
  <si>
    <t>Цепь пильная 325, 1.5mm, 64зв, RS, под шину 16" (40см) Husqvarna 340/345 "BEEZMOTO"</t>
  </si>
  <si>
    <t>https://b2beez.ru/images/detailed/156/orig_iqqw-lo.jpg</t>
  </si>
  <si>
    <t>C-698</t>
  </si>
  <si>
    <t>Цепь пильная 3/8, 1.3mm, 56зв, серп, под шину 16" (40см) Partner 350-401 "HAOYU"</t>
  </si>
  <si>
    <t>https://b2beez.ru/images/detailed/156/6152135865.jpg</t>
  </si>
  <si>
    <t>C-727</t>
  </si>
  <si>
    <t>Цепь пильная 3/8, 1.3mm, 52зв, RS, под шину 14" (35см) Partner 350-401 "STL"</t>
  </si>
  <si>
    <t>https://b2beez.ru/images/detailed/204/C-727.jpg</t>
  </si>
  <si>
    <t>D-3060</t>
  </si>
  <si>
    <t>Карбюратор бензопилы Stihl MS 230/250 (Walbro) "BEST"</t>
  </si>
  <si>
    <t>https://b2beez.ru/images/detailed/158/orig_hptv-o1.jpg</t>
  </si>
  <si>
    <t>D-3084</t>
  </si>
  <si>
    <t>Кольца поршневые китайской бензопилы 52см3 (Ø45mm) "BEST" (mod.A)</t>
  </si>
  <si>
    <t>https://b2beez.ru/images/detailed/158/6259140758_b9yc-51.jpg</t>
  </si>
  <si>
    <t>D-3115</t>
  </si>
  <si>
    <t>Маслонасос бензопилы Goodluck GL 4500/5200 "BEST"</t>
  </si>
  <si>
    <t>https://b2beez.ru/images/detailed/158/orig_himt-qu.jpg</t>
  </si>
  <si>
    <t>D-3161</t>
  </si>
  <si>
    <t>Пластина натяжителя цепи бензопилы Goodluck GL 4500/5200 "BEST"</t>
  </si>
  <si>
    <t>https://b2beez.ru/images/detailed/158/6259140864.jpg</t>
  </si>
  <si>
    <t>D-3165</t>
  </si>
  <si>
    <t>Подшипники коленвала бензопилы (пара) Goodluck GL4500/5200 "BEST"</t>
  </si>
  <si>
    <t>https://b2beez.ru/images/detailed/158/orig_rfzj-le.jpg</t>
  </si>
  <si>
    <t>D-3234</t>
  </si>
  <si>
    <t>Сепаратор тарелки сцепления бензопилы Husqvarna 137/142 "BEST"</t>
  </si>
  <si>
    <t>https://b2beez.ru/images/detailed/158/orig_l5hx-fq.jpg</t>
  </si>
  <si>
    <t>D-3312</t>
  </si>
  <si>
    <t>https://b2beez.ru/images/detailed/158/orig_jd9o-6z.jpg</t>
  </si>
  <si>
    <t>D-3313</t>
  </si>
  <si>
    <t>Шина для бензопилы 13" 1,5mm, 0.325, 56зв, K095 "PROFESSIONAL"</t>
  </si>
  <si>
    <t>https://b2beez.ru/images/detailed/158/orig_67b6-5a.jpg</t>
  </si>
  <si>
    <t>D-3330</t>
  </si>
  <si>
    <t>https://b2beez.ru/images/detailed/158/7062130103.jpg</t>
  </si>
  <si>
    <t>D-3355</t>
  </si>
  <si>
    <t>Планка натяжителя цепи Stihl MS 180 "BEST"</t>
  </si>
  <si>
    <t>https://b2beez.ru/images/detailed/159/6141443402.jpg</t>
  </si>
  <si>
    <t>G-1936</t>
  </si>
  <si>
    <t>Рукоятка передняя бензопилы Goodluck GL 2400</t>
  </si>
  <si>
    <t>https://b2beez.ru/images/detailed/161/6259141004.jpg</t>
  </si>
  <si>
    <t>G-1937</t>
  </si>
  <si>
    <t>Рукоятка задняя бензопилы Goodluck GL 2400</t>
  </si>
  <si>
    <t>https://b2beez.ru/images/detailed/161/orig_5g97-oe.jpg</t>
  </si>
  <si>
    <t>G-1946</t>
  </si>
  <si>
    <t>Натяжитель цепи бензопилы Goodluck GL 2400</t>
  </si>
  <si>
    <t>https://b2beez.ru/images/detailed/161/orig_yv24-ve.jpg</t>
  </si>
  <si>
    <t>G-1947</t>
  </si>
  <si>
    <t>Пластина натяжителя цепи бензопилы Goodluck GL 2400</t>
  </si>
  <si>
    <t>https://b2beez.ru/images/detailed/161/orig_dcco-2e.jpg</t>
  </si>
  <si>
    <t>G-1948</t>
  </si>
  <si>
    <t>Лента тормоза бензопилы Goodluck GL 2400</t>
  </si>
  <si>
    <t>https://b2beez.ru/images/detailed/161/orig_hude-h2.jpg</t>
  </si>
  <si>
    <t>G-1949</t>
  </si>
  <si>
    <t>Пружина стартера бензопилы Goodluck GL 2400</t>
  </si>
  <si>
    <t>https://b2beez.ru/images/detailed/161/orig_e41j-2f.jpg</t>
  </si>
  <si>
    <t>G-2090</t>
  </si>
  <si>
    <t>Крестовина муфты сцепления бензопилы Goodluck GL4500/5200 "ZUNA"</t>
  </si>
  <si>
    <t>https://b2beez.ru/images/detailed/161/orig_2erk-ps.jpg</t>
  </si>
  <si>
    <t>G-2129</t>
  </si>
  <si>
    <t>Поршневая китайской бензопилы (ЦПГ) 38см3 (Ø39) "PC" mod:B</t>
  </si>
  <si>
    <t>https://b2beez.ru/images/detailed/161/orig_iscw-0k.jpg</t>
  </si>
  <si>
    <t>G-2134</t>
  </si>
  <si>
    <t>Поршневая китайской бензопилы (ЦПГ) 45см3 (Ø43) "BEEZMOTO"</t>
  </si>
  <si>
    <t>https://b2beez.ru/images/detailed/161/7099743088.jpg</t>
  </si>
  <si>
    <t>G-2144</t>
  </si>
  <si>
    <t>Поршневая китайской бензопилы (ЦПГ) 52см3 (Ø45) "BEEZMOTO"</t>
  </si>
  <si>
    <t>https://b2beez.ru/images/detailed/204/G-2144-2_qxo3-u3.jpg</t>
  </si>
  <si>
    <t>G-2421</t>
  </si>
  <si>
    <t>Поршневая китайской бензопилы (ЦПГ) 58см3 (Ø45,2) (чёрная) "BEEZMOTO"</t>
  </si>
  <si>
    <t>https://b2beez.ru/images/detailed/204/G-2421-2_zx8g-43.jpg</t>
  </si>
  <si>
    <t>G-2426</t>
  </si>
  <si>
    <t>Кольца поршневые китайской бензопилы 58см3 (Ø45,2mm) "FORESTER"</t>
  </si>
  <si>
    <t>https://b2beez.ru/images/detailed/162/6141443360.jpg</t>
  </si>
  <si>
    <t>G-3006</t>
  </si>
  <si>
    <t>Маслонасос бензопилы Goodluck GL 2400 "WOODMAN" (mod.A)</t>
  </si>
  <si>
    <t>https://b2beez.ru/images/detailed/162/orig_7ehq-9n.jpg</t>
  </si>
  <si>
    <t>G-3019</t>
  </si>
  <si>
    <t>Пружина стартера бензопилы Goodluck GL4500/5200 "WOODMAN" (mod.A)</t>
  </si>
  <si>
    <t>https://b2beez.ru/images/detailed/162/orig_9kr4-oq.jpg</t>
  </si>
  <si>
    <t>G-416</t>
  </si>
  <si>
    <t>Кольца поршневые китайской бензопилы 45см3 (Ø43mm) "WOODMAN"</t>
  </si>
  <si>
    <t>https://b2beez.ru/images/detailed/162/6141443538.jpg</t>
  </si>
  <si>
    <t>G-472</t>
  </si>
  <si>
    <t>Лента тормоза бензопилы Goodluck "FORESTER"</t>
  </si>
  <si>
    <t>https://b2beez.ru/images/detailed/162/orig_y511-gg.jpg</t>
  </si>
  <si>
    <t>G-593</t>
  </si>
  <si>
    <t>Поршень китайской бензопилы 38см3 (Ø39) "WOODMAN"</t>
  </si>
  <si>
    <t>https://b2beez.ru/images/detailed/162/orig_mrse-r7.jpg</t>
  </si>
  <si>
    <t>G-595</t>
  </si>
  <si>
    <t>Поршень китайской бензопилы 52см3 (Ø45) "WOODMAN"</t>
  </si>
  <si>
    <t>https://b2beez.ru/images/detailed/162/6141443265.jpg</t>
  </si>
  <si>
    <t>G-654</t>
  </si>
  <si>
    <t>Пружина курка рукоятки бензопилы Goodluck GL4500/5200 "FORESTER"</t>
  </si>
  <si>
    <t>https://b2beez.ru/images/detailed/162/orig_7b0d-w8.jpg</t>
  </si>
  <si>
    <t>G-721</t>
  </si>
  <si>
    <t>Сепаратор 11*15*12 верхней головки шатуна Goodluck, тарелки сцепления HAMMER</t>
  </si>
  <si>
    <t>https://b2beez.ru/images/detailed/162/6141443362.jpg</t>
  </si>
  <si>
    <t>H-113</t>
  </si>
  <si>
    <t>Поршневая бензопилы (ЦПГ) Husqvarna 51 (Ø45) "WOODMAN"</t>
  </si>
  <si>
    <t>https://b2beez.ru/images/detailed/163/orig_zgl9-6g.jpg</t>
  </si>
  <si>
    <t>H-114</t>
  </si>
  <si>
    <t>Поршневая бензопилы (ЦПГ) Husqvarna 51 (Ø45) (черная) "WOODMAN"</t>
  </si>
  <si>
    <t>https://b2beez.ru/images/detailed/163/orig_2iru-lx.jpg</t>
  </si>
  <si>
    <t>H-171</t>
  </si>
  <si>
    <t>Шланг масляный бензопилы Husqvarna 137/142 "WOODMAN"</t>
  </si>
  <si>
    <t>https://b2beez.ru/images/detailed/163/orig_0kzf-pk.jpg</t>
  </si>
  <si>
    <t>H-240</t>
  </si>
  <si>
    <t>Выключатель бензопилы Husqvarna 137/142 "FORESTER"</t>
  </si>
  <si>
    <t>https://b2beez.ru/images/detailed/163/6259140763.jpg</t>
  </si>
  <si>
    <t>H-251</t>
  </si>
  <si>
    <t>Рычаг тормоза ручного бензопилы Husqvarna 137 "FORESTER"</t>
  </si>
  <si>
    <t>https://b2beez.ru/images/detailed/163/6259141064.jpg</t>
  </si>
  <si>
    <t>H-280</t>
  </si>
  <si>
    <t>Маслонасос бензопилы Husqvarna 365/372 "WOODMAN"</t>
  </si>
  <si>
    <t>https://b2beez.ru/images/detailed/163/orig_gurc-i5.jpg</t>
  </si>
  <si>
    <t>H-283</t>
  </si>
  <si>
    <t>Маслонасос бензопилы Husqvarna 236 "WOODMAN"</t>
  </si>
  <si>
    <t>https://b2beez.ru/images/detailed/163/orig_qtf8-c2.jpg</t>
  </si>
  <si>
    <t>H-288</t>
  </si>
  <si>
    <t>Глушитель бензопилы Husqvarna 345/350 "WOODMAN"</t>
  </si>
  <si>
    <t>https://b2beez.ru/images/detailed/163/orig_6q6m-tf.jpg</t>
  </si>
  <si>
    <t>H-294</t>
  </si>
  <si>
    <t>Тарелка сцепления бензопилы (под съемную звезду) Husqvarna 365/372 (+звезда) "WOODMAN"</t>
  </si>
  <si>
    <t>https://b2beez.ru/images/detailed/163/orig_csal-bg.jpg</t>
  </si>
  <si>
    <t>H-301</t>
  </si>
  <si>
    <t>Элемент воздушного фильтра бензопилы Husqvarna 51/55 "WOODMAN"</t>
  </si>
  <si>
    <t>https://b2beez.ru/images/detailed/163/orig_dkz3-7c.jpg</t>
  </si>
  <si>
    <t>H-305</t>
  </si>
  <si>
    <t>Крышка бака масляного бензопилы Husqvarna 137/142 "WOODMAN"</t>
  </si>
  <si>
    <t>H-309</t>
  </si>
  <si>
    <t>Сепаратор тарелки сцепления бензопилы Stihl MS 170/180 "WOODMAN"</t>
  </si>
  <si>
    <t>https://b2beez.ru/images/detailed/163/6141443234.jpg</t>
  </si>
  <si>
    <t>H-342</t>
  </si>
  <si>
    <t>Звезда бензопилы (венец привода) 325-7 Husqvarna 345/350 "WOODMAN" (mod.A)</t>
  </si>
  <si>
    <t>https://b2beez.ru/images/detailed/164/orig_1ak8-a3.jpg</t>
  </si>
  <si>
    <t>H-387</t>
  </si>
  <si>
    <t>Картер бензопилы Goodluck GL 2400</t>
  </si>
  <si>
    <t>https://b2beez.ru/images/detailed/164/orig_shb3-dp.jpg</t>
  </si>
  <si>
    <t>H-388</t>
  </si>
  <si>
    <t>Коленвал китайской бензопилы 24см3 (+поршень) (под сепаратор 10mm) "WOODMAN"</t>
  </si>
  <si>
    <t>https://b2beez.ru/images/detailed/164/orig_cwbg-ll.jpg</t>
  </si>
  <si>
    <t>H-448</t>
  </si>
  <si>
    <t>Поршневая бензопилы (ЦПГ) Husqvarna 365 (Ø48, круглая) (черная) "CP"</t>
  </si>
  <si>
    <t>https://b2beez.ru/images/detailed/164/orig_9wyd-1f.jpg</t>
  </si>
  <si>
    <t>H-454</t>
  </si>
  <si>
    <t>Ремкомплект карбюратора бензопилы Husqvarna 137/142 (полный) "BEEZMOTO"</t>
  </si>
  <si>
    <t>https://b2beez.ru/images/detailed/164/6741730371.jpg</t>
  </si>
  <si>
    <t>H-484</t>
  </si>
  <si>
    <t>Храповик бензопилы (в сборе) Husqvarna 137/142 (шкив, ведомая часть, пружина) "BEEZMOTO"</t>
  </si>
  <si>
    <t>https://b2beez.ru/images/detailed/164/orig_1phx-at.jpg</t>
  </si>
  <si>
    <t>H-59</t>
  </si>
  <si>
    <t>Кольца поршневые бензопилы Husqvarna 365 (Ø48mm) "WOODMAN" (1шт)</t>
  </si>
  <si>
    <t>https://b2beez.ru/images/detailed/164/6141443310_tvau-bv.jpg</t>
  </si>
  <si>
    <t>H-671</t>
  </si>
  <si>
    <t>Шина для бензопилы 13" 1,5mm, 0.325, 56зв, D196 "ORN"</t>
  </si>
  <si>
    <t>https://b2beez.ru/images/detailed/164/orig_axwc-6o.jpg</t>
  </si>
  <si>
    <t>H-673</t>
  </si>
  <si>
    <t>https://b2beez.ru/images/detailed/164/orig_b8a7-vc.jpg</t>
  </si>
  <si>
    <t>H-692</t>
  </si>
  <si>
    <t>Коленвал бензопилы Husqvarna 137/142 "BEEZMOTO"</t>
  </si>
  <si>
    <t>https://b2beez.ru/images/detailed/164/6770325767.jpg</t>
  </si>
  <si>
    <t>H-708</t>
  </si>
  <si>
    <t>Поршень бензопилы Husqvarna 137 (Ø38,00) "BEEZMOTO"</t>
  </si>
  <si>
    <t>https://b2beez.ru/images/detailed/204/1_fumo-rl.jpg</t>
  </si>
  <si>
    <t>H-709</t>
  </si>
  <si>
    <t>Поршень бензопилы Husqvarna 142 (Ø40,00) "BEEZMOTO"</t>
  </si>
  <si>
    <t>https://b2beez.ru/images/detailed/164/orig_r3i9-e6.jpg</t>
  </si>
  <si>
    <t>H-756</t>
  </si>
  <si>
    <t>Тарелка сцепления бензопилы (под съемную звезду) Husqvarna 340/345/350 (+звезда) "WOODMAN" (mod.A)</t>
  </si>
  <si>
    <t>https://b2beez.ru/images/detailed/164/orig_w82g-cx.jpg</t>
  </si>
  <si>
    <t>H-827</t>
  </si>
  <si>
    <t>Натяжитель цепи бензопилы Husqvarna 137/142 "WOODMAN" (mod.A)</t>
  </si>
  <si>
    <t>https://b2beez.ru/images/detailed/164/orig_o1z4-92.jpg</t>
  </si>
  <si>
    <t>H-835</t>
  </si>
  <si>
    <t>Поршень бензопилы Husqvarna 357/359 (Ø47,00) "WOODMAN" (mod.A)</t>
  </si>
  <si>
    <t>https://b2beez.ru/images/detailed/164/6259140905.jpg</t>
  </si>
  <si>
    <t>H-96</t>
  </si>
  <si>
    <t>Поршневая бензопилы (ЦПГ) Husqvarna 137 (Ø38) +поддон "WOODMAN"</t>
  </si>
  <si>
    <t>https://b2beez.ru/images/detailed/165/orig_zy21-d6.jpg</t>
  </si>
  <si>
    <t>P-1811</t>
  </si>
  <si>
    <t>Упор зубчатый (гребенка) бензопилы Stihl MS 620 "FORESTER"</t>
  </si>
  <si>
    <t>https://b2beez.ru/images/detailed/173/orig_yaif-kv.jpg</t>
  </si>
  <si>
    <t>P-23</t>
  </si>
  <si>
    <t>Пружина стартера бензопилы Partner "FORESTER"</t>
  </si>
  <si>
    <t>https://b2beez.ru/images/detailed/173/orig_lcq1-75.jpg</t>
  </si>
  <si>
    <t>P-3159</t>
  </si>
  <si>
    <t>Тарелка сцепления бензопилы (под съемную звезду) Partner P350/351 (+звезда) "WOODMAN"</t>
  </si>
  <si>
    <t>https://b2beez.ru/images/detailed/173/orig_mm05-u0.jpg</t>
  </si>
  <si>
    <t>P-3897</t>
  </si>
  <si>
    <t>Цепь пильная 3/8, 1.3mm, 53зв, RS, под шину 14" Partner 350-401 "BEEZMOTO"</t>
  </si>
  <si>
    <t>https://b2beez.ru/images/detailed/173/orig_5gbj-tg.jpg</t>
  </si>
  <si>
    <t>P-4713</t>
  </si>
  <si>
    <t>Поршневая китайской бензопилы (ЦПГ) 24см3 (Ø34) (+поддон, без поршня)</t>
  </si>
  <si>
    <t>https://b2beez.ru/images/detailed/174/orig_4veq-q9.jpg</t>
  </si>
  <si>
    <t>P-4932</t>
  </si>
  <si>
    <t>Тарелка сцепления бензопилы (звезда ведущая) Partner P350 (+сепаратор, шайба, стопор) "SMP"</t>
  </si>
  <si>
    <t>https://b2beez.ru/images/detailed/174/orig_zzdp-cb.jpg</t>
  </si>
  <si>
    <t>P-6466</t>
  </si>
  <si>
    <t>Шина для бензопилы 16" 1,3mm, 13/40, 67зв "ORN" (mod:A)</t>
  </si>
  <si>
    <t>https://b2beez.ru/images/detailed/175/orig_eab8-dn.jpg</t>
  </si>
  <si>
    <t>P-6467</t>
  </si>
  <si>
    <t>Шина для бензопилы 16" 1,3mm, 13/40, 67зв, D024 "ORN"</t>
  </si>
  <si>
    <t>https://b2beez.ru/images/detailed/175/orig_iet7-ia.jpg</t>
  </si>
  <si>
    <t>P-6468</t>
  </si>
  <si>
    <t>Шина для бензопилы 16" 1,3mm, 13/40, 67зв "HSQ" (mod:A)</t>
  </si>
  <si>
    <t>https://b2beez.ru/images/detailed/175/orig_j6q2-6z.jpg</t>
  </si>
  <si>
    <t>P-6551</t>
  </si>
  <si>
    <t>Сепаратор тарелки сцепления бензопилы Partner P350 "WOODMAN" (mod.A)</t>
  </si>
  <si>
    <t>https://b2beez.ru/images/detailed/175/orig_jk3m-63.jpg</t>
  </si>
  <si>
    <t>P-7164</t>
  </si>
  <si>
    <t>Манжет коллектора карбюратора бензопилы Partner P350 "WOODMAN" (mod.A)</t>
  </si>
  <si>
    <t>https://b2beez.ru/images/detailed/175/orig_ybf8-u7.jpg</t>
  </si>
  <si>
    <t>P-727</t>
  </si>
  <si>
    <t>Манжет коллектора карбюратора бензопилы Partner P350 "FORESTER"</t>
  </si>
  <si>
    <t>https://b2beez.ru/images/detailed/175/orig_pubg-4l.jpg</t>
  </si>
  <si>
    <t>S-1038</t>
  </si>
  <si>
    <t>Сепаратор 10*13*10 тарелки сцепления Stihl MS 180 "KOMATCU"</t>
  </si>
  <si>
    <t>https://b2beez.ru/images/detailed/178/6417447510.jpg</t>
  </si>
  <si>
    <t>S-139</t>
  </si>
  <si>
    <t>Карбюратор бензопилы Stihl MS 230/250 (на пилы производства Китай, Корея) "WOODMAN"</t>
  </si>
  <si>
    <t>https://b2beez.ru/images/detailed/178/orig_o5r0-n2.jpg</t>
  </si>
  <si>
    <t>S-154</t>
  </si>
  <si>
    <t>Кольца поршневые бензопилы Stihl MS 180 (Ø38mm) "WOODMAN"</t>
  </si>
  <si>
    <t>S-155</t>
  </si>
  <si>
    <t>Кольца поршневые бензопилы Stihl MS 210 (Ø40mm) "WOODMAN"</t>
  </si>
  <si>
    <t>https://b2beez.ru/images/detailed/178/6141443263.jpg</t>
  </si>
  <si>
    <t>S-161</t>
  </si>
  <si>
    <t>Кольца поршневые бензопилы Stihl MS 380 (Ø52mm) "WOODMAN"</t>
  </si>
  <si>
    <t>https://b2beez.ru/images/detailed/178/6141443263_re9v-n9.jpg</t>
  </si>
  <si>
    <t>S-17</t>
  </si>
  <si>
    <t>Диск защитный муфты сцепления бензопилы Stihl MS 180 Ø53mm "FORESTER"</t>
  </si>
  <si>
    <t>https://b2beez.ru/images/detailed/178/6141443085.jpg</t>
  </si>
  <si>
    <t>S-20</t>
  </si>
  <si>
    <t>Пружина рычага тормоза ручного бензопилы Stihl MS 180 "BEEZMOTO"</t>
  </si>
  <si>
    <t>https://b2beez.ru/images/detailed/179/orig_1ufx-0h.jpg</t>
  </si>
  <si>
    <t>S-2675</t>
  </si>
  <si>
    <t>Муфта сцепления бензопилы Stihl MS 290 "WOODMAN"</t>
  </si>
  <si>
    <t>https://b2beez.ru/images/detailed/179/orig_01j6-8s.jpg</t>
  </si>
  <si>
    <t>S-2678</t>
  </si>
  <si>
    <t>Муфта сцепления бензопилы Stihl MS 341/361 "CLUTCH"</t>
  </si>
  <si>
    <t>https://b2beez.ru/images/detailed/179/orig_4h9b-u2.jpg</t>
  </si>
  <si>
    <t>S-2689</t>
  </si>
  <si>
    <t>Магнето бензопилы Stihl MS 066/660 "WOODMAN"</t>
  </si>
  <si>
    <t>https://b2beez.ru/images/detailed/179/orig_dqc9-kz.jpg</t>
  </si>
  <si>
    <t>S-2690</t>
  </si>
  <si>
    <t>Магнето бензопилы Stihl MS 360 "WOODMAN"</t>
  </si>
  <si>
    <t>https://b2beez.ru/images/detailed/179/orig_6zw0-c5.jpg</t>
  </si>
  <si>
    <t>S-2693</t>
  </si>
  <si>
    <t>Магнето бензопилы Stihl MS 290 "WOODMAN"</t>
  </si>
  <si>
    <t>https://b2beez.ru/images/detailed/179/orig_bgi7-31.jpg</t>
  </si>
  <si>
    <t>S-2745</t>
  </si>
  <si>
    <t>Цепь пильная 3/8, 1.3mm, 44зв, RS, под шину 12" (30см) для Stih 180-250 "HAOYU" (91P44)</t>
  </si>
  <si>
    <t>https://b2beez.ru/images/detailed/179/6152135870.jpg</t>
  </si>
  <si>
    <t>S-29</t>
  </si>
  <si>
    <t>Пружина стартера бензопилы Stihl MS 170/180-360/440/460 "FORESTER"</t>
  </si>
  <si>
    <t>https://b2beez.ru/images/detailed/179/orig_mt3g-kr.jpg</t>
  </si>
  <si>
    <t>S-30</t>
  </si>
  <si>
    <t>Рычаг тормоза ручного бензопилы Stihl MS 180 "FORESTER"</t>
  </si>
  <si>
    <t>https://b2beez.ru/images/detailed/179/orig_xx8l-nt.jpg</t>
  </si>
  <si>
    <t>S-3211</t>
  </si>
  <si>
    <t>https://b2beez.ru/images/detailed/180/6152339283.jpg</t>
  </si>
  <si>
    <t>S-3264</t>
  </si>
  <si>
    <t>Цепь пильная 3/8, 1.6mm, 77зв, RS, под шину 20" (45см) Stihl MS440-661 "STL"</t>
  </si>
  <si>
    <t>https://b2beez.ru/images/detailed/204/S-3264.jpg</t>
  </si>
  <si>
    <t>S-3298</t>
  </si>
  <si>
    <t>Гайка кожуха карбюратора бензопилы Stihl 270/280/341/361/440/460/461/640/650/660/880 "WOODMAN"</t>
  </si>
  <si>
    <t>https://b2beez.ru/images/detailed/180/orig_2q29-yo.jpg</t>
  </si>
  <si>
    <t>S-3306</t>
  </si>
  <si>
    <t>Крышка натяжителя цепи бензопилы Stihl MS 260-362/380/381/440/441/460/461/650/660/661 "WOODMAN"</t>
  </si>
  <si>
    <t>https://b2beez.ru/images/detailed/180/orig_y4lo-dq.jpg</t>
  </si>
  <si>
    <t>S-3676</t>
  </si>
  <si>
    <t>Тарелка сцепления бензопилы (под съемную звезду) Stihl MS 440 (+звезда, сепаратор) "BEEZMOTO"</t>
  </si>
  <si>
    <t>https://b2beez.ru/images/detailed/180/6141443423.jpg</t>
  </si>
  <si>
    <t>S-3691</t>
  </si>
  <si>
    <t>Тарелка сцепления бензопилы (звезда ведущая) Stihl MS 440 (+сепаратор)</t>
  </si>
  <si>
    <t>https://b2beez.ru/images/detailed/180/6141443604_v4ca-u2.jpg</t>
  </si>
  <si>
    <t>S-3831</t>
  </si>
  <si>
    <t>Карбюратор бензопилы Stihl MS 230/250 "HORZA" (#"WOODMAN")</t>
  </si>
  <si>
    <t>https://b2beez.ru/images/detailed/180/orig_1e0s-kj.jpg</t>
  </si>
  <si>
    <t>S-3832</t>
  </si>
  <si>
    <t>Карбюратор бензопилы Stihl MS 230/250 "ZUMBA" (#"WOODMAN")</t>
  </si>
  <si>
    <t>https://b2beez.ru/images/detailed/180/orig_g9nm-1a.jpg</t>
  </si>
  <si>
    <t>S-3880</t>
  </si>
  <si>
    <t>Поршень бензопилы Stihl MS 290 (Ø46,00, p-10) "BEEZMOTO"</t>
  </si>
  <si>
    <t>https://b2beez.ru/images/detailed/181/orig_xhn0-lz.jpg</t>
  </si>
  <si>
    <t>S-4918</t>
  </si>
  <si>
    <t>Шина для бензопилы 15" 1,6mm, 3/8, 56зв, D196 "ORN"</t>
  </si>
  <si>
    <t>https://b2beez.ru/images/detailed/181/orig_yxct-af.jpg</t>
  </si>
  <si>
    <t>S-4920</t>
  </si>
  <si>
    <t>Шина для бензопилы 15" 1,6mm, 3/8, 56зв "HSQ" (mod.A)</t>
  </si>
  <si>
    <t>https://b2beez.ru/images/detailed/181/orig_xpjc-zv.jpg</t>
  </si>
  <si>
    <t>S-5032</t>
  </si>
  <si>
    <t>Поршневая бензопилы (ЦПГ) Stihl MS 230 (Ø40) (черная) "WOODMAN" (mod.A)</t>
  </si>
  <si>
    <t>https://b2beez.ru/images/detailed/181/6259140916.jpg</t>
  </si>
  <si>
    <t>S-5044</t>
  </si>
  <si>
    <t>Поршневая кустореза (ЦПГ) StFS220/FS240 (Ø38) "WOODMAN" (mod.A)</t>
  </si>
  <si>
    <t>https://b2beez.ru/images/detailed/181/6259140967.jpg</t>
  </si>
  <si>
    <t>S-585</t>
  </si>
  <si>
    <t>Поршень бензопилы Stihl MS 210 (Ø40,00, p-10) "WOODMAN"</t>
  </si>
  <si>
    <t>https://b2beez.ru/images/detailed/181/6286958900.jpg</t>
  </si>
  <si>
    <t>S-589</t>
  </si>
  <si>
    <t>Поршень бензопилы Stihl MS 360 (Ø48,00, p-10) "SUNDY"</t>
  </si>
  <si>
    <t>https://b2beez.ru/images/detailed/181/6259140980.jpg</t>
  </si>
  <si>
    <t>U-11</t>
  </si>
  <si>
    <t>Звезда бензопилы (венец привода) 325-7 Partner 350/351 "JINTAI"</t>
  </si>
  <si>
    <t>https://b2beez.ru/images/detailed/183/orig_bmqz-eo.jpg</t>
  </si>
  <si>
    <t>U-116</t>
  </si>
  <si>
    <t>Шина для бензопилы 13" 1,3mm, 0.325, 56зв "ORN" (mod:A)</t>
  </si>
  <si>
    <t>https://b2beez.ru/images/detailed/183/orig_tef0-ue.jpg</t>
  </si>
  <si>
    <t>U-120</t>
  </si>
  <si>
    <t>Шина для бензопилы 13" 1,3mm, 0.325, 56зв, D196 "STIHL"</t>
  </si>
  <si>
    <t>https://b2beez.ru/images/detailed/183/orig_0p0v-8o.jpg</t>
  </si>
  <si>
    <t>U-149</t>
  </si>
  <si>
    <t>Шина для бензопилы 16" 1,1mm, 3/8, 56/57зв, D176 "ORN"</t>
  </si>
  <si>
    <t>https://b2beez.ru/images/detailed/183/orig_3j1n-p2.jpg</t>
  </si>
  <si>
    <t>U-150</t>
  </si>
  <si>
    <t>https://b2beez.ru/images/detailed/183/orig_f2kz-a7.jpg</t>
  </si>
  <si>
    <t>U-176</t>
  </si>
  <si>
    <t>Шина для бензопилы 16" 1,5mm, 0.325, 66зв, D196 "STILL"</t>
  </si>
  <si>
    <t>https://b2beez.ru/images/detailed/183/orig_fdla-cv.jpg</t>
  </si>
  <si>
    <t>U-194</t>
  </si>
  <si>
    <t>https://b2beez.ru/images/detailed/183/orig_xuir-81.jpg</t>
  </si>
  <si>
    <t>U-207</t>
  </si>
  <si>
    <t>Шина для бензопилы 18" 1,6mm, 3/8, 64зв "STIHL" (mod:A)</t>
  </si>
  <si>
    <t>https://b2beez.ru/images/detailed/184/orig_0ig1-e9.jpg</t>
  </si>
  <si>
    <t>U-44</t>
  </si>
  <si>
    <t>Фильтр топливный бензопилы (L-24mm, h-15mm, Ø5,4mm, mod:2030 TEJI) "KW"</t>
  </si>
  <si>
    <t>https://b2beez.ru/images/detailed/184/orig_cnp3-5j.jpg</t>
  </si>
  <si>
    <t>U-51</t>
  </si>
  <si>
    <t>Фильтр топливный бензопилы (L-29mm, h-20,5mm, Ø5,9mm, mod.2027) "KW"</t>
  </si>
  <si>
    <t>https://b2beez.ru/images/detailed/184/orig_775i-lj.jpg</t>
  </si>
  <si>
    <t>U-56</t>
  </si>
  <si>
    <t>Фильтр топливный бензопилы (L-36mm, h-20mm, Ø4,6mm, mod.2026 BLUE, Longer) "KW"</t>
  </si>
  <si>
    <t>https://b2beez.ru/images/detailed/184/orig_pn4u-wg.jpg</t>
  </si>
  <si>
    <t>U-71</t>
  </si>
  <si>
    <t>Фильтр топливный бензопилы (L-22mm, h-34,5mm, Ø6mm, mod:2013B) "KW"</t>
  </si>
  <si>
    <t>https://b2beez.ru/images/detailed/184/6141443224.jpg</t>
  </si>
  <si>
    <t>U-73</t>
  </si>
  <si>
    <t>Фильтр топливный бензопилы (L-21,5mm, h-21,7mm, Ø6mm, mod:2028) "KW"</t>
  </si>
  <si>
    <t>https://b2beez.ru/images/detailed/184/orig_ygqw-rv.jpg</t>
  </si>
  <si>
    <t>U-76</t>
  </si>
  <si>
    <t>Фильтр топливный бензопилы (L-19mm, h-59mm, Ø9,2mm, mod.328) "KW"</t>
  </si>
  <si>
    <t>https://b2beez.ru/images/detailed/184/orig_znm3-kv.jpg</t>
  </si>
  <si>
    <t>U-77</t>
  </si>
  <si>
    <t>Фильтр масляный бензопилы Husqvarna (mod.2) "KW"</t>
  </si>
  <si>
    <t>https://b2beez.ru/images/detailed/184/orig_laov-l4.jpg</t>
  </si>
  <si>
    <t>S-1798</t>
  </si>
  <si>
    <t>Подшипник коленвала бензопилы 6002-2RS 15*32*8 (Stihl MS 180/240) "NT"</t>
  </si>
  <si>
    <t>https://b2beez.ru/images/detailed/179/6259140874.jpg</t>
  </si>
  <si>
    <t>V-8121</t>
  </si>
  <si>
    <t>Воздухонаправляющая пластина бензопилы Stihl MS 170/180 "BEEZMOTO"</t>
  </si>
  <si>
    <t>https://b2beez.ru/images/detailed/187/orig_5r8n-rg.jpg</t>
  </si>
  <si>
    <t>G-9574</t>
  </si>
  <si>
    <t>Гайка шины бензопилы Stihl (10шт) "BEEZMOTO"</t>
  </si>
  <si>
    <t>https://b2beez.ru/images/detailed/162/orig_3tw4-gc.jpg</t>
  </si>
  <si>
    <t>G-1798</t>
  </si>
  <si>
    <t>Гайка шины бензопилы Goodluck "SUNDY" (mod.A)</t>
  </si>
  <si>
    <t>https://b2beez.ru/images/detailed/161/6141443101.jpg</t>
  </si>
  <si>
    <t>G-7949</t>
  </si>
  <si>
    <t>Гайка шины бензопилы Goodluck "SUNDY" (mod.B)</t>
  </si>
  <si>
    <t>https://b2beez.ru/images/detailed/162/6141443190.jpg</t>
  </si>
  <si>
    <t>P-3055</t>
  </si>
  <si>
    <t>Поддон бензопилы Stihl MS 180 "BEEZMOTO"</t>
  </si>
  <si>
    <t>https://b2beez.ru/images/detailed/173/orig_e53c-pk.jpg</t>
  </si>
  <si>
    <t>P-9426</t>
  </si>
  <si>
    <t>Поршневая китайской бензопилы (ЦПГ) 45см3 (Ø43) (черная) "BEEZMOTO"</t>
  </si>
  <si>
    <t>https://b2beez.ru/images/detailed/175/orig_r3q5-kr.jpg</t>
  </si>
  <si>
    <t>P-9638</t>
  </si>
  <si>
    <t>Поршневая китайской бензопилы (ЦПГ) 52см3 (Ø45) "SUNDY" (mod.A)</t>
  </si>
  <si>
    <t>https://b2beez.ru/images/detailed/175/orig_y3mf-qm.jpg</t>
  </si>
  <si>
    <t>05.002.00053</t>
  </si>
  <si>
    <t>Поршневая бензопилы (ЦПГ) Partner P350S (Ø41) (премиум качество) "Chrome"</t>
  </si>
  <si>
    <t>https://b2beez.ru/images/detailed/48/6157083867.jpg</t>
  </si>
  <si>
    <t>P-8315</t>
  </si>
  <si>
    <t>Поршневая бензопилы (ЦПГ) Stihl MS 180 (Ø38, p-10) (+поддон, черная) "BEEZMOTO"</t>
  </si>
  <si>
    <t>https://b2beez.ru/images/detailed/175/orig_gn8s-au.jpg</t>
  </si>
  <si>
    <t>F-7500</t>
  </si>
  <si>
    <t>Фильтр воздушный бензопилы Partner P350/351 (элемент, 2шт) "BEEZMOTO"</t>
  </si>
  <si>
    <t>https://b2beez.ru/images/detailed/160/orig_ngox-xw.jpg</t>
  </si>
  <si>
    <t>F-6668</t>
  </si>
  <si>
    <t>Фильтр топливный бензопилы (mod.2016A) "SUNDY"</t>
  </si>
  <si>
    <t>https://b2beez.ru/images/detailed/160/orig_ul3n-1o.jpg</t>
  </si>
  <si>
    <t>F-8548</t>
  </si>
  <si>
    <t>Фильтр топливный бензопилы Stihl MS 180 "SUNDY"</t>
  </si>
  <si>
    <t>https://b2beez.ru/images/detailed/160/orig_rtt1-ea.jpg</t>
  </si>
  <si>
    <t>01.02.191.001</t>
  </si>
  <si>
    <t>Курок ручки газа бензопилы Goodluck GL4500/5200 (голый)</t>
  </si>
  <si>
    <t>https://b2beez.ru/images/detailed/47/orig_hy3w-7h.jpg</t>
  </si>
  <si>
    <t>01.02.185.019</t>
  </si>
  <si>
    <t>Курок ручки газа бензопилы Goodluck GL4500/5200 (голый) mod,2</t>
  </si>
  <si>
    <t>https://b2beez.ru/images/detailed/47/orig_4745-o1.jpg</t>
  </si>
  <si>
    <t>01.03.049.019</t>
  </si>
  <si>
    <t>Выключатель бензопилы Husqvarna 137/142 "BRAIT"</t>
  </si>
  <si>
    <t>https://b2beez.ru/images/detailed/47/orig_478t-c7.jpg</t>
  </si>
  <si>
    <t>01.03.105.019</t>
  </si>
  <si>
    <t>Поршень бензопилы Husqvarna 142 (Ø40,00) "BRAIT"</t>
  </si>
  <si>
    <t>https://b2beez.ru/images/detailed/47/orig_6le1-6v.jpg</t>
  </si>
  <si>
    <t>01.03.170.019</t>
  </si>
  <si>
    <t>Трос газа Partner P350 "BRAIT"(L-180mm)(L-330mm)</t>
  </si>
  <si>
    <t>https://b2beez.ru/images/detailed/47/orig_vivj-q6.jpg</t>
  </si>
  <si>
    <t>01.04.142.019</t>
  </si>
  <si>
    <t>Винт картера Stihl MS180 "BRAIT"</t>
  </si>
  <si>
    <t>https://b2beez.ru/images/detailed/47/orig_xolf-jr.jpg</t>
  </si>
  <si>
    <t>01.04.024.019</t>
  </si>
  <si>
    <t>Гайка кожуха карбюратора бензопилы Stihl 270/280/341/361/440/460/461/640/650/660/880 "BRAIT"</t>
  </si>
  <si>
    <t>https://b2beez.ru/images/detailed/47/orig_1goy-jf.jpg</t>
  </si>
  <si>
    <t>01.04.035.019</t>
  </si>
  <si>
    <t>Картер бензопилы Stihl MS 250 "BRAIT"</t>
  </si>
  <si>
    <t>https://b2beez.ru/images/detailed/47/orig_ogbp-d0.jpg</t>
  </si>
  <si>
    <t>01.04.043.019</t>
  </si>
  <si>
    <t>Насвечник высоковольтный (с проводом) Stihl MS 180 "BRAIT"</t>
  </si>
  <si>
    <t>https://b2beez.ru/images/detailed/47/orig_dkn1-e2.jpg</t>
  </si>
  <si>
    <t>01.04.112.019</t>
  </si>
  <si>
    <t>Рукоятка передняя бензопилы Stihl MS 250 "BRAIT"</t>
  </si>
  <si>
    <t>https://b2beez.ru/images/detailed/47/orig_oxjb-g1.jpg</t>
  </si>
  <si>
    <t>G-1303</t>
  </si>
  <si>
    <t>Крестовина муфты сцепления бензопилы Husqvarna 365/372 "FORESTER"</t>
  </si>
  <si>
    <t>https://b2beez.ru/images/detailed/161/orig_euhg-5o.jpg</t>
  </si>
  <si>
    <t>C-523</t>
  </si>
  <si>
    <t>Цепь пильная 325, 1.3mm, 72зв, RS, под шину 18" (45см) BR-45/52 "HAOYU"</t>
  </si>
  <si>
    <t>https://b2beez.ru/images/detailed/156/orig_sefk-4h.jpg</t>
  </si>
  <si>
    <t>H-459</t>
  </si>
  <si>
    <t>Тарелка сцепления бензопилы (под съемную звезду) Husqvarna 345/350 (+звезда) MANLE</t>
  </si>
  <si>
    <t>https://b2beez.ru/images/detailed/164/orig_qt7l-2u.jpg</t>
  </si>
  <si>
    <t>C-503</t>
  </si>
  <si>
    <t>Цепь пильная 325, 1.5mm, 76зв, RS, под шину 20" (50см) Husqvarna 257/254 "STL" original</t>
  </si>
  <si>
    <t>https://b2beez.ru/images/detailed/204/C-503.jpg</t>
  </si>
  <si>
    <t>C-7171</t>
  </si>
  <si>
    <t>Цепь пильная 3/8, 1.3mm, 62зв, RS, под шину 18" (45см) "STL" original</t>
  </si>
  <si>
    <t>https://b2beez.ru/images/detailed/204/C-7171.jpg</t>
  </si>
  <si>
    <t>Z-0123</t>
  </si>
  <si>
    <t>Звезда бензопилы (венец привода) 3/8-7 (d=19mm) Goodluck GL3800 "BEEZMOTO"</t>
  </si>
  <si>
    <t>https://b2beez.ru/images/detailed/187/7062119594.jpg</t>
  </si>
  <si>
    <t>S-3295</t>
  </si>
  <si>
    <t>Амортизатор бензопилы Stihl MS 440/461/640/650/660 "WOODMAN"</t>
  </si>
  <si>
    <t>https://b2beez.ru/images/detailed/180/6259140755.jpg</t>
  </si>
  <si>
    <t>S-3882</t>
  </si>
  <si>
    <t>Поршень бензопилы Stihl MS 361 (Ø47,00, p-11) "MANLE"</t>
  </si>
  <si>
    <t>https://b2beez.ru/images/detailed/181/orig_w4dr-p5.jpg</t>
  </si>
  <si>
    <t>S-8</t>
  </si>
  <si>
    <t>Амортизатор бензопилы Stihl MS 180 (в рукоятку) "FORESTER"</t>
  </si>
  <si>
    <t>https://b2beez.ru/images/detailed/182/6141443438.jpg</t>
  </si>
  <si>
    <t>На бензорезы</t>
  </si>
  <si>
    <t>На мотобуры</t>
  </si>
  <si>
    <t>На мотокосы</t>
  </si>
  <si>
    <t>N-2724</t>
  </si>
  <si>
    <t>Бак топливный мотокосы TL 33 (выход сбоку)</t>
  </si>
  <si>
    <t>https://b2beez.ru/images/detailed/170/orig_nchg-o1.jpg</t>
  </si>
  <si>
    <t>R-3235</t>
  </si>
  <si>
    <t>Леска мотокосы Ø2,7mm, 15метров (треугольник, двойная) "Duoline"</t>
  </si>
  <si>
    <t>https://b2beez.ru/images/detailed/177/orig_vu6m-15.jpg</t>
  </si>
  <si>
    <t>N-2986</t>
  </si>
  <si>
    <t>Ремкомплект карбюратора мотокосы Mitsubishi TL43/52 (полный) "BEEZMOTO" mod:B</t>
  </si>
  <si>
    <t>https://b2beez.ru/images/detailed/171/6741723005.jpg</t>
  </si>
  <si>
    <t>R-3253</t>
  </si>
  <si>
    <t>Леска мотокосы Ø2,0мм, 15метров (звезда, двойная, блистер) "TRIMLINE"</t>
  </si>
  <si>
    <t>https://b2beez.ru/images/detailed/177/orig_tqrn-ku.jpg</t>
  </si>
  <si>
    <t>R-3255</t>
  </si>
  <si>
    <t>Леска мотокосы Ø2,4мм, 15метров (звезда, двойная, блистер) "TRIMLINE"</t>
  </si>
  <si>
    <t>https://b2beez.ru/images/detailed/177/orig_phpn-8x.jpg</t>
  </si>
  <si>
    <t>R-3260</t>
  </si>
  <si>
    <t>Леска мотокосы Ø2,4мм, 15метров (квадрат, двойная) "TRIMLINE"</t>
  </si>
  <si>
    <t>https://b2beez.ru/images/detailed/177/orig_tkcb-ql.jpg</t>
  </si>
  <si>
    <t>R-3266</t>
  </si>
  <si>
    <t>Леска мотокосы Ø2,4мм, 15метров (круг, двойная) "TRIMLINE"</t>
  </si>
  <si>
    <t>https://b2beez.ru/images/detailed/177/orig_ukrg-xc.jpg</t>
  </si>
  <si>
    <t>R-3267</t>
  </si>
  <si>
    <t>Леска мотокосы Ø2,4мм, 15метров (круг, двойная, блистер) "TRIMLINE"</t>
  </si>
  <si>
    <t>https://b2beez.ru/images/detailed/177/orig_x193-u6.jpg</t>
  </si>
  <si>
    <t>N-2687</t>
  </si>
  <si>
    <t>Ремкомплект карбюратора мотокосы Mitsubishi TL26/33 (полный) "BEST"</t>
  </si>
  <si>
    <t>https://b2beez.ru/images/detailed/170/orig_238g-cd.jpg</t>
  </si>
  <si>
    <t>Z-363</t>
  </si>
  <si>
    <t>Маска защитная для работы с триммером 3в1 (сетка, +наушники) оранжевая "BEEZMOTO"</t>
  </si>
  <si>
    <t>https://b2beez.ru/images/detailed/204/Z-363_tbl5-uc.jpg</t>
  </si>
  <si>
    <t>Z-362</t>
  </si>
  <si>
    <t>Маска защитная для работы с триммером 01 (сетка) желтая "BEEZMOTO"</t>
  </si>
  <si>
    <t>https://b2beez.ru/images/detailed/204/Z-362_tqqu-rv.jpg</t>
  </si>
  <si>
    <t>Z-361</t>
  </si>
  <si>
    <t>Маска защитная для работы с электроинструментом (с вентиляцией) черная "BEEZMOTO"</t>
  </si>
  <si>
    <t>https://b2beez.ru/images/detailed/204/Z-361-2_8l30-rb.jpg</t>
  </si>
  <si>
    <t>N-2714</t>
  </si>
  <si>
    <t>Шланги топливные мотокосы (+фильтр, 5шт) "BEEZMOTO"</t>
  </si>
  <si>
    <t>https://b2beez.ru/images/detailed/170/orig_jo51-3w.jpg</t>
  </si>
  <si>
    <t>D-4415</t>
  </si>
  <si>
    <t>Крепление ручек руля к штанге мотокосы "BEST"</t>
  </si>
  <si>
    <t>https://b2beez.ru/images/detailed/159/6245210195.jpg</t>
  </si>
  <si>
    <t>R-3246</t>
  </si>
  <si>
    <t>Вал редуктора мотокосы (+шестерни 7Т) BEST (mod.A)</t>
  </si>
  <si>
    <t>https://b2beez.ru/images/detailed/177/orig_cp8s-r4.jpg</t>
  </si>
  <si>
    <t>K-6689</t>
  </si>
  <si>
    <t>Картер мотокосы 33cc 1E36F (в сборе) "SUNDY"</t>
  </si>
  <si>
    <t>https://b2beez.ru/images/detailed/168/orig_efod-5x.jpg</t>
  </si>
  <si>
    <t>N-2632</t>
  </si>
  <si>
    <t>Катушка зажигания мотокосы 1E32F BEST</t>
  </si>
  <si>
    <t>https://b2beez.ru/images/detailed/170/orig_zoim-1b.jpg</t>
  </si>
  <si>
    <t>V-2837</t>
  </si>
  <si>
    <t>Корпус вариатора мотокосы 9T (Ø26) "KOMATCU"</t>
  </si>
  <si>
    <t>https://b2beez.ru/images/detailed/187/6423657702.jpg</t>
  </si>
  <si>
    <t>D-320138</t>
  </si>
  <si>
    <t>Крепление ручек руля к штанге мотокосы Ø26мм</t>
  </si>
  <si>
    <t>https://b2beez.ru/images/detailed/158/orig_52qi-p1.jpg</t>
  </si>
  <si>
    <t>R-1709</t>
  </si>
  <si>
    <t>Леска мотокосы Ø2,4mm, 15 метров (круглая, оранжевая) "ZHGT"</t>
  </si>
  <si>
    <t>https://b2beez.ru/images/detailed/176/orig_73cf-45.jpg</t>
  </si>
  <si>
    <t>C-1991</t>
  </si>
  <si>
    <t>Поршневая мотокосы (ЦПГ) 43cc (Ø40) 1E40F-5 "ANB"</t>
  </si>
  <si>
    <t>https://b2beez.ru/images/detailed/155/orig_lv5r-vi.jpg</t>
  </si>
  <si>
    <t>P-5234</t>
  </si>
  <si>
    <t>Прокладки мотокосы 33cc (Ø36) 1E36F (набор) "BEEZMOTO"</t>
  </si>
  <si>
    <t>https://b2beez.ru/images/detailed/174/orig_o9d3-ot.jpg</t>
  </si>
  <si>
    <t>V-1981</t>
  </si>
  <si>
    <t>Пружина вариатора мотокосы (короткая) MANLE</t>
  </si>
  <si>
    <t>https://b2beez.ru/images/detailed/186/orig_8k2a-c4.jpg</t>
  </si>
  <si>
    <t>P-5442</t>
  </si>
  <si>
    <t>Сальники коленвала (пара) мотокосы (15*30*7, 12*22*7) "BEEZMOTO"</t>
  </si>
  <si>
    <t>https://b2beez.ru/images/detailed/174/orig.png</t>
  </si>
  <si>
    <t>R-4340</t>
  </si>
  <si>
    <t>Катушка для триммера паук под 4 лески, алюминиевая с ключем (10000/1мин) "BEEZMOTO"</t>
  </si>
  <si>
    <t>https://b2beez.ru/images/detailed/177/orig_39pw-3n.jpg</t>
  </si>
  <si>
    <t>N-2719</t>
  </si>
  <si>
    <t>Катушка для тиммера саморегулирующаяся полуавтомат "BEST"</t>
  </si>
  <si>
    <t>https://b2beez.ru/images/detailed/170/6246011363.jpg</t>
  </si>
  <si>
    <t>R-3973</t>
  </si>
  <si>
    <t>Катушка для триммера полуавтоматическая (резьба М10 х 1,25) "FORESTER"</t>
  </si>
  <si>
    <t>https://b2beez.ru/images/detailed/177/orig_jg45-0p.jpg</t>
  </si>
  <si>
    <t>S-1795</t>
  </si>
  <si>
    <t>Подшипник коленвала мотокоса 43cc 1E40F (6202-2RS 15*35*11) (Япония) NT</t>
  </si>
  <si>
    <t>https://b2beez.ru/images/detailed/179/6141534490_82ii-eg.jpg</t>
  </si>
  <si>
    <t>D-255-U1</t>
  </si>
  <si>
    <t>Ручки мотокосы (левая + правая) (Не комплект)</t>
  </si>
  <si>
    <t>S-5744-U1</t>
  </si>
  <si>
    <t>Стартер ручной (в сборе) мотокосы ("легкий пуск", 4 зацепа) "KOMATCU" (Скол)</t>
  </si>
  <si>
    <t>O-1889</t>
  </si>
  <si>
    <t>Маска защитная для работы с триммером 01 (сетка) оранжевая "BEEZMOTO"</t>
  </si>
  <si>
    <t>https://b2beez.ru/images/detailed/171/orig_s3aj-rq.jpg</t>
  </si>
  <si>
    <t>L-1511</t>
  </si>
  <si>
    <t>Леска мотокосы Ø2,0mm, 15 метров (звезда, оранжевый, блистер) "Duoline"</t>
  </si>
  <si>
    <t>https://b2beez.ru/images/detailed/169/orig_jtxh-jo.jpg</t>
  </si>
  <si>
    <t>L-0446</t>
  </si>
  <si>
    <t>Леска мотокосы Ø2,4мм, 15 метров (треугольник, двойная, блистер) "TRIMLINE"</t>
  </si>
  <si>
    <t>https://b2beez.ru/images/detailed/169/orig_lu7t-52.jpg</t>
  </si>
  <si>
    <t>L-1454</t>
  </si>
  <si>
    <t>Леска мотокосы Ø2,0мм, 15 метров (звезда, жёлтый, подвес) "TRIMLINE"</t>
  </si>
  <si>
    <t>https://b2beez.ru/images/detailed/169/orig_jo1h-r7.jpg</t>
  </si>
  <si>
    <t>L-2776</t>
  </si>
  <si>
    <t>Леска мотокосы Ø2,0мм, 15 метров (квадрат, двойной, подвес) "TRIMLINE"</t>
  </si>
  <si>
    <t>https://b2beez.ru/images/detailed/169/orig_0ki1-i6.jpg</t>
  </si>
  <si>
    <t>R-4345</t>
  </si>
  <si>
    <t>Катушка для триммера паук под 4 лески, алюминиевая (10000/1мин) "KOMATCU"</t>
  </si>
  <si>
    <t>https://b2beez.ru/images/detailed/177/orig_uc32-40.jpg</t>
  </si>
  <si>
    <t>R-1988</t>
  </si>
  <si>
    <t>Леска мотокосы Ø2,4mm,15 метров (квадрат,желтая)  "YLA"</t>
  </si>
  <si>
    <t>https://b2beez.ru/images/detailed/176/orig_8xvm-lv.jpg</t>
  </si>
  <si>
    <t>06.06.054.019</t>
  </si>
  <si>
    <t>Катушка для тиммера металлический диск М10х1,25 4 выхода "BRAIT"</t>
  </si>
  <si>
    <t>https://b2beez.ru/images/detailed/48/6246011392.jpg</t>
  </si>
  <si>
    <t>06.06.043.019</t>
  </si>
  <si>
    <t>Катушка для тиммера саморегулирующаяся M10×1.25, полуавтомат, 4 насадки, блистер BTH16B "Brait"</t>
  </si>
  <si>
    <t>https://b2beez.ru/images/detailed/48/6246452661_nq7n-9f.jpg</t>
  </si>
  <si>
    <t>06.02.211.000</t>
  </si>
  <si>
    <t>Фильтр воздушный мотокосы (элемент) 1E40F, 1E44F (ВR-430/520) "BEEZMOTO"</t>
  </si>
  <si>
    <t>https://b2beez.ru/images/detailed/48/orig_dco4-je.jpg</t>
  </si>
  <si>
    <t>R-3220</t>
  </si>
  <si>
    <t>Леска мотокосы Ø2,4мм, 15метров (круг, жёлтый) "TRIMLINE"</t>
  </si>
  <si>
    <t>https://b2beez.ru/images/detailed/177/orig_vu22-rg.jpg</t>
  </si>
  <si>
    <t>R-3225</t>
  </si>
  <si>
    <t>Леска мотокосы Ø2,4мм, 15метров (шестигранник, двойная, блистер) "TRIMLINE"</t>
  </si>
  <si>
    <t>https://b2beez.ru/images/detailed/177/orig_awz4-m4.jpg</t>
  </si>
  <si>
    <t>R-3230</t>
  </si>
  <si>
    <t>Леска мотокосы Ø2,2mm, 15 метров (квадрат витой, оранжевый, подвес) "TRIMLINE"</t>
  </si>
  <si>
    <t>https://b2beez.ru/images/detailed/177/orig_r9ld-4w.jpg</t>
  </si>
  <si>
    <t>R-3231</t>
  </si>
  <si>
    <t>Леска мотокосы Ø2,3мм, 15 метров (звезда витая, двойная) "TRIMLINE"</t>
  </si>
  <si>
    <t>https://b2beez.ru/images/detailed/177/orig_xfmk-xb.jpg</t>
  </si>
  <si>
    <t>R-3222</t>
  </si>
  <si>
    <t>Леска мотокосы Ø2,4мм, 15 метров (треугольник витой, двойной, блистер) "TRIMLINE"</t>
  </si>
  <si>
    <t>https://b2beez.ru/images/detailed/177/orig_i2vm-w6.jpg</t>
  </si>
  <si>
    <t>R-3209</t>
  </si>
  <si>
    <t>Леска мотокосы Ø2,4мм, 15 метров (клевер витой, двойной, блистер) "TRIMLINE"</t>
  </si>
  <si>
    <t>https://b2beez.ru/images/detailed/177/orig_r74x-xa.jpg</t>
  </si>
  <si>
    <t>D-3071</t>
  </si>
  <si>
    <t>Ключ свечной для бензопилы и триммера 13/19мм с плоской отверткой "BEEZMOTO"</t>
  </si>
  <si>
    <t>https://b2beez.ru/images/detailed/158/orig_ftul-9l.jpg</t>
  </si>
  <si>
    <t>Z-365</t>
  </si>
  <si>
    <t>Наушники защитные (противошумные)</t>
  </si>
  <si>
    <t>https://b2beez.ru/images/detailed/204/Z-365-2.jpg</t>
  </si>
  <si>
    <t>K-1990</t>
  </si>
  <si>
    <t>Набор инструментов мотокосы (ключи + крепления руля)</t>
  </si>
  <si>
    <t>https://b2beez.ru/images/detailed/166/orig_iwdp-cw.jpg</t>
  </si>
  <si>
    <t>O-2401</t>
  </si>
  <si>
    <t>Поршень мотокосы Oleo-Mac 952 (Ø45) "SAW TIGER"</t>
  </si>
  <si>
    <t>https://b2beez.ru/images/detailed/172/orig_qcev-6y.jpg</t>
  </si>
  <si>
    <t>S-3444</t>
  </si>
  <si>
    <t>Карбюратор для бензокосы мотокосы триммера Stihl F 120/200/250 "XINLONG"</t>
  </si>
  <si>
    <t>https://b2beez.ru/images/detailed/180/orig_l3qc-ot.jpg</t>
  </si>
  <si>
    <t>S-6579</t>
  </si>
  <si>
    <t>Элемент воздушного фильтра мотокосы (коричневый) St FS55 "SUNDY"</t>
  </si>
  <si>
    <t>https://b2beez.ru/images/detailed/182/orig_q9c1-xw.jpg</t>
  </si>
  <si>
    <t>B-1111</t>
  </si>
  <si>
    <t>Бак топливный мотокосы Stihl FS 38, 45, 55 "WOODMAN"</t>
  </si>
  <si>
    <t>https://b2beez.ru/images/detailed/154/orig_7m08-8o.jpg</t>
  </si>
  <si>
    <t>C-1980</t>
  </si>
  <si>
    <t>Поршневая мотокосы (ЦПГ) 26cc (Ø34) 1E34F (черная) "PC"</t>
  </si>
  <si>
    <t>https://b2beez.ru/images/detailed/155/orig_xohs-et.jpg</t>
  </si>
  <si>
    <t>C-431</t>
  </si>
  <si>
    <t>Поршневая мотокосы (ЦПГ) 23cc (Ø32) 1E32F "WOODMAN"</t>
  </si>
  <si>
    <t>https://b2beez.ru/images/detailed/156/6245210250.jpg</t>
  </si>
  <si>
    <t>D-217</t>
  </si>
  <si>
    <t>Защита-держатель топливного бака мотокосы (пластик) "FORESTER" (mod A)</t>
  </si>
  <si>
    <t>https://b2beez.ru/images/detailed/157/orig_b7iu-qq.jpg</t>
  </si>
  <si>
    <t>D-220</t>
  </si>
  <si>
    <t>Курок ручки газа мотокосы "BEEZMOTO"</t>
  </si>
  <si>
    <t>https://b2beez.ru/images/detailed/157/6741732615.jpg</t>
  </si>
  <si>
    <t>D-223</t>
  </si>
  <si>
    <t>Кожух защитный мотокосы (красный)</t>
  </si>
  <si>
    <t>https://b2beez.ru/images/detailed/157/6245209953.jpg</t>
  </si>
  <si>
    <t>D-224</t>
  </si>
  <si>
    <t>Держатели троса и ремня мотокосы (комплект)</t>
  </si>
  <si>
    <t>https://b2beez.ru/images/detailed/157/6248605361.jpg</t>
  </si>
  <si>
    <t>D-255</t>
  </si>
  <si>
    <t>Ручки мотокосы (левая + правая)</t>
  </si>
  <si>
    <t>https://b2beez.ru/images/detailed/158/orig_jwvl-l1.jpg</t>
  </si>
  <si>
    <t>D-262</t>
  </si>
  <si>
    <t>Хомут руля мотокосы</t>
  </si>
  <si>
    <t>https://b2beez.ru/images/detailed/158/orig_35db-nc.jpg</t>
  </si>
  <si>
    <t>D-3033</t>
  </si>
  <si>
    <t>Гайка М10 х 1,25 (редуктора мотокосы с левой резьбой) "BEST" (50шт)</t>
  </si>
  <si>
    <t>https://b2beez.ru/images/detailed/158/orig_q8d7-eb.jpg</t>
  </si>
  <si>
    <t>K-1023</t>
  </si>
  <si>
    <t>Кольца мотокосы 26cc (Ø34) 1E34F MITSUBISHI TL26 "PISTON RING"</t>
  </si>
  <si>
    <t>https://b2beez.ru/images/detailed/166/orig_d1u4-xs.jpg</t>
  </si>
  <si>
    <t>K-1027</t>
  </si>
  <si>
    <t>Кольца мотокосы 43cc (Ø40) 1E40F MITSUBISHI TL43 "PISTON RING"</t>
  </si>
  <si>
    <t>https://b2beez.ru/images/detailed/166/orig_eqzv-9s.jpg</t>
  </si>
  <si>
    <t>K-1906</t>
  </si>
  <si>
    <t>Ремкомплект карбюратора мотокосы 43cc 1E40F</t>
  </si>
  <si>
    <t>https://b2beez.ru/images/detailed/166/orig_r8xs-pp.jpg</t>
  </si>
  <si>
    <t>K-1907</t>
  </si>
  <si>
    <t>Ремкомплект карбюратора мотокосы 33cc 1E36F</t>
  </si>
  <si>
    <t>https://b2beez.ru/images/detailed/166/orig_7xex-ht.jpg</t>
  </si>
  <si>
    <t>K-1912</t>
  </si>
  <si>
    <t>Патрубок карбюратора (коллектор) мотопомпы 43cc 1E40F-6 (текстолитовый)</t>
  </si>
  <si>
    <t>https://b2beez.ru/images/detailed/166/6245210095.jpg</t>
  </si>
  <si>
    <t>K-1922</t>
  </si>
  <si>
    <t>Коленвал мотокосы 43cc 1E40F (под сепаратор 13mm)</t>
  </si>
  <si>
    <t>https://b2beez.ru/images/detailed/166/orig_1ryb-kg.jpg</t>
  </si>
  <si>
    <t>K-2131</t>
  </si>
  <si>
    <t>Карбюратор для бензокосы мотокосы триммера 33cc "MAX ENERGY"</t>
  </si>
  <si>
    <t>https://b2beez.ru/images/detailed/166/orig_f5r0-6a.jpg</t>
  </si>
  <si>
    <t>K-2161</t>
  </si>
  <si>
    <t>Карбюратор для бензокосы мотокосы триммера 33cc "ME"</t>
  </si>
  <si>
    <t>https://b2beez.ru/images/detailed/166/orig_xge8-yj.jpg</t>
  </si>
  <si>
    <t>K-3373</t>
  </si>
  <si>
    <t>Карбюратор для бензокосы мотокосы триммера 43cc "MAX ENERGY"</t>
  </si>
  <si>
    <t>https://b2beez.ru/images/detailed/167/orig_ssf3-gs.jpg</t>
  </si>
  <si>
    <t>K-3793</t>
  </si>
  <si>
    <t>Ремкомплект карбюратора мотокосы Mitsubishi TU26</t>
  </si>
  <si>
    <t>https://b2beez.ru/images/detailed/167/6245210233.jpg</t>
  </si>
  <si>
    <t>K-3796</t>
  </si>
  <si>
    <t>Ремкомплект карбюратора мотокосы Mitsubishi TL26/33 (полный)</t>
  </si>
  <si>
    <t>https://b2beez.ru/images/detailed/167/orig_8dfh-an.jpg</t>
  </si>
  <si>
    <t>K-4414</t>
  </si>
  <si>
    <t>Карбюратор для бензокосы мотокосы триммера 4T 139F (низкий) "XINLONG"</t>
  </si>
  <si>
    <t>https://b2beez.ru/images/detailed/167/orig_azm8-di.jpg</t>
  </si>
  <si>
    <t>K-4415</t>
  </si>
  <si>
    <t>Карбюратор для бензокосы мотокосы триммера 33cc "XINLONG"</t>
  </si>
  <si>
    <t>https://b2beez.ru/images/detailed/167/orig_17ww-0m.jpg</t>
  </si>
  <si>
    <t>K-4420</t>
  </si>
  <si>
    <t>Ремкомплект карбюратора мотокосы 52cc 1E44F "XINLONG"</t>
  </si>
  <si>
    <t>https://b2beez.ru/images/detailed/167/orig_hybh-2i.jpg</t>
  </si>
  <si>
    <t>K-4705</t>
  </si>
  <si>
    <t>Катушка зажигания мотокосы 1E34F</t>
  </si>
  <si>
    <t>https://b2beez.ru/images/detailed/167/6245209984.jpg</t>
  </si>
  <si>
    <t>K-4706</t>
  </si>
  <si>
    <t>Магнето мотокосы (+катушка зажигания) 4T 139F</t>
  </si>
  <si>
    <t>https://b2beez.ru/images/detailed/167/orig_wtoo-h1.jpg</t>
  </si>
  <si>
    <t>K-4708</t>
  </si>
  <si>
    <t>Коленвал мотокосы 23cc (под сепаратор 11mm) 1E32F</t>
  </si>
  <si>
    <t>https://b2beez.ru/images/detailed/167/orig_op27-zk.jpg</t>
  </si>
  <si>
    <t>K-4710</t>
  </si>
  <si>
    <t>Магнето мотокосы (+катушка зажигания) 1E32F</t>
  </si>
  <si>
    <t>https://b2beez.ru/images/detailed/167/orig_30x9-li.jpg</t>
  </si>
  <si>
    <t>K-4894</t>
  </si>
  <si>
    <t>Карбюратор для бензокосы мотокосы триммера 52cc 1E44F "LUXUPART"</t>
  </si>
  <si>
    <t>https://b2beez.ru/images/detailed/168/7178313184.jpg</t>
  </si>
  <si>
    <t>K-4924</t>
  </si>
  <si>
    <t>Катушка зажигания мотокосы 1E34F "ZUNA" (52mm по центрам отверстий)</t>
  </si>
  <si>
    <t>https://b2beez.ru/images/detailed/168/6245210073.jpg</t>
  </si>
  <si>
    <t>K-5018</t>
  </si>
  <si>
    <t>Коленвал мотокосы 33cc 1E36F (под сепаратор 12mm) "ZUNA"</t>
  </si>
  <si>
    <t>https://b2beez.ru/images/detailed/168/orig_mcu2-0h.jpg</t>
  </si>
  <si>
    <t>K-5140</t>
  </si>
  <si>
    <t>Кольца мотокосы 26cc (Ø34) 1E34F MITSUBISHI TL26 "ZUNA"</t>
  </si>
  <si>
    <t>https://b2beez.ru/images/detailed/168/orig_lse2-sy.jpg</t>
  </si>
  <si>
    <t>K-5141</t>
  </si>
  <si>
    <t>Кольца мотокосы 26cc (Ø34) 1E34F MITSUBISHI TL26 "MANLE"</t>
  </si>
  <si>
    <t>https://b2beez.ru/images/detailed/168/orig_rpjk-jn.jpg</t>
  </si>
  <si>
    <t>K-5142</t>
  </si>
  <si>
    <t>Кольца мотокосы 33cc (Ø36) 1E36F MITSUBISHI TL33 "ZUNA"</t>
  </si>
  <si>
    <t>https://b2beez.ru/images/detailed/168/6245209955.jpg</t>
  </si>
  <si>
    <t>K-5143</t>
  </si>
  <si>
    <t>Кольца мотокосы 33cc (Ø36) 1E36F MITSUBISHI TL33 "MANLE"</t>
  </si>
  <si>
    <t>https://b2beez.ru/images/detailed/168/orig_en55-3j.jpg</t>
  </si>
  <si>
    <t>K-5144</t>
  </si>
  <si>
    <t>Кольца мотокосы 43cc (Ø40) 1E40F MITSUBISHI TL43 "ZUNA"</t>
  </si>
  <si>
    <t>https://b2beez.ru/images/detailed/168/orig_0m2e-4a.jpg</t>
  </si>
  <si>
    <t>K-5145</t>
  </si>
  <si>
    <t>Кольца мотокосы 43cc (Ø40) 1E40F MITSUBISHI TL43 "MANLE"</t>
  </si>
  <si>
    <t>https://b2beez.ru/images/detailed/168/orig_1vdn-qz.jpg</t>
  </si>
  <si>
    <t>K-5146</t>
  </si>
  <si>
    <t>Кольца мотокосы 52cc (Ø44) 1E44F MITSUBISHI TL52 "ZUNA"</t>
  </si>
  <si>
    <t>https://b2beez.ru/images/detailed/168/orig_95h3-j1.jpg</t>
  </si>
  <si>
    <t>K-5147</t>
  </si>
  <si>
    <t>Кольца мотокосы 52cc (Ø44) 1E44F MITSUBISHI TL52 "MANLE"</t>
  </si>
  <si>
    <t>https://b2beez.ru/images/detailed/168/orig_ittv-fm.jpg</t>
  </si>
  <si>
    <t>N-2051</t>
  </si>
  <si>
    <t>Насадка на мотокосу (подвесной лодочный руль с винтом, 9T, D-26mm)</t>
  </si>
  <si>
    <t>https://b2beez.ru/images/detailed/170/6246481990.jpg</t>
  </si>
  <si>
    <t>N-2617</t>
  </si>
  <si>
    <t>Болты колодок сцепления мотокосы (комплект) "BEST"</t>
  </si>
  <si>
    <t>https://b2beez.ru/images/detailed/170/orig_k22c-ic.jpg</t>
  </si>
  <si>
    <t>N-2618</t>
  </si>
  <si>
    <t>Втулка скольжения штанги мотокосы (d-8mm, D-23,5mm) "BEST"</t>
  </si>
  <si>
    <t>https://b2beez.ru/images/detailed/170/orig_1jvb-mf.jpg</t>
  </si>
  <si>
    <t>N-2636</t>
  </si>
  <si>
    <t>Коленвал мотокосы 43cc 1E40F (под сепаратор 13mm) "BEST"</t>
  </si>
  <si>
    <t>https://b2beez.ru/images/detailed/170/orig_gp0a-mr.jpg</t>
  </si>
  <si>
    <t>N-2639</t>
  </si>
  <si>
    <t>Кольца мотокосы 26cc (Ø34) 1E34F MITSUBISHI TL26 "BEST"</t>
  </si>
  <si>
    <t>https://b2beez.ru/images/detailed/170/orig_gugr-94.jpg</t>
  </si>
  <si>
    <t>N-2640</t>
  </si>
  <si>
    <t>Кольца мотокосы 33cc (Ø36) 1E36F MITSUBISHI TL33 "BEST"</t>
  </si>
  <si>
    <t>https://b2beez.ru/images/detailed/170/orig_z3zh-vf.jpg</t>
  </si>
  <si>
    <t>N-2641</t>
  </si>
  <si>
    <t>Кольца мотокосы 43cc (Ø40) 1E40F MITSUBISHI TL43 "BEST"</t>
  </si>
  <si>
    <t>https://b2beez.ru/images/detailed/170/orig_deeg-a9.jpg</t>
  </si>
  <si>
    <t>N-2642</t>
  </si>
  <si>
    <t>Кольца мотокосы 52cc (Ø44) 1E44F MITSUBISHI TL52 "BEST"</t>
  </si>
  <si>
    <t>https://b2beez.ru/images/detailed/170/6245209976.jpg</t>
  </si>
  <si>
    <t>N-2643</t>
  </si>
  <si>
    <t>Корпус вариатора мотокосы 7T (Ø26) (красный) "BEST"</t>
  </si>
  <si>
    <t>https://b2beez.ru/images/detailed/170/orig_ktuv-uq.jpg</t>
  </si>
  <si>
    <t>N-2646</t>
  </si>
  <si>
    <t>Крепление защитного кожуха мотокосы "BEST"</t>
  </si>
  <si>
    <t>https://b2beez.ru/images/detailed/170/orig_1wfr-mj.jpg</t>
  </si>
  <si>
    <t>N-2649</t>
  </si>
  <si>
    <t>Крепление ручек руля к штанге мотокосы (регулируемое) "BEST"</t>
  </si>
  <si>
    <t>https://b2beez.ru/images/detailed/170/orig_pzqk-h9.jpg</t>
  </si>
  <si>
    <t>N-2658</t>
  </si>
  <si>
    <t>Нож мотокосы 40T (Ø255/25.4 mm) "BCB"</t>
  </si>
  <si>
    <t>https://b2beez.ru/images/detailed/170/orig_l6lu-li.jpg</t>
  </si>
  <si>
    <t>N-2660</t>
  </si>
  <si>
    <t>Нож мотокосы 40T (Ø255/22.4 mm) (победитовые зубья) "BEST" (mod.C)</t>
  </si>
  <si>
    <t>https://b2beez.ru/images/detailed/170/orig_ukgg-kh.jpg</t>
  </si>
  <si>
    <t>N-2661</t>
  </si>
  <si>
    <t>Нож мотокосы 80T (Ø254/25.4 mm) "BCB"</t>
  </si>
  <si>
    <t>https://b2beez.ru/images/detailed/170/orig_vo42-1z.jpg</t>
  </si>
  <si>
    <t>N-2663</t>
  </si>
  <si>
    <t>Нож мотокосы 8T (Ø255/25.4 mm) "BCB"</t>
  </si>
  <si>
    <t>https://b2beez.ru/images/detailed/170/orig_qusj-ln.jpg</t>
  </si>
  <si>
    <t>N-2668</t>
  </si>
  <si>
    <t>Подшипник редуктора мотокоса 6000-2RS 10*26*8 "BEST"</t>
  </si>
  <si>
    <t>https://b2beez.ru/images/detailed/170/6245210107.jpg</t>
  </si>
  <si>
    <t>N-2684</t>
  </si>
  <si>
    <t>Ремкомплект карбюратора мотокосы 33cc 1E36F "BEST"</t>
  </si>
  <si>
    <t>https://b2beez.ru/images/detailed/170/orig_d3f6-m8.jpg</t>
  </si>
  <si>
    <t>N-2689</t>
  </si>
  <si>
    <t>Ремкомплект карбюратора мотокосы Mitsubishi TL43/52 (полный) "BEEZMOTO" mod:A</t>
  </si>
  <si>
    <t>https://b2beez.ru/images/detailed/170/orig_5gr2-q0.jpg</t>
  </si>
  <si>
    <t>N-2690</t>
  </si>
  <si>
    <t>Ремкомплект карбюратора мотокосы Mitsubishi TU26 "BEST"</t>
  </si>
  <si>
    <t>https://b2beez.ru/images/detailed/170/6245947954.jpg</t>
  </si>
  <si>
    <t>N-2692</t>
  </si>
  <si>
    <t>Руль мотокосы (mod.102) "KOMATCU"</t>
  </si>
  <si>
    <t>https://b2beez.ru/images/detailed/170/6237615908.jpg</t>
  </si>
  <si>
    <t>N-2693</t>
  </si>
  <si>
    <t>Руль мотокосы (mod:103) "BEST"</t>
  </si>
  <si>
    <t>https://b2beez.ru/images/detailed/170/orig_gvwv-ul.jpg</t>
  </si>
  <si>
    <t>N-2698</t>
  </si>
  <si>
    <t>Ручки мотокосы (левая + правая) "BEST"</t>
  </si>
  <si>
    <t>https://b2beez.ru/images/detailed/170/orig_gxds-0g.jpg</t>
  </si>
  <si>
    <t>N-2703</t>
  </si>
  <si>
    <t>Стартер ручной (в сборе) мотокосы (mod.3) "BEST"</t>
  </si>
  <si>
    <t>https://b2beez.ru/images/detailed/170/orig_lgk6-km.jpg</t>
  </si>
  <si>
    <t>N-2705</t>
  </si>
  <si>
    <t>Стартер ручной (в сборе) мотокосы БАЙКАЛ "BEST"</t>
  </si>
  <si>
    <t>https://b2beez.ru/images/detailed/170/orig_oo7m-us.jpg</t>
  </si>
  <si>
    <t>N-2707</t>
  </si>
  <si>
    <t>Тарелка вариатора мотокосы 7T "BEST"</t>
  </si>
  <si>
    <t>https://b2beez.ru/images/detailed/170/6245938063.jpg</t>
  </si>
  <si>
    <t>N-2725</t>
  </si>
  <si>
    <t>Нож мотокосы 40T (Ø230/22.4 mm) (победитовые зубья) "BEST" (mod.B)</t>
  </si>
  <si>
    <t>https://b2beez.ru/images/detailed/171/orig.jpg</t>
  </si>
  <si>
    <t>N-2728</t>
  </si>
  <si>
    <t>Нож мотокосы 40T (Ø255/25.4 mm) (победитовые зубья) "BCB" (mod.B)</t>
  </si>
  <si>
    <t>https://b2beez.ru/images/detailed/171/orig_dr89-0h.jpg</t>
  </si>
  <si>
    <t>N-2731</t>
  </si>
  <si>
    <t>Защита косы в сборе (под штангу 28мм) "BEST"</t>
  </si>
  <si>
    <t>https://b2beez.ru/images/detailed/171/6245209997.jpg</t>
  </si>
  <si>
    <t>N-2734</t>
  </si>
  <si>
    <t>Кольца мотокосы 26cc (Ø34) 1E34F (1,2мм) "BEST" (mod.A)</t>
  </si>
  <si>
    <t>https://b2beez.ru/images/detailed/171/orig_np2x-pf.jpg</t>
  </si>
  <si>
    <t>N-2737</t>
  </si>
  <si>
    <t>Кольца мотокосы 43cc (Ø40) 1E40F (1,5мм) "BEST" (mod.A)</t>
  </si>
  <si>
    <t>https://b2beez.ru/images/detailed/171/orig_k467-wk.jpg</t>
  </si>
  <si>
    <t>N-2739</t>
  </si>
  <si>
    <t>Кольца мотокосы 52cc (Ø44) 1E44F (1,5мм) "BEST" (mod.A)</t>
  </si>
  <si>
    <t>https://b2beez.ru/images/detailed/171/orig_0oil-ul.jpg</t>
  </si>
  <si>
    <t>N-2741</t>
  </si>
  <si>
    <t>Тарелка защиты ножа мотокосы (65х10.1 mm) "BEST"</t>
  </si>
  <si>
    <t>https://b2beez.ru/images/detailed/171/orig_h0et-rv.jpg</t>
  </si>
  <si>
    <t>N-2748</t>
  </si>
  <si>
    <t>Пробка под шланги в бак косы "BEST"</t>
  </si>
  <si>
    <t>https://b2beez.ru/images/detailed/171/6245210080.jpg</t>
  </si>
  <si>
    <t>N-2750</t>
  </si>
  <si>
    <t>Ремень косы с пластиной и боковой поддержкой "BEST"</t>
  </si>
  <si>
    <t>https://b2beez.ru/images/detailed/171/6456898647.jpg</t>
  </si>
  <si>
    <t>N-2754</t>
  </si>
  <si>
    <t>Стартер ручной (в сборе) мотокосы Bautec (2 усика) "BEST"</t>
  </si>
  <si>
    <t>https://b2beez.ru/images/detailed/171/6245210203.jpg</t>
  </si>
  <si>
    <t>N-2758</t>
  </si>
  <si>
    <t>Стартер ручной (в сборе) мотокосы Эксперт "BEST"</t>
  </si>
  <si>
    <t>https://b2beez.ru/images/detailed/171/orig_zf8r-i8.jpg</t>
  </si>
  <si>
    <t>N-2759</t>
  </si>
  <si>
    <t>Стартер ручной (в сборе) мотокосы Евротек (1 зацеп) "BEST"</t>
  </si>
  <si>
    <t>https://b2beez.ru/images/detailed/171/orig_6p23-fk.jpg</t>
  </si>
  <si>
    <t>N-2761</t>
  </si>
  <si>
    <t>Стартер ручной (в сборе) мотокосы (2 зацепа) (mod.2) "BEST"</t>
  </si>
  <si>
    <t>https://b2beez.ru/images/detailed/171/orig_quv6-vy.jpg</t>
  </si>
  <si>
    <t>N-2766</t>
  </si>
  <si>
    <t>Стартер ручной (в сборе) мотокосы 1E34F ("легкий пуск", 4 зацепа) 26-36CC "BEST"</t>
  </si>
  <si>
    <t>https://b2beez.ru/images/detailed/171/6248477779.jpg</t>
  </si>
  <si>
    <t>N-2767</t>
  </si>
  <si>
    <t>Стартер ручной (в сборе) мотокосы (1 усик, малый) "BEST"</t>
  </si>
  <si>
    <t>https://b2beez.ru/images/detailed/171/orig_95zb-s8.jpg</t>
  </si>
  <si>
    <t>N-2770</t>
  </si>
  <si>
    <t>Стартер ручной (в сборе) мотокосы ("легкий пуск", 4 зацепа) (mod.2) "BEST"</t>
  </si>
  <si>
    <t>https://b2beez.ru/images/detailed/171/6245210120.jpg</t>
  </si>
  <si>
    <t>N-2771</t>
  </si>
  <si>
    <t>Стартер ручной (в сборе) мотокосы ("бабочка", малый) (mod.1) "BEST"</t>
  </si>
  <si>
    <t>https://b2beez.ru/images/detailed/171/orig_8o6d-qz.jpg</t>
  </si>
  <si>
    <t>N-2772</t>
  </si>
  <si>
    <t>Колодки сцепления мотокосы (короткая пружина) (Ø-52mm, d=Ø8mm) "BEST"</t>
  </si>
  <si>
    <t>https://b2beez.ru/images/detailed/171/6245209961.jpg</t>
  </si>
  <si>
    <t>N-2773</t>
  </si>
  <si>
    <t>Колодки сцепления мотокосы (длиная пружина) (D=Ø40,5mm, алюминий) "BEST"</t>
  </si>
  <si>
    <t>https://b2beez.ru/images/detailed/171/orig_52m5-xo.jpg</t>
  </si>
  <si>
    <t>N-2781</t>
  </si>
  <si>
    <t>Катушка для тиммера саморегулирующаяся"BEST"</t>
  </si>
  <si>
    <t>https://b2beez.ru/images/detailed/171/6246011322.jpg</t>
  </si>
  <si>
    <t>N-2784</t>
  </si>
  <si>
    <t>Катушка для триммера саморегулирующаяся красная "BEST"</t>
  </si>
  <si>
    <t>https://b2beez.ru/images/detailed/171/6246011428.jpg</t>
  </si>
  <si>
    <t>N-2785</t>
  </si>
  <si>
    <t>Катушка для тиммера саморегулирующаяся "плоская", красная "BEST"</t>
  </si>
  <si>
    <t>https://b2beez.ru/images/detailed/171/6246011427.jpg</t>
  </si>
  <si>
    <t>P-1075</t>
  </si>
  <si>
    <t>Поршень мотокосы 43cc (Ø40) 1E40F "WOODMAN"</t>
  </si>
  <si>
    <t>https://b2beez.ru/images/detailed/172/orig_9yx5-eq.jpg</t>
  </si>
  <si>
    <t>P-3172</t>
  </si>
  <si>
    <t>Поршень мотокосы 23cc (Ø32) 1E32F "WOODMAN"</t>
  </si>
  <si>
    <t>https://b2beez.ru/images/detailed/173/orig_zqsu-vo.jpg</t>
  </si>
  <si>
    <t>P-4708</t>
  </si>
  <si>
    <t>Поршень мотокосы 4T (Ø39) 139F "WOODMAN"</t>
  </si>
  <si>
    <t>https://b2beez.ru/images/detailed/174/orig_7ien-ej.jpg</t>
  </si>
  <si>
    <t>P-4709</t>
  </si>
  <si>
    <t>Прокладки мотокосы (набор) 4T 139F</t>
  </si>
  <si>
    <t>https://b2beez.ru/images/detailed/174/orig_o2xz-ia.jpg</t>
  </si>
  <si>
    <t>P-5170</t>
  </si>
  <si>
    <t>Поршень мотокосы 26cc (Ø34) 1E34F "ZUNA"</t>
  </si>
  <si>
    <t>https://b2beez.ru/images/detailed/174/orig_ocn1-ci.jpg</t>
  </si>
  <si>
    <t>P-5171</t>
  </si>
  <si>
    <t>Поршень мотокосы 26cc (Ø34) 1E34F "MANLE"</t>
  </si>
  <si>
    <t>https://b2beez.ru/images/detailed/174/orig_yup6-2c.jpg</t>
  </si>
  <si>
    <t>P-5173</t>
  </si>
  <si>
    <t>Поршень мотокосы 43cc (Ø40) 1E40F "MANLE"</t>
  </si>
  <si>
    <t>https://b2beez.ru/images/detailed/174/orig_olpr-u4.jpg</t>
  </si>
  <si>
    <t>R-1693</t>
  </si>
  <si>
    <t>Леска мотокосы Ø2,0mm, 15 метров (круглая, желтая) "ZHGT"</t>
  </si>
  <si>
    <t>https://b2beez.ru/images/detailed/176/orig_ak9p-n2.jpg</t>
  </si>
  <si>
    <t>R-1694</t>
  </si>
  <si>
    <t>Леска мотокосы Ø2,0mm, 60 метров (круглая, зеленая) "ZHGT"</t>
  </si>
  <si>
    <t>https://b2beez.ru/images/detailed/176/orig_jjfp-9b.jpg</t>
  </si>
  <si>
    <t>R-1697</t>
  </si>
  <si>
    <t>Леска мотокосы Ø2,0mm, 15 метров (квадратная, желтая) "TRIMMER LINE"</t>
  </si>
  <si>
    <t>https://b2beez.ru/images/detailed/176/orig_73w0-mm.jpg</t>
  </si>
  <si>
    <t>R-1700</t>
  </si>
  <si>
    <t>Леска мотокосы Ø2,0mm, 60 метров (звезда, желтая) "ZHGT"</t>
  </si>
  <si>
    <t>https://b2beez.ru/images/detailed/176/orig_zans-mw.jpg</t>
  </si>
  <si>
    <t>R-1701</t>
  </si>
  <si>
    <t>Леска мотокосы Ø2,0mm, 15 метров (круглая, красная, блистер) "TRIMMER LINE"</t>
  </si>
  <si>
    <t>https://b2beez.ru/images/detailed/176/orig_h07r-09.jpg</t>
  </si>
  <si>
    <t>R-1703</t>
  </si>
  <si>
    <t>Леска мотокосы Ø2,0mm, 15 метров (косичка, серая, блистер) "TRIMMER LINE"</t>
  </si>
  <si>
    <t>https://b2beez.ru/images/detailed/176/orig_p294-h5.jpg</t>
  </si>
  <si>
    <t>R-1705</t>
  </si>
  <si>
    <t>Леска мотокосы Ø2,0mm, 15 метров (квадратная, оранжевая, блистер) "ZHGT"</t>
  </si>
  <si>
    <t>https://b2beez.ru/images/detailed/176/orig_08fh-ug.jpg</t>
  </si>
  <si>
    <t>R-1710</t>
  </si>
  <si>
    <t>Леска мотокосы Ø2,3mm, 60 метров (круглая, желтая) "TRIMMER LINE"</t>
  </si>
  <si>
    <t>https://b2beez.ru/images/detailed/176/orig_q1y7-om.jpg</t>
  </si>
  <si>
    <t>R-1711</t>
  </si>
  <si>
    <t>Леска мотокосы Ø2,4mm, 15 метров (косичка, черная) "TRIMMER LINE"</t>
  </si>
  <si>
    <t>https://b2beez.ru/images/detailed/176/orig_l6k2-8c.jpg</t>
  </si>
  <si>
    <t>R-1718</t>
  </si>
  <si>
    <t>Леска мотокосы Ø2,3mm, 60 метров (круглая, оранжевая, блистер) "TRIMMER LINE"</t>
  </si>
  <si>
    <t>https://b2beez.ru/images/detailed/176/orig_k66w-g0.jpg</t>
  </si>
  <si>
    <t>R-1719</t>
  </si>
  <si>
    <t>Леска мотокосы Ø2,4mm, 15 метров (косичка) "ZHGT"</t>
  </si>
  <si>
    <t>https://b2beez.ru/images/detailed/176/orig_0tw6-55.jpg</t>
  </si>
  <si>
    <t>R-1722</t>
  </si>
  <si>
    <t>Леска мотокосы Ø2,4mm, 60 метров (квадратная, оранжевая, блистер) "TRIMMER LINE"</t>
  </si>
  <si>
    <t>https://b2beez.ru/images/detailed/176/orig_zr0h-hs.jpg</t>
  </si>
  <si>
    <t>R-1733</t>
  </si>
  <si>
    <t>Леска мотокосы Ø2,7mm, 15 метров (круглая, оранжевая, блистер) "ZHGT"</t>
  </si>
  <si>
    <t>https://b2beez.ru/images/detailed/176/orig_u9vd-pq.jpg</t>
  </si>
  <si>
    <t>R-1902</t>
  </si>
  <si>
    <t>Редуктор мотокосы 7Т (Ø28)</t>
  </si>
  <si>
    <t>https://b2beez.ru/images/detailed/176/6245210126.jpg</t>
  </si>
  <si>
    <t>R-1930</t>
  </si>
  <si>
    <t>Корпус вариатора мотокосы 7T (Ø26)</t>
  </si>
  <si>
    <t>https://b2beez.ru/images/detailed/176/orig_xjh1-nv.jpg</t>
  </si>
  <si>
    <t>R-1995</t>
  </si>
  <si>
    <t>Леска мотокосы Ø2,7mm, 60 метров (квадрат, желтая, блистер) "TRIMMER LINE"</t>
  </si>
  <si>
    <t>https://b2beez.ru/images/detailed/176/orig_zvk1-ec.jpg</t>
  </si>
  <si>
    <t>R-1999</t>
  </si>
  <si>
    <t>Леска мотокосы Ø3,0mm, 60 метров (косичка, желтая, блистер) "TRIMMER LINE"</t>
  </si>
  <si>
    <t>https://b2beez.ru/images/detailed/176/orig_4sgr-ri.jpg</t>
  </si>
  <si>
    <t>R-2317</t>
  </si>
  <si>
    <t>Катушка для тиммера дюраль,четыре проушины "BEEZMOTO"</t>
  </si>
  <si>
    <t>https://b2beez.ru/images/detailed/177/6246011451.jpg</t>
  </si>
  <si>
    <t>R-2319</t>
  </si>
  <si>
    <t>Катушка для тиммера круглая "FORESTER"</t>
  </si>
  <si>
    <t>https://b2beez.ru/images/detailed/177/6246011315.jpg</t>
  </si>
  <si>
    <t>R-2320</t>
  </si>
  <si>
    <t>Катушка для триммера дюраль,две проушины "FORESTER"</t>
  </si>
  <si>
    <t>https://b2beez.ru/images/detailed/177/6246011316.jpg</t>
  </si>
  <si>
    <t>R-2321</t>
  </si>
  <si>
    <t>Нож мотокосы 40T (Ø255/25.4 mm) (победитовые зубья) "BCB"</t>
  </si>
  <si>
    <t>https://b2beez.ru/images/detailed/177/orig_p3cb-lm.jpg</t>
  </si>
  <si>
    <t>R-2407</t>
  </si>
  <si>
    <t>Шестерня редуктора мотокосы 7Т</t>
  </si>
  <si>
    <t>https://b2beez.ru/images/detailed/177/orig_ox32-uy.jpg</t>
  </si>
  <si>
    <t>R-2535</t>
  </si>
  <si>
    <t>Леска мотокосы Ø4,0mm, 200 метров (круглая, желтая, бухта) "TRIMMER LINE"</t>
  </si>
  <si>
    <t>https://b2beez.ru/images/detailed/177/orig_fdmh-65.jpg</t>
  </si>
  <si>
    <t>R-2536</t>
  </si>
  <si>
    <t>Леска мотокосы Ø4,0mm, 15 метров (косичка, оранжевая) "TRIMMER LINE"</t>
  </si>
  <si>
    <t>https://b2beez.ru/images/detailed/177/orig_1iwp-ha.jpg</t>
  </si>
  <si>
    <t>R-2538</t>
  </si>
  <si>
    <t>Леска мотокосы Ø4,0mm, 200 метров (квадрат витой, желтая, бухта)</t>
  </si>
  <si>
    <t>https://b2beez.ru/images/detailed/177/orig_12w6-b1.jpg</t>
  </si>
  <si>
    <t>R-2540</t>
  </si>
  <si>
    <t>Леска мотокосы Ø4,0mm, 60 метров (квадратная, желтая) "TRIMMER LINE"</t>
  </si>
  <si>
    <t>https://b2beez.ru/images/detailed/177/orig_qeua-ov.jpg</t>
  </si>
  <si>
    <t>R-2541</t>
  </si>
  <si>
    <t>Леска мотокосы Ø4,7mm, 200 метров (квадратная, желтая, бухта) "TRIMMER LINE"</t>
  </si>
  <si>
    <t>https://b2beez.ru/images/detailed/177/orig_b92d-ii.jpg</t>
  </si>
  <si>
    <t>R-2542</t>
  </si>
  <si>
    <t>Леска мотокосы Ø4,0mm, 15 метров (звезда, желтая) "TRIMMER LINE"</t>
  </si>
  <si>
    <t>https://b2beez.ru/images/detailed/177/orig_gyuq-j7.jpg</t>
  </si>
  <si>
    <t>R-2544</t>
  </si>
  <si>
    <t>Леска мотокосы Ø4,0mm, 200 метров (звезда, желтая, бухта) "TRIMMER LINE"</t>
  </si>
  <si>
    <t>https://b2beez.ru/images/detailed/177/orig_h6ks-m4.jpg</t>
  </si>
  <si>
    <t>R-2547</t>
  </si>
  <si>
    <t>Леска мотокосы Ø5,0mm, 200 метров (круглая, желтая, бухта) "TRIMMER LINE"</t>
  </si>
  <si>
    <t>https://b2beez.ru/images/detailed/177/orig_vmhz-ak.jpg</t>
  </si>
  <si>
    <t>R-2549</t>
  </si>
  <si>
    <t>Леска мотокосы Ø5,0mm, 60 метров (косичка, черная)</t>
  </si>
  <si>
    <t>https://b2beez.ru/images/detailed/177/orig_rbgd-nr.jpg</t>
  </si>
  <si>
    <t>R-2550</t>
  </si>
  <si>
    <t>Леска мотокосы Ø5,0mm, 200 метров (косичка, черная, бухта) "TRIMMER LINE"</t>
  </si>
  <si>
    <t>https://b2beez.ru/images/detailed/177/orig_b4bn-i0.jpg</t>
  </si>
  <si>
    <t>R-2587</t>
  </si>
  <si>
    <t>https://b2beez.ru/images/detailed/177/orig_k38a-1g.jpg</t>
  </si>
  <si>
    <t>R-2850</t>
  </si>
  <si>
    <t>Леска мотокосы Ø2,0mm, 15 метров (квадрат, оранжевая) "TRIMMER LINE"</t>
  </si>
  <si>
    <t>https://b2beez.ru/images/detailed/177/orig_av5r-9y.jpg</t>
  </si>
  <si>
    <t>R-2851</t>
  </si>
  <si>
    <t>Леска мотокосы Ø2,0mm, 100 метров (звезда, оранжевая) "BEST"</t>
  </si>
  <si>
    <t>https://b2beez.ru/images/detailed/177/orig_k2t4-4r.jpg</t>
  </si>
  <si>
    <t>R-2855</t>
  </si>
  <si>
    <t>Леска мотокосы Ø2,6mm, 100 метров (звезда, оранжевая) "BEST"</t>
  </si>
  <si>
    <t>https://b2beez.ru/images/detailed/177/orig_r5lw-lu.jpg</t>
  </si>
  <si>
    <t>R-2861</t>
  </si>
  <si>
    <t>Леска мотокосы Ø1,5mm, 15 метров (косичка, красный) "TRIMMER LINE"</t>
  </si>
  <si>
    <t>https://b2beez.ru/images/detailed/177/orig_907q-t8.jpg</t>
  </si>
  <si>
    <t>R-2862</t>
  </si>
  <si>
    <t>Леска мотокосы Ø2,0mm, 100 метров (косичка, красная) "BEST"</t>
  </si>
  <si>
    <t>https://b2beez.ru/images/detailed/177/orig_fvg1-79.jpg</t>
  </si>
  <si>
    <t>R-2864</t>
  </si>
  <si>
    <t>Леска мотокосы Ø2,4mm, 100 метров (косичка, оранжевая) "BEST"</t>
  </si>
  <si>
    <t>https://b2beez.ru/images/detailed/177/orig_7wc5-mv.jpg</t>
  </si>
  <si>
    <t>R-2866</t>
  </si>
  <si>
    <t>Леска мотокосы Ø2,7mm, 100 метров (косичка, зеленая) "BEST"</t>
  </si>
  <si>
    <t>https://b2beez.ru/images/detailed/177/orig_juok-ue.jpg</t>
  </si>
  <si>
    <t>R-2867</t>
  </si>
  <si>
    <t>Леска мотокосы Ø3,0mm, 100 метров (косичка, оранжевая) "BEST"</t>
  </si>
  <si>
    <t>https://b2beez.ru/images/detailed/177/orig_ask0-jf.jpg</t>
  </si>
  <si>
    <t>R-2869</t>
  </si>
  <si>
    <t>Леска мотокосы Ø3,0mm, 100 метров (косичка, оранжевая) "BEST" (mod B)</t>
  </si>
  <si>
    <t>https://b2beez.ru/images/detailed/177/orig_79ch-ht.jpg</t>
  </si>
  <si>
    <t>R-835</t>
  </si>
  <si>
    <t>Шестерни редуктора мотокосы 7Т/12T</t>
  </si>
  <si>
    <t>https://b2beez.ru/images/detailed/178/6245210141.jpg</t>
  </si>
  <si>
    <t>R-836</t>
  </si>
  <si>
    <t>Вал редуктора мотокосы (+шестерни 7Т)</t>
  </si>
  <si>
    <t>https://b2beez.ru/images/detailed/178/6248595784.jpg</t>
  </si>
  <si>
    <t>R-838</t>
  </si>
  <si>
    <t>Вал редуктора мотокосы (нижний, 82mm)</t>
  </si>
  <si>
    <t>https://b2beez.ru/images/detailed/178/orig_a65k-lg.jpg</t>
  </si>
  <si>
    <t>R-844</t>
  </si>
  <si>
    <t>Редуктор мотокосы 7Т (Ø26) (красный)</t>
  </si>
  <si>
    <t>https://b2beez.ru/images/detailed/178/orig_es01-y0.jpg</t>
  </si>
  <si>
    <t>R-849</t>
  </si>
  <si>
    <t>https://b2beez.ru/images/detailed/178/orig_2pn9-35.jpg</t>
  </si>
  <si>
    <t>R-851</t>
  </si>
  <si>
    <t>https://b2beez.ru/images/detailed/178/orig_gvy2-ir.jpg</t>
  </si>
  <si>
    <t>R-858</t>
  </si>
  <si>
    <t>Катушка для тиммера саморегулирующаяся (mod.91)</t>
  </si>
  <si>
    <t>https://b2beez.ru/images/detailed/178/6246011341.jpg</t>
  </si>
  <si>
    <t>R-873</t>
  </si>
  <si>
    <t>Редуктор мотокосы 4Т (Ø26) (красный)</t>
  </si>
  <si>
    <t>https://b2beez.ru/images/detailed/178/6245210245.jpg</t>
  </si>
  <si>
    <t>S-1228</t>
  </si>
  <si>
    <t>Стартер ручной (в сборе) мотокосы БАЙКАЛ</t>
  </si>
  <si>
    <t>https://b2beez.ru/images/detailed/178/orig_rbgl-ow.jpg</t>
  </si>
  <si>
    <t>S-1684</t>
  </si>
  <si>
    <t>Стартер ручной (в сборе) мотокосы (mod.1)</t>
  </si>
  <si>
    <t>https://b2beez.ru/images/detailed/178/6245210129.jpg</t>
  </si>
  <si>
    <t>S-1686</t>
  </si>
  <si>
    <t>Стартер ручной (в сборе) мотокосы (mod.3)</t>
  </si>
  <si>
    <t>https://b2beez.ru/images/detailed/178/orig_th71-9m.jpg</t>
  </si>
  <si>
    <t>S-1688</t>
  </si>
  <si>
    <t>Шкив стартера мотокосы (выдвижной)</t>
  </si>
  <si>
    <t>https://b2beez.ru/images/detailed/178/6245210256.jpg</t>
  </si>
  <si>
    <t>S-1692</t>
  </si>
  <si>
    <t>Штанга мотокосы 7x4T (d-8mm, L-1530mm)</t>
  </si>
  <si>
    <t>https://b2beez.ru/images/detailed/178/6245210239.jpg</t>
  </si>
  <si>
    <t>S-1693</t>
  </si>
  <si>
    <t>Штанга мотокосы 7x7T (d-8mm, L-1530mm)</t>
  </si>
  <si>
    <t>https://b2beez.ru/images/detailed/178/orig_23j5-w1.jpg</t>
  </si>
  <si>
    <t>S-1694</t>
  </si>
  <si>
    <t>Штанга мотокосы 9x9T (d-8mm, L-1530mm)</t>
  </si>
  <si>
    <t>https://b2beez.ru/images/detailed/178/orig_gzbk-b3.jpg</t>
  </si>
  <si>
    <t>S-1815</t>
  </si>
  <si>
    <t>Подшипник редуктора мотокоса 6000-ZZ 10*26*8 (Япония) "KOY"</t>
  </si>
  <si>
    <t>https://b2beez.ru/images/detailed/179/6245210105.jpg</t>
  </si>
  <si>
    <t>S-1884</t>
  </si>
  <si>
    <t>Штанга мотокосы 4x4T (d-8mm, L-1530mm)</t>
  </si>
  <si>
    <t>https://b2beez.ru/images/detailed/179/orig_ew12-bv.jpg</t>
  </si>
  <si>
    <t>S-3135</t>
  </si>
  <si>
    <t>Штанга с трубой на мотокосу 7x4T (D-26, d-8mm, L-760mm)</t>
  </si>
  <si>
    <t>https://b2beez.ru/images/detailed/180/orig_1ry5-0g.jpg</t>
  </si>
  <si>
    <t>S-3136</t>
  </si>
  <si>
    <t>Штанга с трубой на мотокосу 7x7T (D-26, d-8mm, L-1530mm)</t>
  </si>
  <si>
    <t>https://b2beez.ru/images/detailed/180/6245210249.jpg</t>
  </si>
  <si>
    <t>S-3607</t>
  </si>
  <si>
    <t>Стартер ручной (в сборе) мотокосы (mod.1) "HXQ"</t>
  </si>
  <si>
    <t>https://b2beez.ru/images/detailed/180/6245936178.jpg</t>
  </si>
  <si>
    <t>S-3608</t>
  </si>
  <si>
    <t>Стартер ручной (в сборе) мотокосы (mod.22) "HXQ"</t>
  </si>
  <si>
    <t>https://b2beez.ru/images/detailed/180/orig_sxsk-wy.jpg</t>
  </si>
  <si>
    <t>S-3620</t>
  </si>
  <si>
    <t>Стартер ручной (в сборе) мотокосы (mod.15) "HXQ"</t>
  </si>
  <si>
    <t>https://b2beez.ru/images/detailed/180/orig_hp0i-q7.jpg</t>
  </si>
  <si>
    <t>S-6577</t>
  </si>
  <si>
    <t>Шкив стартера мотокосы St FS55 "WOODMAN"</t>
  </si>
  <si>
    <t>https://b2beez.ru/images/detailed/182/orig_7e8s-s1.jpg</t>
  </si>
  <si>
    <t>V-1385</t>
  </si>
  <si>
    <t>Корпус вариатора мотокосы 7T (Ø26) (1E34F)</t>
  </si>
  <si>
    <t>https://b2beez.ru/images/detailed/185/6245210056.jpg</t>
  </si>
  <si>
    <t>V-1387</t>
  </si>
  <si>
    <t>Корпус вариатора мотокосы 7T (Ø28) (1E34F)</t>
  </si>
  <si>
    <t>https://b2beez.ru/images/detailed/185/orig_bsm9-9w.jpg</t>
  </si>
  <si>
    <t>V-1837</t>
  </si>
  <si>
    <t>Болты колодок сцепления мотокосы (комплект) "MANLE"</t>
  </si>
  <si>
    <t>https://b2beez.ru/images/detailed/186/orig_19j9-5l.jpg</t>
  </si>
  <si>
    <t>V-1924</t>
  </si>
  <si>
    <t>Колодки сцепления мотокосы (длинная пружина) "CLUTCH"</t>
  </si>
  <si>
    <t>https://b2beez.ru/images/detailed/186/orig_h2mc-pv.jpg</t>
  </si>
  <si>
    <t>V-1986</t>
  </si>
  <si>
    <t>Тарелка вариатора мотокосы 4T "ZUNA"</t>
  </si>
  <si>
    <t>https://b2beez.ru/images/detailed/186/orig_28el-1v.jpg</t>
  </si>
  <si>
    <t>V-346</t>
  </si>
  <si>
    <t>Тарелка вариатора мотокосы 9T</t>
  </si>
  <si>
    <t>https://b2beez.ru/images/detailed/187/orig_0vhi-7t.jpg</t>
  </si>
  <si>
    <t>V-463</t>
  </si>
  <si>
    <t>Ответная часть стартера мотокосы (mod.2)</t>
  </si>
  <si>
    <t>https://b2beez.ru/images/detailed/187/6245210112.jpg</t>
  </si>
  <si>
    <t>V-476</t>
  </si>
  <si>
    <t>Корпус вариатора мотокосы 7T (Ø26) (оранжевый)</t>
  </si>
  <si>
    <t>https://b2beez.ru/images/detailed/187/orig_lhyb-lx.jpg</t>
  </si>
  <si>
    <t>V-477</t>
  </si>
  <si>
    <t>Корпус вариатора мотокосы 9T (Ø26) (красный) "KOMATCU"</t>
  </si>
  <si>
    <t>https://b2beez.ru/images/detailed/187/orig_rdls-fe.jpg</t>
  </si>
  <si>
    <t>V-495</t>
  </si>
  <si>
    <t>Пружина вариатора мотокосы (короткая)</t>
  </si>
  <si>
    <t>https://b2beez.ru/images/detailed/187/orig_5ki5-hi.jpg</t>
  </si>
  <si>
    <t>V-498</t>
  </si>
  <si>
    <t>Тарелка вариатора мотокосы 7T</t>
  </si>
  <si>
    <t>https://b2beez.ru/images/detailed/187/6245210211.jpg</t>
  </si>
  <si>
    <t>V-499</t>
  </si>
  <si>
    <t>Тарелка вариатора мотокосы 4T</t>
  </si>
  <si>
    <t>https://b2beez.ru/images/detailed/187/orig_ojz9-qp.jpg</t>
  </si>
  <si>
    <t>D-1025</t>
  </si>
  <si>
    <t>Руль мотокосы голая (mod.2)</t>
  </si>
  <si>
    <t>https://b2beez.ru/images/detailed/157/orig_y1bj-af.jpg</t>
  </si>
  <si>
    <t>D-1807</t>
  </si>
  <si>
    <t>Распредвал мотокосы 4T (139F) "GZ"</t>
  </si>
  <si>
    <t>https://b2beez.ru/images/detailed/157/orig_hpgu-8s.jpg</t>
  </si>
  <si>
    <t>D-1808</t>
  </si>
  <si>
    <t>Блок двигателя мотокосы 4T 139F (в сборе)</t>
  </si>
  <si>
    <t>https://b2beez.ru/images/detailed/157/orig_z5n3-ne.jpg</t>
  </si>
  <si>
    <t>D-1812</t>
  </si>
  <si>
    <t>Крышка головки цилиндра мотокосы 4T 139F</t>
  </si>
  <si>
    <t>https://b2beez.ru/images/detailed/157/orig_mv30-jk.jpg</t>
  </si>
  <si>
    <t>D-1813</t>
  </si>
  <si>
    <t>Щуп масла мотокосы 4T 139F</t>
  </si>
  <si>
    <t>https://b2beez.ru/images/detailed/157/orig_hig0-39.jpg</t>
  </si>
  <si>
    <t>D-253</t>
  </si>
  <si>
    <t>Руль мотокосы (mod:102)</t>
  </si>
  <si>
    <t>K-1024</t>
  </si>
  <si>
    <t>Кольца мотокосы 33cc (Ø36) 1E36F MITSUBISHI TL33 "PISTON RING"</t>
  </si>
  <si>
    <t>https://b2beez.ru/images/detailed/166/orig_9tkw-27.jpg</t>
  </si>
  <si>
    <t>K-1029</t>
  </si>
  <si>
    <t>Кольца мотокосы 52cc (Ø44) 1E44F MITSUBISHI TL52 "PISTON RING"</t>
  </si>
  <si>
    <t>https://b2beez.ru/images/detailed/166/orig_u0gb-yr.jpg</t>
  </si>
  <si>
    <t>K-1923</t>
  </si>
  <si>
    <t>Коленвал мотокосы 33cc 1E36F (под сепаратор 12mm) "KOMATCU"</t>
  </si>
  <si>
    <t>https://b2beez.ru/images/detailed/166/orig_nd8c-em.jpg</t>
  </si>
  <si>
    <t>K-1989</t>
  </si>
  <si>
    <t>Тяга дроссельной заслонки мотокосы(в сборе)</t>
  </si>
  <si>
    <t>https://b2beez.ru/images/detailed/166/6247471884.jpg</t>
  </si>
  <si>
    <t>K-4923</t>
  </si>
  <si>
    <t>Катушка зажигания мотокосы (квадрат) (52mm по центрам отверстий) "KOMATCU"</t>
  </si>
  <si>
    <t>https://b2beez.ru/images/detailed/168/6423657739.jpg</t>
  </si>
  <si>
    <t>K-4926</t>
  </si>
  <si>
    <t>Катушка зажигания мотокосы 1E40F- 44F (одно ухо) "HORZA"(52mm по центрам отверстий)</t>
  </si>
  <si>
    <t>https://b2beez.ru/images/detailed/168/6245209994.jpg</t>
  </si>
  <si>
    <t>N-2621</t>
  </si>
  <si>
    <t>Глушитель мотокосы 43cc 1E40F "KOMATCU"</t>
  </si>
  <si>
    <t>https://b2beez.ru/images/detailed/170/orig_cwfp-fs.jpg</t>
  </si>
  <si>
    <t>N-2622</t>
  </si>
  <si>
    <t>Глушитель мотокосы 4T 139F "BEST"</t>
  </si>
  <si>
    <t>https://b2beez.ru/images/detailed/170/orig_lc90-cy.jpg</t>
  </si>
  <si>
    <t>N-2655</t>
  </si>
  <si>
    <t>Насадка на мотокосу (удлинитель штанги, 9x9T, D-26, d-8mm, L-500mm) "BEST"</t>
  </si>
  <si>
    <t>https://b2beez.ru/images/detailed/170/6246481978.jpg</t>
  </si>
  <si>
    <t>N-2659</t>
  </si>
  <si>
    <t>Нож мотокосы 40T (Ø255/25.4 mm) (победитовые зубья) "BCB" (mod.A)</t>
  </si>
  <si>
    <t>https://b2beez.ru/images/detailed/170/orig_m2me-rp.jpg</t>
  </si>
  <si>
    <t>N-2706</t>
  </si>
  <si>
    <t>Тарелка вариатора мотокосы 4T "BEST"</t>
  </si>
  <si>
    <t>https://b2beez.ru/images/detailed/170/6245210176.jpg</t>
  </si>
  <si>
    <t>N-2726</t>
  </si>
  <si>
    <t>Нож мотокосы 40T (Ø230/22.4 mm) (победитовые зубья) "BEST" (mod.A)</t>
  </si>
  <si>
    <t>https://b2beez.ru/images/detailed/171/orig_wtzu-bx.jpg</t>
  </si>
  <si>
    <t>N-3058</t>
  </si>
  <si>
    <t>Поршень мотокосы 26cc (Ø34) 1E34F "WOODMAN" (mod.A)</t>
  </si>
  <si>
    <t>https://b2beez.ru/images/detailed/171/orig_swom-ju.jpg</t>
  </si>
  <si>
    <t>P-3767</t>
  </si>
  <si>
    <t>Подшипник редуктора мотокоса 6000-ZZ 10*26*8 "QUEST"</t>
  </si>
  <si>
    <t>https://b2beez.ru/images/detailed/173/6245210058.jpg</t>
  </si>
  <si>
    <t>P-4711</t>
  </si>
  <si>
    <t>Поршень мотокосы 26cc (Ø34) 1E34F "FORESTER"</t>
  </si>
  <si>
    <t>https://b2beez.ru/images/detailed/174/orig_xf2z-3t.jpg</t>
  </si>
  <si>
    <t>P-5174</t>
  </si>
  <si>
    <t>Поршень мотокосы 43cc (Ø40) 1E40F "HORZA"</t>
  </si>
  <si>
    <t>https://b2beez.ru/images/detailed/174/6245210103.jpg</t>
  </si>
  <si>
    <t>R-1698</t>
  </si>
  <si>
    <t>Леска мотокосы Ø2,0mm, 60 метров (квадратная, желтая) "TRIMMER LINE"</t>
  </si>
  <si>
    <t>https://b2beez.ru/images/detailed/176/orig_dntk-fu.jpg</t>
  </si>
  <si>
    <t>R-1704</t>
  </si>
  <si>
    <t>Леска мотокосы Ø2,0mm, 60 метров (косичка, оранжевая, блистер) "ZHGT"</t>
  </si>
  <si>
    <t>https://b2beez.ru/images/detailed/176/orig_allf-hp.jpg</t>
  </si>
  <si>
    <t>R-1707</t>
  </si>
  <si>
    <t>Леска мотокосы Ø2,0mm, 15 метров (звезда, оранжевая, блистер) "TRIMMER LINE"</t>
  </si>
  <si>
    <t>https://b2beez.ru/images/detailed/176/orig_np1a-c1.jpg</t>
  </si>
  <si>
    <t>R-1708</t>
  </si>
  <si>
    <t>Леска мотокосы Ø2,0mm, 60 метров (звезда, синий, блистер) "TRIMMER LINE"</t>
  </si>
  <si>
    <t>https://b2beez.ru/images/detailed/176/orig_ntb2-st.jpg</t>
  </si>
  <si>
    <t>R-1717</t>
  </si>
  <si>
    <t>Леска мотокосы Ø2,4mm, 15 метров (круглая, оранжевая, блистер) "TRIMMER LINE"</t>
  </si>
  <si>
    <t>https://b2beez.ru/images/detailed/176/orig_m37x-ww.jpg</t>
  </si>
  <si>
    <t>R-1725</t>
  </si>
  <si>
    <t>Леска мотокосы Ø2,7mm, 15 метров (круглая, желтая) "TRIMMER LINE"</t>
  </si>
  <si>
    <t>https://b2beez.ru/images/detailed/176/orig_lz0h-zc.jpg</t>
  </si>
  <si>
    <t>R-1726</t>
  </si>
  <si>
    <t>Леска мотокосы Ø2,7mm, 60 метров (круглая, оранжевая) "TRIMMER LINE"</t>
  </si>
  <si>
    <t>https://b2beez.ru/images/detailed/176/orig_l9ke-d8.jpg</t>
  </si>
  <si>
    <t>R-1728</t>
  </si>
  <si>
    <t>Леска мотокосы Ø2,7mm, 60 метров (косичка, желтая) "TRIMMER LINE"</t>
  </si>
  <si>
    <t>https://b2beez.ru/images/detailed/176/orig_cpnd-rp.jpg</t>
  </si>
  <si>
    <t>R-1734</t>
  </si>
  <si>
    <t>Леска мотокосы Ø2,7mm, 60 метров (круглая, оранжевая, блистер) "TRIMMER LINE"</t>
  </si>
  <si>
    <t>https://b2beez.ru/images/detailed/176/orig_koow-n8.jpg</t>
  </si>
  <si>
    <t>R-1738</t>
  </si>
  <si>
    <t>Леска мотокосы Ø2,7mm, 60 метров (квадратная, оранжевая, блистер) "ZHGT"</t>
  </si>
  <si>
    <t>https://b2beez.ru/images/detailed/176/orig_elkk-49.jpg</t>
  </si>
  <si>
    <t>R-1981</t>
  </si>
  <si>
    <t>Леска мотокосы Ø2,0mm, 60 метров (косичка, желтая, блистер) "TRIMMER LINE"</t>
  </si>
  <si>
    <t>https://b2beez.ru/images/detailed/176/orig_9ox4-ff.jpg</t>
  </si>
  <si>
    <t>R-1983</t>
  </si>
  <si>
    <t>Леска мотокосы Ø2,0mm, 60 метров (квадрат, желтая, блистер) "TRIMMER LINE"</t>
  </si>
  <si>
    <t>https://b2beez.ru/images/detailed/176/orig_3nez-ju.jpg</t>
  </si>
  <si>
    <t>R-1985</t>
  </si>
  <si>
    <t>Леска мотокосы Ø2,0mm, 60 метров (звезда, желтая, блистер) "TRIMMER LINE"</t>
  </si>
  <si>
    <t>https://b2beez.ru/images/detailed/176/orig_p8cc-xm.jpg</t>
  </si>
  <si>
    <t>R-1987</t>
  </si>
  <si>
    <t>Леска мотокосы Ø2,4mm, 60 метров (косичка, желтая, блистер) "TRIMMER LINE"</t>
  </si>
  <si>
    <t>https://b2beez.ru/images/detailed/176/orig_gyph-ew.jpg</t>
  </si>
  <si>
    <t>R-1989</t>
  </si>
  <si>
    <t>Леска мотокосы Ø2,4mm, 60 метров (квадратя, желтая, блистер) "TRIMMER LINE"</t>
  </si>
  <si>
    <t>https://b2beez.ru/images/detailed/176/orig_ytxs-er.jpg</t>
  </si>
  <si>
    <t>R-1993</t>
  </si>
  <si>
    <t>Леска мотокосы Ø2,7mm, 60 метров (косичка, желтая, блистер) "TRIMMER LINE"</t>
  </si>
  <si>
    <t>https://b2beez.ru/images/detailed/176/orig_4yyb-48.jpg</t>
  </si>
  <si>
    <t>R-2534</t>
  </si>
  <si>
    <t>Леска мотокосы Ø4,0mm, 60 метров (круглая, оранжевая) "TRIMMER LINE"</t>
  </si>
  <si>
    <t>https://b2beez.ru/images/detailed/177/orig_s0h2-hh.jpg</t>
  </si>
  <si>
    <t>R-2849</t>
  </si>
  <si>
    <t>Леска мотокосы Ø1,6mm, 100 метров (звезда, зеленая) "BEST"</t>
  </si>
  <si>
    <t>https://b2beez.ru/images/detailed/177/orig_62mj-y2.jpg</t>
  </si>
  <si>
    <t>R-2868</t>
  </si>
  <si>
    <t>Леска мотокосы Ø3,0mm, 15 метров (косичка, черная) "BEST" (mod B)</t>
  </si>
  <si>
    <t>https://b2beez.ru/images/detailed/177/orig_bb09-wj.jpg</t>
  </si>
  <si>
    <t>R-3075</t>
  </si>
  <si>
    <t>Нож мотокосы 40T (Ø230/22.4 mm) (победитовые зубья) "MANLE"</t>
  </si>
  <si>
    <t>https://b2beez.ru/images/detailed/177/orig_fvtb-2q.jpg</t>
  </si>
  <si>
    <t>R-848</t>
  </si>
  <si>
    <t>Нож мотокосы 4T (Ø255/25.4 mm) "BCB"</t>
  </si>
  <si>
    <t>https://b2beez.ru/images/detailed/178/orig_j76n-nn.jpg</t>
  </si>
  <si>
    <t>R-854</t>
  </si>
  <si>
    <t>Подшипник редуктора мотокоса 6000-2RS 10*26*8</t>
  </si>
  <si>
    <t>https://b2beez.ru/images/detailed/178/6245210052.jpg</t>
  </si>
  <si>
    <t>S-1689</t>
  </si>
  <si>
    <t>Шкив стартера мотокосы (под пружину)</t>
  </si>
  <si>
    <t>https://b2beez.ru/images/detailed/178/orig_47kf-pp.jpg</t>
  </si>
  <si>
    <t>S-1690</t>
  </si>
  <si>
    <t>Ручка стартера мотокосы (с веревкой) "BEEZMOTO"</t>
  </si>
  <si>
    <t>https://b2beez.ru/images/detailed/178/orig_iw8c-xc.jpg</t>
  </si>
  <si>
    <t>S-1794</t>
  </si>
  <si>
    <t>Подшипник редуктора мотокоса 6000-2RS 10*26*8 (Япония) "NT"</t>
  </si>
  <si>
    <t>https://b2beez.ru/images/detailed/179/6141534490.jpg</t>
  </si>
  <si>
    <t>V-1832</t>
  </si>
  <si>
    <t>Глушитель мотокосы 4T 139F</t>
  </si>
  <si>
    <t>https://b2beez.ru/images/detailed/186/orig_3rb4-cr.jpg</t>
  </si>
  <si>
    <t>V-1987</t>
  </si>
  <si>
    <t>Тарелка вариатора мотокосы 4T "MANLE"</t>
  </si>
  <si>
    <t>https://b2beez.ru/images/detailed/186/6245946689.jpg</t>
  </si>
  <si>
    <t>V-461</t>
  </si>
  <si>
    <t>Демпферная резинка штанги мотокосы</t>
  </si>
  <si>
    <t>https://b2beez.ru/images/detailed/187/orig_1ci0-dm.jpg</t>
  </si>
  <si>
    <t>N-9435</t>
  </si>
  <si>
    <t>Катушка для тиммера саморегулирующаяся M10×1.25, автомат, металл, подшипник "BEEZMOTO"</t>
  </si>
  <si>
    <t>https://b2beez.ru/images/detailed/171/orig_ggbf-qz.jpg</t>
  </si>
  <si>
    <t>P-0731</t>
  </si>
  <si>
    <t>Поршневая мотокосы (ЦПГ) 33cc (Ø36) 1E36F (+прокладка) "BEEZMOTO"</t>
  </si>
  <si>
    <t>https://b2beez.ru/images/detailed/172/orig_hsnb-xm.jpg</t>
  </si>
  <si>
    <t>H-8693</t>
  </si>
  <si>
    <t>Катушка для тиммера дюраль, две проушины "SUNDY"</t>
  </si>
  <si>
    <t>https://b2beez.ru/images/detailed/165/6246011316.jpg</t>
  </si>
  <si>
    <t>H-3063</t>
  </si>
  <si>
    <t>Катушка для тиммера дюраль, три проушины "BEEZMOTO"</t>
  </si>
  <si>
    <t>https://b2beez.ru/images/detailed/163/orig_az46-m9.jpg</t>
  </si>
  <si>
    <t>H-6109</t>
  </si>
  <si>
    <t>Катушка для тиммера саморегулирующаяся (mod. 2) "SUNDY"</t>
  </si>
  <si>
    <t>https://b2beez.ru/images/detailed/164/6246011447.jpg</t>
  </si>
  <si>
    <t>H-9434</t>
  </si>
  <si>
    <t>Катушка для тиммера саморегулирующаяся желтый фиксатор "KOMATCU"</t>
  </si>
  <si>
    <t>https://b2beez.ru/images/detailed/204/H-9434.jpg</t>
  </si>
  <si>
    <t>N-2723</t>
  </si>
  <si>
    <t>Бак топливный мотокосы TL 43/52 "BEEZMOTO"</t>
  </si>
  <si>
    <t>https://b2beez.ru/images/detailed/170/orig_bfvf-kd.jpg</t>
  </si>
  <si>
    <t>N-2722</t>
  </si>
  <si>
    <t>Бак топливный мотокосы TL 26 "BEEZMOTO"</t>
  </si>
  <si>
    <t>https://b2beez.ru/images/detailed/170/orig_cbd3-nu.jpg</t>
  </si>
  <si>
    <t>K-0704</t>
  </si>
  <si>
    <t>Катушка зажигания мотокосы 1E40F- 44F (62mm по центрам отверстий)</t>
  </si>
  <si>
    <t>https://b2beez.ru/images/detailed/166/orig_7fbk-ma.jpg</t>
  </si>
  <si>
    <t>K-1553</t>
  </si>
  <si>
    <t>Колодки сцепления мотокосы 23cc 1E32F (короткая пружина) "BEEZMOTO"</t>
  </si>
  <si>
    <t>https://b2beez.ru/images/detailed/166/orig_rvw0-jm.jpg</t>
  </si>
  <si>
    <t>K-1019</t>
  </si>
  <si>
    <t>Кольца мотокосы 23cc (Ø32) 1E32F "SUNDY" (mod. B)</t>
  </si>
  <si>
    <t>https://b2beez.ru/images/detailed/166/orig_ril5-0a.jpg</t>
  </si>
  <si>
    <t>K-2707</t>
  </si>
  <si>
    <t>Кольца мотокосы 23cc (Ø32) 1E32F "SUNDY" (mod. C)</t>
  </si>
  <si>
    <t>https://b2beez.ru/images/detailed/166/orig_l0lg-y8.jpg</t>
  </si>
  <si>
    <t>K-4401</t>
  </si>
  <si>
    <t>Корпус вариатора мотокосы 7T (Ø26) (разборной) "SUNDY"</t>
  </si>
  <si>
    <t>https://b2beez.ru/images/detailed/167/orig_nz41-vy.jpg</t>
  </si>
  <si>
    <t>K-1945</t>
  </si>
  <si>
    <t>Корпус собачки стартера мотокоса 23cc 1E32F (+пружина и собачка) "KOMATCU"</t>
  </si>
  <si>
    <t>https://b2beez.ru/images/detailed/166/orig_96y7-l8.jpg</t>
  </si>
  <si>
    <t>K-6713</t>
  </si>
  <si>
    <t>Корпус собачки стартера мотокоса 23cc 1E32F (+пружина и собачка) "SUNDY" (mod. A)</t>
  </si>
  <si>
    <t>https://b2beez.ru/images/detailed/168/6245210152.jpg</t>
  </si>
  <si>
    <t>L-8947</t>
  </si>
  <si>
    <t>Леска мотокосы Ø1,6mm, 15 метров (квадрат витой, оранжевый) "TRIMMER LINE"</t>
  </si>
  <si>
    <t>https://b2beez.ru/images/detailed/169/orig_tu95-z4.jpg</t>
  </si>
  <si>
    <t>L-8679</t>
  </si>
  <si>
    <t>Леска мотокосы Ø2,0mm, 15 метров (звезда, желтая) "SUNDY"</t>
  </si>
  <si>
    <t>https://b2beez.ru/images/detailed/169/orig_ly7f-dt.jpg</t>
  </si>
  <si>
    <t>L-8942</t>
  </si>
  <si>
    <t>Леска мотокосы Ø2,0mm, 15 метров (косичка, розовая) "TRIMMER LINE"</t>
  </si>
  <si>
    <t>https://b2beez.ru/images/detailed/169/orig_9vss-y8.jpg</t>
  </si>
  <si>
    <t>L-9054</t>
  </si>
  <si>
    <t>Леска мотокосы Ø2,4mm, 15 метров (звезда, красная) "SUNDY"</t>
  </si>
  <si>
    <t>https://b2beez.ru/images/detailed/169/orig_m5dn-g2.jpg</t>
  </si>
  <si>
    <t>L-7340</t>
  </si>
  <si>
    <t>Леска мотокосы Ø2,4mm, 15 метров (звезда, красная) "TRIMMER LINE"</t>
  </si>
  <si>
    <t>https://b2beez.ru/images/detailed/169/orig_ae1c-z2.jpg</t>
  </si>
  <si>
    <t>L-5496</t>
  </si>
  <si>
    <t>https://b2beez.ru/images/detailed/169/orig_4ke0-3m.jpg</t>
  </si>
  <si>
    <t>L-9889</t>
  </si>
  <si>
    <t>Леска мотокосы Ø2,4mm, 15 метров (круглая,двойная, красная) "SUNDY"</t>
  </si>
  <si>
    <t>https://b2beez.ru/images/detailed/169/orig_bcdt-nf.jpg</t>
  </si>
  <si>
    <t>M-6738</t>
  </si>
  <si>
    <t>Магнето мотокосы "SUNDY"</t>
  </si>
  <si>
    <t>https://b2beez.ru/images/detailed/170/orig_ad8l-w1.jpg</t>
  </si>
  <si>
    <t>N-4163</t>
  </si>
  <si>
    <t>Нож мотокосы 3T (Ø255/25.4 mm) "BCB" (mod. A)</t>
  </si>
  <si>
    <t>https://b2beez.ru/images/detailed/171/orig_zwki-vq.jpg</t>
  </si>
  <si>
    <t>P-2356</t>
  </si>
  <si>
    <t>Подшипник редуктора мотокоса 6000-2RS 10*26*8 "SUNDY"</t>
  </si>
  <si>
    <t>https://b2beez.ru/images/detailed/173/6245210170.jpg</t>
  </si>
  <si>
    <t>P-4554</t>
  </si>
  <si>
    <t>Поршень мотокосы 52cc (Ø44) 1E44F "SUNDY"</t>
  </si>
  <si>
    <t>https://b2beez.ru/images/detailed/174/orig.jpg</t>
  </si>
  <si>
    <t>P-2621</t>
  </si>
  <si>
    <t>Поршневая мотокосы (ЦПГ) 23cc (Ø32) 1E32F "SUNDY"</t>
  </si>
  <si>
    <t>https://b2beez.ru/images/detailed/173/orig_ldw3-r5.jpg</t>
  </si>
  <si>
    <t>P-8602</t>
  </si>
  <si>
    <t>Поршневая мотокосы (ЦПГ) 43cc (Ø40) 1E40F-5 (черная) (+прокладка) "BEEZMOTO"</t>
  </si>
  <si>
    <t>https://b2beez.ru/images/detailed/175/6423657673.jpg</t>
  </si>
  <si>
    <t>P-0174</t>
  </si>
  <si>
    <t>Поршневая мотокосы (ЦПГ) 52cc (Ø44) 1E44F (черная) (+прокладка) "BEEZMOTO"</t>
  </si>
  <si>
    <t>https://b2beez.ru/images/detailed/172/orig_sul2-5c.jpg</t>
  </si>
  <si>
    <t>P-2752</t>
  </si>
  <si>
    <t>Поршневая мотокосы (ЦПГ) Stihl FS55 (Ø34) "SUNDY"</t>
  </si>
  <si>
    <t>https://b2beez.ru/images/detailed/173/orig_ncf4-g6.jpg</t>
  </si>
  <si>
    <t>R-9306</t>
  </si>
  <si>
    <t>Ремень плечевой профессиональный мотокосы (зеленый) "SUNDY"</t>
  </si>
  <si>
    <t>https://b2beez.ru/images/detailed/178/6456898014.jpg</t>
  </si>
  <si>
    <t>R-1131</t>
  </si>
  <si>
    <t>Ремень плечевой профессиональный мотокосы (красный) "SUNDY"</t>
  </si>
  <si>
    <t>https://b2beez.ru/images/detailed/176/6246481982.jpg</t>
  </si>
  <si>
    <t>S-7167</t>
  </si>
  <si>
    <t>Стартер ручной (в сборе) мотокосы MAKITA (2 зацепа) "SUNDY"</t>
  </si>
  <si>
    <t>https://b2beez.ru/images/detailed/182/orig_qmk5-n5.jpg</t>
  </si>
  <si>
    <t>S-3870</t>
  </si>
  <si>
    <t>Стартер ручной (в сборе) мотокосы БАЙКАЛ 1E40-5F 43-52СС (2 зацепа) "KOMATCU"</t>
  </si>
  <si>
    <t>https://b2beez.ru/images/detailed/181/6248478923.jpg</t>
  </si>
  <si>
    <t>S-4947</t>
  </si>
  <si>
    <t>Стартер ручной (в сборе) мотокосы ("легкий пуск",малый, 4 зацепа) "SUNDY"</t>
  </si>
  <si>
    <t>https://b2beez.ru/images/detailed/181/6247080874.jpg</t>
  </si>
  <si>
    <t>S-2954</t>
  </si>
  <si>
    <t>Стартер ручной (в сборе) мотокосы 1E34F (2 зацепа) 26-36сс 1E34F "BEEZMOTO"</t>
  </si>
  <si>
    <t>https://b2beez.ru/images/detailed/179/orig_u1g5-y8.jpg</t>
  </si>
  <si>
    <t>T-2847</t>
  </si>
  <si>
    <t>Труба мотокосы 26 mm. L-1500 mm "SUNDY"</t>
  </si>
  <si>
    <t>https://b2beez.ru/images/detailed/182/6245210155.jpg</t>
  </si>
  <si>
    <t>R-2858</t>
  </si>
  <si>
    <t>Леска мотокосы Ø3,0mm, 100 метров (круглая, зеленая) "BEST"</t>
  </si>
  <si>
    <t>https://b2beez.ru/images/detailed/177/orig_xr1f-ds.jpg</t>
  </si>
  <si>
    <t>R-2856</t>
  </si>
  <si>
    <t>Леска мотокосы Ø2,0mm, 100 метров (звезда, зеленая) "BEST"</t>
  </si>
  <si>
    <t>https://b2beez.ru/images/detailed/177/orig_cor6-la.jpg</t>
  </si>
  <si>
    <t>R-2888</t>
  </si>
  <si>
    <t>Леска мотокосы Ø2,4mm, 15 метров (круглая, желтая) "BEST"</t>
  </si>
  <si>
    <t>https://b2beez.ru/images/detailed/177/orig_kx67-42.jpg</t>
  </si>
  <si>
    <t>R-2879</t>
  </si>
  <si>
    <t>Леска мотокосы Ø1,6mm, 15 метров (звезда, желтая) "BEST"</t>
  </si>
  <si>
    <t>https://b2beez.ru/images/detailed/177/orig_a53f-8k.jpg</t>
  </si>
  <si>
    <t>На мотоопрыскователи</t>
  </si>
  <si>
    <t>Свечи</t>
  </si>
  <si>
    <t>S-994</t>
  </si>
  <si>
    <t>Свеча бензопильная L6TC M14*1,25 9,5mm "SINO 1818" (mod.2) (MOQ 10шт)</t>
  </si>
  <si>
    <t>https://b2beez.ru/images/detailed/182/orig_8uu1-z4.jpg</t>
  </si>
  <si>
    <t>S-0397</t>
  </si>
  <si>
    <t>Свеча бензопильная WS7F M14*1,25 9,5mm  "IRIDIUM" (L7T аналог) "STL" (MOQ 10шт)</t>
  </si>
  <si>
    <t>https://b2beez.ru/images/detailed/204/S-0397-8_6nc6-di.jpg</t>
  </si>
  <si>
    <t>S-1545</t>
  </si>
  <si>
    <t>Свеча бензопильная 3-х электродная L6TJC M14*1,25 9,5mm "BSC" (MOQ 10шт)</t>
  </si>
  <si>
    <t>https://b2beez.ru/images/detailed/204/S-1545-2_3p55-ur.jpg</t>
  </si>
  <si>
    <t>S-1548</t>
  </si>
  <si>
    <t>Свеча бензопильная 3-х электродная L6TJC M14*1,25 9,5mm "CHAMP" (MOQ 10шт)</t>
  </si>
  <si>
    <t>https://b2beez.ru/images/detailed/178/6247206958.jpg</t>
  </si>
  <si>
    <t>S-1596</t>
  </si>
  <si>
    <t>Свеча бензопильная L6TCI M14*1,25 9,5mm "BSC" (MOQ 2шт)</t>
  </si>
  <si>
    <t>https://b2beez.ru/images/detailed/178/6259141010.jpg</t>
  </si>
  <si>
    <t>S-1598</t>
  </si>
  <si>
    <t>Свеча бензопильная L6TCI M14*1,25 9,5mm "IRIDIUM" (#STL) (MOQ 2шт)</t>
  </si>
  <si>
    <t>https://b2beez.ru/images/detailed/178/6247207020.jpg</t>
  </si>
  <si>
    <t>S-1599</t>
  </si>
  <si>
    <t>Свеча бензопильная L6TCI M14*1,25 9,5mm "ORN" (MOQ 2шт)</t>
  </si>
  <si>
    <t>https://b2beez.ru/images/detailed/178/6247207052.jpg</t>
  </si>
  <si>
    <t>S-2664</t>
  </si>
  <si>
    <t>Свеча бензопильная L6TC M14*1,25 9,5mm (BM7A) "BSC" (MOQ 10шт)</t>
  </si>
  <si>
    <t>https://b2beez.ru/images/detailed/203/S-2664_pf6i-ud.jpg</t>
  </si>
  <si>
    <t>S-3567</t>
  </si>
  <si>
    <t>Свеча бензопильная L6TC M14*1,25 9,5mm "MACRO" (MOQ 10шт)</t>
  </si>
  <si>
    <t>https://b2beez.ru/images/detailed/180/orig_7d7k-2w.jpg</t>
  </si>
  <si>
    <t>S-3699</t>
  </si>
  <si>
    <t>Свеча бензопильная L6TC M14*1,25 9,5mm "ORN" (mod.3) (MOQ 10шт)</t>
  </si>
  <si>
    <t>https://b2beez.ru/images/detailed/180/orig_7zjl-vq.jpg</t>
  </si>
  <si>
    <t>S-3700</t>
  </si>
  <si>
    <t>Свеча бензопильная L6TC M14*1,25 9,5mm "BSC" (mod.3) (MOQ 10шт)</t>
  </si>
  <si>
    <t>https://b2beez.ru/images/detailed/204/S-3700_z5fx-oc.jpg</t>
  </si>
  <si>
    <t>S-3701</t>
  </si>
  <si>
    <t>Свеча бензопильная L6TC M14*1,25 9,5mm "STL" (mod.3) (MOQ 10шт)</t>
  </si>
  <si>
    <t>https://b2beez.ru/images/detailed/180/orig_gre7-sv.jpg</t>
  </si>
  <si>
    <t>S-973</t>
  </si>
  <si>
    <t>Свеча бензопильная L6TC M14*1,25 9,5mm "BOND" (MOQ 10шт)</t>
  </si>
  <si>
    <t>https://b2beez.ru/images/detailed/182/orig_fxoa-30.jpg</t>
  </si>
  <si>
    <t>S-974</t>
  </si>
  <si>
    <t>Свеча бензопильная RCJ7Y M10*1,0 12,0mm "BSC" (MOQ 10шт)</t>
  </si>
  <si>
    <t>https://b2beez.ru/images/detailed/203/S-974-2.jpg</t>
  </si>
  <si>
    <t>S-977</t>
  </si>
  <si>
    <t>Свеча RCJ7Y M10*1,0 12,0mm "CHAMP" (MOQ 10шт)</t>
  </si>
  <si>
    <t>https://b2beez.ru/images/detailed/182/orig_0exp-35.jpg</t>
  </si>
  <si>
    <t>S-978</t>
  </si>
  <si>
    <t>Свеча бензопильная L6TC M14*1,25 9,5mm "CHAMP" (MOQ 10шт)</t>
  </si>
  <si>
    <t>https://b2beez.ru/images/detailed/182/6247206949.jpg</t>
  </si>
  <si>
    <t>S-980</t>
  </si>
  <si>
    <t>Свеча бензопильная L6TC M14*1,25 9,5mm "DNS" (MOQ 10шт)</t>
  </si>
  <si>
    <t>https://b2beez.ru/images/detailed/182/6247207030.jpg</t>
  </si>
  <si>
    <t>S-984</t>
  </si>
  <si>
    <t>Свеча бензопильная L6TC M14*1,25 9,5mm (BM4AR) "NPS 1818" (MOQ 10шт)</t>
  </si>
  <si>
    <t>https://b2beez.ru/images/detailed/182/6247206961.jpg</t>
  </si>
  <si>
    <t>S-985</t>
  </si>
  <si>
    <t>Свеча бензопильная L6TC M14*1,25 9,5mm "ORN" (mod.2) (MOQ 10шт)</t>
  </si>
  <si>
    <t>https://b2beez.ru/images/detailed/182/orig_cbff-m6.jpg</t>
  </si>
  <si>
    <t>S-986</t>
  </si>
  <si>
    <t>Свеча бензопильная L6TC M14*1,25 9,5mm "ORN" (mod.1) (MOQ 10шт)</t>
  </si>
  <si>
    <t>https://b2beez.ru/images/detailed/182/orig_4fv3-oa.jpg</t>
  </si>
  <si>
    <t>S-993</t>
  </si>
  <si>
    <t>Свеча бензопильная L6TC M14*1,25 9,5mm "STL" (mod.2) (MOQ 10шт)</t>
  </si>
  <si>
    <t>https://b2beez.ru/images/detailed/203/S-993-2.jpg</t>
  </si>
  <si>
    <t>S-1597</t>
  </si>
  <si>
    <t>Свеча бензопильная L6TCI M14*1,25 9,5mm "CHAMP" (MOQ 2шт)</t>
  </si>
  <si>
    <t>https://b2beez.ru/images/detailed/178/6247206954.jpg</t>
  </si>
  <si>
    <t>S-3570</t>
  </si>
  <si>
    <t>Свеча бензопильная L6TC M14*1,25 9,5mm "DUCATI" (MOQ 10шт)</t>
  </si>
  <si>
    <t>https://b2beez.ru/images/detailed/180/6247207003.jpg</t>
  </si>
  <si>
    <t>S-42</t>
  </si>
  <si>
    <t>Свеча бензопильная RCJ7Y M10*1,00 12,7mm "IRIDIUM" (HIX-CMR6) "INT" (MOQ 2шт)</t>
  </si>
  <si>
    <t>https://b2beez.ru/images/detailed/181/orig_ksbt-gj.jpg</t>
  </si>
  <si>
    <t>S-990</t>
  </si>
  <si>
    <t>Свеча бензопильная L6TC M14*1,25 9,5mm "SINO 1818" (MOQ 10шт)</t>
  </si>
  <si>
    <t>https://b2beez.ru/images/detailed/182/orig_kh02-nu.jpg</t>
  </si>
  <si>
    <t>Шнуры стартера</t>
  </si>
  <si>
    <t>Для велотехники</t>
  </si>
  <si>
    <t>Для веломотора</t>
  </si>
  <si>
    <t>D-6299</t>
  </si>
  <si>
    <t>Крышка стартера 2T ATV 50-80сс (алюминиевая, черная) (+стартер) "BEEZMOTO" mod:B</t>
  </si>
  <si>
    <t>https://b2beez.ru/images/detailed/159/orig_7lar-9i.jpg</t>
  </si>
  <si>
    <t>D-320310</t>
  </si>
  <si>
    <t>Бак топливный веломотор 2,5L F50, F80 (с резьбой под кран и креплением)</t>
  </si>
  <si>
    <t>https://b2beez.ru/images/detailed/158/7135899790.jpg</t>
  </si>
  <si>
    <t>D-264</t>
  </si>
  <si>
    <t>Двигатель веломотор F80 (80см3) комплект для установки, красный "BEEZMOTO"</t>
  </si>
  <si>
    <t>https://b2beez.ru/images/detailed/158/orig_jidh-da.jpg</t>
  </si>
  <si>
    <t>D-526</t>
  </si>
  <si>
    <t>Двигатель веломотор F80 (80см3) комплект для установки, черный "BEEZMOTO"</t>
  </si>
  <si>
    <t>https://b2beez.ru/images/detailed/159/6683043971.jpg</t>
  </si>
  <si>
    <t>D-4158</t>
  </si>
  <si>
    <t>Двигатель веломотор F80 (80см3) комплект для установки "BEEZMOTO"</t>
  </si>
  <si>
    <t>https://b2beez.ru/images/detailed/159/6683044943.jpg</t>
  </si>
  <si>
    <t>D-527</t>
  </si>
  <si>
    <t>Двигатель веломотор F80 (80см3) комплект для установки, зеленый</t>
  </si>
  <si>
    <t>https://b2beez.ru/images/detailed/159/orig.png</t>
  </si>
  <si>
    <t>D-4129</t>
  </si>
  <si>
    <t>Карбюратор веломотор (F50/F80) "LUXUPART"</t>
  </si>
  <si>
    <t>https://b2beez.ru/images/detailed/159/orig_duds-83.jpg</t>
  </si>
  <si>
    <t>D-4135</t>
  </si>
  <si>
    <t>Кронштейн крепления двигателя веломотора "KOMATCU" (mod.A)</t>
  </si>
  <si>
    <t>https://b2beez.ru/images/detailed/159/orig_92og-km.jpg</t>
  </si>
  <si>
    <t>D-4140</t>
  </si>
  <si>
    <t>Палец поршня веломотор (Ø10mm) "KOMATCU"</t>
  </si>
  <si>
    <t>https://b2beez.ru/images/detailed/159/orig_bx13-m5.jpg</t>
  </si>
  <si>
    <t>D-4142</t>
  </si>
  <si>
    <t>Поршневая (ЦПГ) веломотор (Ø47) "BEEZMOTO"</t>
  </si>
  <si>
    <t>https://b2beez.ru/images/detailed/159/orig_8l3t-7s.jpg</t>
  </si>
  <si>
    <t>D-4143</t>
  </si>
  <si>
    <t>Прокладка глушителя веломотор (L-40mm, Ø18mm) "KOMATCU"</t>
  </si>
  <si>
    <t>https://b2beez.ru/images/detailed/159/orig_ymrr-ko.jpg</t>
  </si>
  <si>
    <t>D-4149</t>
  </si>
  <si>
    <t>Скоба крепления двигателя веломотора "KOMATCU"</t>
  </si>
  <si>
    <t>https://b2beez.ru/images/detailed/159/orig_6mos-ob.jpg</t>
  </si>
  <si>
    <t>D-4168</t>
  </si>
  <si>
    <t>Кронштейн крепления двигателя веломотора (U-образный) "KOMATCU"</t>
  </si>
  <si>
    <t>https://b2beez.ru/images/detailed/159/orig_2lnk-l6.jpg</t>
  </si>
  <si>
    <t>D-530</t>
  </si>
  <si>
    <t>Двигатель веломотор 4х такт. 144F (ременный редуктор) (КОМПЛЕКТ для установки) "BEEZMOTO"</t>
  </si>
  <si>
    <t>https://b2beez.ru/images/detailed/159/7028295661.jpg</t>
  </si>
  <si>
    <t>Для велосипеда</t>
  </si>
  <si>
    <t>D-4721</t>
  </si>
  <si>
    <t>Велосипедные колеса боковые детские (пара) (Ø110mm, пластик-первичка, зеленые)</t>
  </si>
  <si>
    <t>https://b2beez.ru/images/detailed/159/orig_kt32-qw.jpg</t>
  </si>
  <si>
    <t>D-4787</t>
  </si>
  <si>
    <t>Велосипедные колеса боковые детские (пара) (Ø110mm, пластик-первичка, синии)</t>
  </si>
  <si>
    <t>https://b2beez.ru/images/detailed/159/orig_1q2h-sl.jpg</t>
  </si>
  <si>
    <t>D-4374</t>
  </si>
  <si>
    <t>Седло велосипедное (детское) (130x240mm, STAR BIKE) (mod:1) "DS"</t>
  </si>
  <si>
    <t>https://b2beez.ru/images/detailed/159/6323778102.jpg</t>
  </si>
  <si>
    <t>D-4335</t>
  </si>
  <si>
    <t>Седло велосипедное (детское) (140x240mm, STAR BIKE) (mod:2) "DS"</t>
  </si>
  <si>
    <t>https://b2beez.ru/images/detailed/159/6323778066.jpg</t>
  </si>
  <si>
    <t>D-4517</t>
  </si>
  <si>
    <t>Велосипедные колеса боковые детские (пара) (+подсветка, с подшипниками, Ø109мм, зеленый)</t>
  </si>
  <si>
    <t>https://b2beez.ru/images/detailed/159/orig_o827-9n.jpg</t>
  </si>
  <si>
    <t>R-1618</t>
  </si>
  <si>
    <t>Ручка руля (желтые) "PROTAPER"</t>
  </si>
  <si>
    <t>https://b2beez.ru/images/detailed/176/6901581578.jpg</t>
  </si>
  <si>
    <t>Крепление для велосипедного фонаря (Ø22mm, универсальное) "BEEZMOTO"</t>
  </si>
  <si>
    <t>https://b2beez.ru/images/detailed/48/orig_hj2e-zi.jpg</t>
  </si>
  <si>
    <t>Звонок велосипедный (ударный, мяч)</t>
  </si>
  <si>
    <t>https://b2beez.ru/images/detailed/48/6352298262.jpg</t>
  </si>
  <si>
    <t>A-907-U1</t>
  </si>
  <si>
    <t>Велокомпьютер проводной с подсветкой YS-668A (желтый) "YS" (Царапины)</t>
  </si>
  <si>
    <t>D-5604</t>
  </si>
  <si>
    <t>Седло велосипедное (синее) "DS"</t>
  </si>
  <si>
    <t>Z-795</t>
  </si>
  <si>
    <t>Звезда велосипедная (передняя) 46T (+2 шатуна L-165mm, под квадрат, хром) "BEEZMOTO"</t>
  </si>
  <si>
    <t>https://b2beez.ru/images/detailed/204/Z-795-2.jpg</t>
  </si>
  <si>
    <t>D-4931</t>
  </si>
  <si>
    <t>Крылья велосипедные 26", пластиковые, чёрные, раздвижные, широкие (комплект).</t>
  </si>
  <si>
    <t>https://b2beez.ru/images/detailed/159/orig_hld5-ur.jpg</t>
  </si>
  <si>
    <t>D-4983</t>
  </si>
  <si>
    <t>Колодки тормозные велосипедные (ободные) V-Brake, с резьбой 70мм "Dream Bike"</t>
  </si>
  <si>
    <t>https://b2beez.ru/images/detailed/159/orig_c7m8-fr.jpg</t>
  </si>
  <si>
    <t>D-5014</t>
  </si>
  <si>
    <t>Колодки тормозные велосипедные (ободные) HJ-EN02, с резьбой 60мм, оранж, красных, синий,  зеленый, н</t>
  </si>
  <si>
    <t>https://b2beez.ru/images/detailed/159/orig_wgrq-n5.jpg</t>
  </si>
  <si>
    <t>D-4939</t>
  </si>
  <si>
    <t>Колесико заднего переключателя скоростей велосипеда (10 зубов, красный)</t>
  </si>
  <si>
    <t>https://b2beez.ru/images/detailed/159/6423081435.jpg</t>
  </si>
  <si>
    <t>D-4943</t>
  </si>
  <si>
    <t>Подшипник рулевой колонки велосипеда (37x30x4mm), 16 шариков "МТВ"</t>
  </si>
  <si>
    <t>https://b2beez.ru/images/detailed/159/orig_kwz2-q0.jpg</t>
  </si>
  <si>
    <t>D-4945</t>
  </si>
  <si>
    <t>Подшипник квадратной каретки велосипеда (29x18x7mm) 9 шариков.</t>
  </si>
  <si>
    <t>https://b2beez.ru/images/detailed/159/6179542543.jpg</t>
  </si>
  <si>
    <t>D-4981</t>
  </si>
  <si>
    <t>Ручки руля велосипедные (90mm) (с розовыми вставками, рис. точка, резиновые, мягкие)</t>
  </si>
  <si>
    <t>https://b2beez.ru/images/detailed/159/orig_1rpl-fi.jpg</t>
  </si>
  <si>
    <t>D-4982</t>
  </si>
  <si>
    <t>Ручки руля велосипедные (90mm) (резиновые, мягкие, рис. ёлочка, с розовыми вставками)</t>
  </si>
  <si>
    <t>https://b2beez.ru/images/detailed/159/orig_hoi6-5r.jpg</t>
  </si>
  <si>
    <t>D-4957</t>
  </si>
  <si>
    <t>Седло велосипедное спортивное (150х270мм, черный) "FACTOR"</t>
  </si>
  <si>
    <t>https://b2beez.ru/images/detailed/159/orig_rry8-oe.jpg</t>
  </si>
  <si>
    <t>D-4958</t>
  </si>
  <si>
    <t>Седло велосипедное спортивное 23" (160х275мм, черный) "FACTOR"</t>
  </si>
  <si>
    <t>https://b2beez.ru/images/detailed/159/6423081319.jpg</t>
  </si>
  <si>
    <t>D-4966</t>
  </si>
  <si>
    <t>Велосипедные колеса боковые детские (пара) (Ø110mm, пластик-первичка, белые)</t>
  </si>
  <si>
    <t>https://b2beez.ru/images/detailed/159/orig_u78w-o6.jpg</t>
  </si>
  <si>
    <t>D-4969</t>
  </si>
  <si>
    <t>Подножка стояночная боковая велосипедная (24" колесо) (металическая, чёрный)</t>
  </si>
  <si>
    <t>https://b2beez.ru/images/detailed/159/6448348094.jpg</t>
  </si>
  <si>
    <t>D-1767</t>
  </si>
  <si>
    <t>Велосипедные колеса боковые детские (пара) (Ø110mm, пластик, +крепление, синии) "YKX"</t>
  </si>
  <si>
    <t>https://b2beez.ru/images/detailed/157/orig_cwp7-bh.jpg</t>
  </si>
  <si>
    <t>D-1766</t>
  </si>
  <si>
    <t>Велосипедные колеса боковые детские (пара) (Ø110mm, пластик, +крепление, красные) "YKX"</t>
  </si>
  <si>
    <t>https://b2beez.ru/images/detailed/157/orig_do86-b2.jpg</t>
  </si>
  <si>
    <t>D-1764</t>
  </si>
  <si>
    <t>Велосипедные колеса боковые детские (пара) (Ø110mm, пластик, +крепление, зеленые) "YKX"</t>
  </si>
  <si>
    <t>https://b2beez.ru/images/detailed/157/orig_73ax-g5.jpg</t>
  </si>
  <si>
    <t>K-3985</t>
  </si>
  <si>
    <t>Корзина велосипедная навесная пластик (черная) 41*31*25см</t>
  </si>
  <si>
    <t>https://b2beez.ru/images/detailed/167/orig_p0mu-pv.jpg</t>
  </si>
  <si>
    <t>K-3900</t>
  </si>
  <si>
    <t>Корзина велосипедная навесная пластик, с крышкой (черный ) 33*30*26см</t>
  </si>
  <si>
    <t>https://b2beez.ru/images/detailed/167/orig_ms5c-3w.jpg</t>
  </si>
  <si>
    <t>K-3902</t>
  </si>
  <si>
    <t>Корзина велосипедная навесная пластик, с крышкой (красная) 35*28*22,5см</t>
  </si>
  <si>
    <t>https://b2beez.ru/images/detailed/167/6674248773.jpg</t>
  </si>
  <si>
    <t>K-3903</t>
  </si>
  <si>
    <t>Корзина велосипедная навесная пластик, с крышкой (черная) 31*26*25см</t>
  </si>
  <si>
    <t>https://b2beez.ru/images/detailed/167/orig_xjn1-it.jpg</t>
  </si>
  <si>
    <t>K-3904</t>
  </si>
  <si>
    <t>Корзина велосипедная навесная (пластиковая, черная) 37*28*26см</t>
  </si>
  <si>
    <t>https://b2beez.ru/images/detailed/167/orig_ou35-56.jpg</t>
  </si>
  <si>
    <t>K-3905</t>
  </si>
  <si>
    <t>Корзина велосипедная навесная пластик, с крышкой (черная) 34*28*22,5см</t>
  </si>
  <si>
    <t>https://b2beez.ru/images/detailed/167/orig_nvey-24.jpg</t>
  </si>
  <si>
    <t>YA-818D</t>
  </si>
  <si>
    <t>Удлинитель для руля велосипеда (10 см, черный)</t>
  </si>
  <si>
    <t>https://b2beez.ru/images/detailed/187/orig_m2pv-h0.jpg</t>
  </si>
  <si>
    <t>YA-818F</t>
  </si>
  <si>
    <t>Удлинитель для руля велосипеда (10 см, красный)</t>
  </si>
  <si>
    <t>https://b2beez.ru/images/detailed/187/orig_rrni-r4.jpg</t>
  </si>
  <si>
    <t>D-5282</t>
  </si>
  <si>
    <t>Седло велосипедное 23" (с вентиляцией, пружинное 265×230mm, черно-синий) "BEEZMOTO"</t>
  </si>
  <si>
    <t>https://b2beez.ru/images/detailed/159/orig_4yjs-hc.jpg</t>
  </si>
  <si>
    <t>D-4998</t>
  </si>
  <si>
    <t>Седло велосипедное спортивное (с вентиляцией, 140x250mm, красный) "DS"</t>
  </si>
  <si>
    <t>https://b2beez.ru/images/detailed/159/orig_lbtd-81.jpg</t>
  </si>
  <si>
    <t>D-1464</t>
  </si>
  <si>
    <t>Педали велосипедные горные (алюминий, широкие, черные) "DS"</t>
  </si>
  <si>
    <t>https://b2beez.ru/images/detailed/157/orig_pkyg-lx.jpg</t>
  </si>
  <si>
    <t>D-4996</t>
  </si>
  <si>
    <t>Седло велосипедное (250*210mm, 690г) (черный, карбон) "TRIX"</t>
  </si>
  <si>
    <t>https://b2beez.ru/images/detailed/159/6177782998.jpg</t>
  </si>
  <si>
    <t>D-4098</t>
  </si>
  <si>
    <t>Каретка велосипедная неразборная (квадрат) (68*127mm) "Кеnli"</t>
  </si>
  <si>
    <t>https://b2beez.ru/images/detailed/159/6170182243.jpg</t>
  </si>
  <si>
    <t>H-9873</t>
  </si>
  <si>
    <t>Шлем велосипедный (карбон, L (57-62см) черно-красный, +козырек) HO-03</t>
  </si>
  <si>
    <t>https://b2beez.ru/images/detailed/165/orig_opvj-fj.jpg</t>
  </si>
  <si>
    <t>H-0954</t>
  </si>
  <si>
    <t>Шлем велосипедный (карбон, L (57-62см) черно-желтый, +козырек) HO-03</t>
  </si>
  <si>
    <t>https://b2beez.ru/images/detailed/163/orig_xpf9-me.jpg</t>
  </si>
  <si>
    <t>H-3597</t>
  </si>
  <si>
    <t>Шлем велосипедный (карбон, L (57-62см) черно-синий, +козырек) HO-03</t>
  </si>
  <si>
    <t>https://b2beez.ru/images/detailed/164/orig_725j-pz.jpg</t>
  </si>
  <si>
    <t>H-1808</t>
  </si>
  <si>
    <t>Шлем велосипедный (карбон, L (57-62см) черно-белый, +козырек) HO-03</t>
  </si>
  <si>
    <t>https://b2beez.ru/images/detailed/163/orig_e35w-0e.jpg</t>
  </si>
  <si>
    <t>H-5855</t>
  </si>
  <si>
    <t>Шлем велосипедный (карбон, L (57-62см) черно-зеленый, +козырек) HO-03</t>
  </si>
  <si>
    <t>https://b2beez.ru/images/detailed/164/orig_a1m6-ru.jpg</t>
  </si>
  <si>
    <t>H-2480</t>
  </si>
  <si>
    <t>Шлем велосипедный (матовый, L (57-62см) черно-красный) HO-06</t>
  </si>
  <si>
    <t>https://b2beez.ru/images/detailed/163/orig_or62-gp.jpg</t>
  </si>
  <si>
    <t>H-9472</t>
  </si>
  <si>
    <t>Шлем велосипедный (матовый, L (57-62см) черно-оранжевый) HO-06</t>
  </si>
  <si>
    <t>https://b2beez.ru/images/detailed/165/orig_6rc2-bd.jpg</t>
  </si>
  <si>
    <t>H-5140</t>
  </si>
  <si>
    <t>Шлем велосипедный (матовый, L (57-62см) черно-бело-зеленый) HO-06</t>
  </si>
  <si>
    <t>https://b2beez.ru/images/detailed/164/orig_i0l7-4w.jpg</t>
  </si>
  <si>
    <t>H-6068</t>
  </si>
  <si>
    <t>Шлем велосипедный (матовый, size: L (57-62см) черно-сини-бирюзовый) HO-06</t>
  </si>
  <si>
    <t>https://b2beez.ru/images/detailed/164/orig_at60-kq.jpg</t>
  </si>
  <si>
    <t>H-5636</t>
  </si>
  <si>
    <t>Шлем велосипедный (матовый, L (57-62см) черно-серый) HO-06</t>
  </si>
  <si>
    <t>https://b2beez.ru/images/detailed/164/orig_wim6-b7.jpg</t>
  </si>
  <si>
    <t>D-418</t>
  </si>
  <si>
    <t>Переключатель скоростей велосипеда задний (крепеж на ось) "LEMA"</t>
  </si>
  <si>
    <t>https://b2beez.ru/images/detailed/159/orig_njji-st.jpg</t>
  </si>
  <si>
    <t>K-9176</t>
  </si>
  <si>
    <t>Камера велосипедная 12" x1/2х21/4 (бутиловая, AV 30mm) "BEEZMOTO"</t>
  </si>
  <si>
    <t>https://b2beez.ru/images/detailed/169/orig_33yv-6z.jpg</t>
  </si>
  <si>
    <t>K-9462</t>
  </si>
  <si>
    <t>Камера велосипедная 14" x1,95/2,125 (бутиловая, AV) "TRIX"</t>
  </si>
  <si>
    <t>https://b2beez.ru/images/detailed/169/6177826589.jpg</t>
  </si>
  <si>
    <t>K-8379</t>
  </si>
  <si>
    <t>Камера велосипедная 16" x1,95/2,125 (бутиловая, AV) "TRIX"</t>
  </si>
  <si>
    <t>https://b2beez.ru/images/detailed/169/6177826593.jpg</t>
  </si>
  <si>
    <t>K-9888</t>
  </si>
  <si>
    <t>Камера велосипедная 18" x1,95/2,125 (бутиловая, AV 30mm) "BEEZMOTO"</t>
  </si>
  <si>
    <t>https://b2beez.ru/images/detailed/169/orig_4gao-vy.jpg</t>
  </si>
  <si>
    <t>D-5157</t>
  </si>
  <si>
    <t>Ручки руля велосипедные (L-11.5см,d-22) (зелёная,звезды) "YKX"</t>
  </si>
  <si>
    <t>https://b2beez.ru/images/detailed/159/orig_awd3-zi.jpg</t>
  </si>
  <si>
    <t>D-1529</t>
  </si>
  <si>
    <t>Ручки руля велосипедные (красный, алюминий) 130мм "BEEZMOTO"</t>
  </si>
  <si>
    <t>https://b2beez.ru/images/detailed/204/D-1529-2.jpg</t>
  </si>
  <si>
    <t>D-5160</t>
  </si>
  <si>
    <t>Велосипедная фляга (500ml) (алюминиевая, желтая)  YKX</t>
  </si>
  <si>
    <t>https://b2beez.ru/images/detailed/159/6318374920.jpg</t>
  </si>
  <si>
    <t>D-5161</t>
  </si>
  <si>
    <t>Велосипедная фляга (500ml) (алюминиевая, синяя) YKX</t>
  </si>
  <si>
    <t>https://b2beez.ru/images/detailed/159/6318374908.jpg</t>
  </si>
  <si>
    <t>D-4491</t>
  </si>
  <si>
    <t>Велосипедные колеса боковые детские (пара) (Ø110mm, пластик-первичка, красные)</t>
  </si>
  <si>
    <t>https://b2beez.ru/images/detailed/159/orig_ysua-yz.jpg</t>
  </si>
  <si>
    <t>V-1582</t>
  </si>
  <si>
    <t>Вилка велосипедная жесткая (20) (синяя) "YAT"</t>
  </si>
  <si>
    <t>https://b2beez.ru/images/detailed/185/orig_fcsa-ij.jpg</t>
  </si>
  <si>
    <t>D-488</t>
  </si>
  <si>
    <t>Вилка велосипедная жесткая (28) (синяя) "YAT"</t>
  </si>
  <si>
    <t>https://b2beez.ru/images/detailed/159/orig_8uq7-9n.jpg</t>
  </si>
  <si>
    <t>D-2176</t>
  </si>
  <si>
    <t>Вилка велосипедная жесткая (c креплением V-brake, 20) (красная) "DS"</t>
  </si>
  <si>
    <t>https://b2beez.ru/images/detailed/157/orig_g7f8-mc.jpg</t>
  </si>
  <si>
    <t>V-3674</t>
  </si>
  <si>
    <t>Вилка велосипедная жесткая (c креплением V-brake, 20) (синяя)</t>
  </si>
  <si>
    <t>https://b2beez.ru/images/detailed/187/orig_375m-eu.jpg</t>
  </si>
  <si>
    <t>D-2179</t>
  </si>
  <si>
    <t>Вилка велосипедная жесткая (c креплением V-brake, 26") (темно-синяя) "DS"</t>
  </si>
  <si>
    <t>https://b2beez.ru/images/detailed/157/6474467453.jpg</t>
  </si>
  <si>
    <t>D-2181</t>
  </si>
  <si>
    <t>Вилка велосипедная жесткая (c креплением V-brake, 26) (зеленая) "DS"</t>
  </si>
  <si>
    <t>https://b2beez.ru/images/detailed/157/orig_nune-ds.jpg</t>
  </si>
  <si>
    <t>D-5496</t>
  </si>
  <si>
    <t>Втулка заднего колеса велосипеда (40 спиц, под диск) "YKX"</t>
  </si>
  <si>
    <t>https://b2beez.ru/images/detailed/159/orig_hym5-y0.jpg</t>
  </si>
  <si>
    <t>D-320296</t>
  </si>
  <si>
    <t>Защита пера велосипеда BDRK</t>
  </si>
  <si>
    <t>https://b2beez.ru/images/detailed/158/orig_pjip-aq.jpg</t>
  </si>
  <si>
    <t>D-480</t>
  </si>
  <si>
    <t>Держатель для телефона на руль велосипеда, мотоцикла, самоката (360, черный, алюминий) "BEEZMOTO"</t>
  </si>
  <si>
    <t>https://b2beez.ru/images/detailed/159/orig_3lu2-sg.jpg</t>
  </si>
  <si>
    <t>M-526</t>
  </si>
  <si>
    <t>Манетки переключения скоростей велосипеда (поисковые, индексированные) "TGAT"</t>
  </si>
  <si>
    <t>https://b2beez.ru/images/detailed/169/orig_w33z-ho.jpg</t>
  </si>
  <si>
    <t>D-727</t>
  </si>
  <si>
    <t>Ось каретки велосипедная (клин) (L-140mm) (+ 2 подшипника 6902-ZZ) (mod:УКРАИНА) BDRK</t>
  </si>
  <si>
    <t>https://b2beez.ru/images/detailed/159/orig_z58j-ce.jpg</t>
  </si>
  <si>
    <t>D-5248</t>
  </si>
  <si>
    <t>Педали велосипедные 1021(алюминиевые, широкие, черные) "BEEZMOTO"</t>
  </si>
  <si>
    <t>https://b2beez.ru/images/detailed/159/orig_0xn9-ec.jpg</t>
  </si>
  <si>
    <t>D-1457</t>
  </si>
  <si>
    <t>Педали велосипедные МТВ (с катафотами, металл, хром,овал, резиновые вставки) DS</t>
  </si>
  <si>
    <t>https://b2beez.ru/images/detailed/157/orig_2qwz-36.jpg</t>
  </si>
  <si>
    <t>D-5199</t>
  </si>
  <si>
    <t>Переключатель скоростей велосипеда задний (крепеж на наконечник) (M370-SGS) (SHMN) KL</t>
  </si>
  <si>
    <t>https://b2beez.ru/images/detailed/159/6179251790.jpg</t>
  </si>
  <si>
    <t>D-320256</t>
  </si>
  <si>
    <t>Подножка стояночная боковая велосипедная (26- 28 колесо) (черная) "YAT" (mod:1)</t>
  </si>
  <si>
    <t>https://b2beez.ru/images/detailed/158/orig_ti5w-cy.jpg</t>
  </si>
  <si>
    <t>D-380</t>
  </si>
  <si>
    <t>Подножка стояночная боковая велосипедная (26 колесо) (черная) (mod:1) YAT</t>
  </si>
  <si>
    <t>https://b2beez.ru/images/detailed/159/6448348144.jpg</t>
  </si>
  <si>
    <t>D-473</t>
  </si>
  <si>
    <t>Подножка стояночная боковая велосипедная (28 колесо) (хром) "YAT"</t>
  </si>
  <si>
    <t>https://b2beez.ru/images/detailed/159/6690608701.jpg</t>
  </si>
  <si>
    <t>D-2032</t>
  </si>
  <si>
    <t>Ручки руля велосипедные (130mm) (резиновые, торцевые заглушки, черные-белые) "BEEZMOTO"</t>
  </si>
  <si>
    <t>https://b2beez.ru/images/detailed/157/orig_mi25-cs.jpg</t>
  </si>
  <si>
    <t>D-1423</t>
  </si>
  <si>
    <t>Ручки руля велосипедные (тормозные) (пара, хром) (mod.4) (L-8.5см,d-22) "DS"</t>
  </si>
  <si>
    <t>https://b2beez.ru/images/detailed/157/6177961799.jpg</t>
  </si>
  <si>
    <t>D-5621</t>
  </si>
  <si>
    <t>Светоотражатель велосипедный (катафот) (4шт) (прозрачный, овальный) "YKX"</t>
  </si>
  <si>
    <t>https://b2beez.ru/images/detailed/159/6450833549.jpg</t>
  </si>
  <si>
    <t>R-3564</t>
  </si>
  <si>
    <t>Седло велосипедное 23" (с вентиляцией, пружинное 265×230mm, черно-красное) "BEEZMOTO"</t>
  </si>
  <si>
    <t>https://b2beez.ru/images/detailed/177/orig_i91k-ps.jpg</t>
  </si>
  <si>
    <t>D-4987</t>
  </si>
  <si>
    <t>Седло велосипедное (mod:3) (150x260mm, спортивное, розовое, под кожу) "VELOZ"</t>
  </si>
  <si>
    <t>https://b2beez.ru/images/detailed/159/orig_1qdi-67.jpg</t>
  </si>
  <si>
    <t>D-4986</t>
  </si>
  <si>
    <t>Седло велосипедное (mod:3) (150x260mm, спортивное, черно-красное) "YAT"</t>
  </si>
  <si>
    <t>https://b2beez.ru/images/detailed/159/6357364125.jpg</t>
  </si>
  <si>
    <t>D-5154</t>
  </si>
  <si>
    <t>Седло велосипедное (детское) 23" (140x190мм, красная) "SPORT" mod.3</t>
  </si>
  <si>
    <t>https://b2beez.ru/images/detailed/159/orig_ryah-nt.jpg</t>
  </si>
  <si>
    <t>D-1372</t>
  </si>
  <si>
    <t>Седло велосипедное (150x250mm) (mod:7) "DS"</t>
  </si>
  <si>
    <t>https://b2beez.ru/images/detailed/157/6177783025.jpg</t>
  </si>
  <si>
    <t>D-0282</t>
  </si>
  <si>
    <t>Седло велосипедное спортивное 23" (150х270мм, черно-синий) "UCC" mod.2</t>
  </si>
  <si>
    <t>https://b2beez.ru/images/detailed/157/6423081322.jpg</t>
  </si>
  <si>
    <t>D-5425</t>
  </si>
  <si>
    <t>Седло велосипедное 23" (с вентиляцией, пружинное 265×230mm, черно-светло коричневый) "BEEZMOTO"</t>
  </si>
  <si>
    <t>https://b2beez.ru/images/detailed/159/6192047773.jpg</t>
  </si>
  <si>
    <t>D-5936</t>
  </si>
  <si>
    <t>Седло велосипедное спортивное (с вентиляцией, 140x250mm, синий) "DS"</t>
  </si>
  <si>
    <t>https://b2beez.ru/images/detailed/159/orig_afhq-jr.jpg</t>
  </si>
  <si>
    <t>D-5285</t>
  </si>
  <si>
    <t>Седло велосипедное спортивное 23" (150x260mm, черное) "KL"</t>
  </si>
  <si>
    <t>https://b2beez.ru/images/detailed/159/6423081196.jpg</t>
  </si>
  <si>
    <t>D-1353</t>
  </si>
  <si>
    <t>Трос тормоза велосипедный (L-1700mm, нерж.,cталь) (B1-S-SS-01) Baradine KL</t>
  </si>
  <si>
    <t>https://b2beez.ru/images/detailed/157/6183047395.jpg</t>
  </si>
  <si>
    <t>D-5302</t>
  </si>
  <si>
    <t>Цепь велосипедная (1/2х3/32 116L, 21-24 ск) (Z92) "BEEZMOTO"</t>
  </si>
  <si>
    <t>https://b2beez.ru/images/detailed/159/orig_113w-5t.jpg</t>
  </si>
  <si>
    <t>D-320264</t>
  </si>
  <si>
    <t>Цепь велосипедная (1/2х3/32 116L, 6-8 ск) (Z72) "BEEZMOTO"</t>
  </si>
  <si>
    <t>https://b2beez.ru/images/detailed/158/orig_qel1-m3.jpg</t>
  </si>
  <si>
    <t>R-3433</t>
  </si>
  <si>
    <t>Фонари велосипеда (пара) (перед/зад, LED, 3 режима, цвет зеленый) "HL"</t>
  </si>
  <si>
    <t>https://b2beez.ru/images/detailed/177/6459649126.jpg</t>
  </si>
  <si>
    <t>K-7488</t>
  </si>
  <si>
    <t>Седло велосипедное 23" (230x275mm, чёрный) "CASSBIKE"</t>
  </si>
  <si>
    <t>https://b2beez.ru/images/detailed/169/6423081263.jpg</t>
  </si>
  <si>
    <t>K-7529</t>
  </si>
  <si>
    <t>Камера велосипедная 20" х1,75/1,95/2,125 (AV  40mm) "KOMATCU"</t>
  </si>
  <si>
    <t>https://b2beez.ru/images/detailed/169/6381742213.jpg</t>
  </si>
  <si>
    <t>Камера велосипедная 20" х1,95/2,125 (бутиловая, автониппель, с креплением к ободу)</t>
  </si>
  <si>
    <t>https://b2beez.ru/images/detailed/49/6352297853.jpg</t>
  </si>
  <si>
    <t>K-7533</t>
  </si>
  <si>
    <t>Камера велосипедная 24"х1,75/1,95/2,125 (AV 48mm) "KOMATCU"</t>
  </si>
  <si>
    <t>https://b2beez.ru/images/detailed/169/6381742233.jpg</t>
  </si>
  <si>
    <t>K-4411</t>
  </si>
  <si>
    <t>Камера велосипедная 26" х1,95/2,125 (AV 30mm) "BEEZMOTO"</t>
  </si>
  <si>
    <t>https://b2beez.ru/images/detailed/167/7132481044.jpg</t>
  </si>
  <si>
    <t>K-4062</t>
  </si>
  <si>
    <t>Камера велосипедная 28" х1,75/1,95 "KOMATCU"</t>
  </si>
  <si>
    <t>https://b2beez.ru/images/detailed/167/6830326986.jpg</t>
  </si>
  <si>
    <t>Камера велосипедная 24" х1,95/2,125 (бутиловая, автониппель, AV 35mm)</t>
  </si>
  <si>
    <t>https://b2beez.ru/images/detailed/48/6352297930.jpg</t>
  </si>
  <si>
    <t>Камера велосипедная 28" х1,95/2,125 (бутиловая, автониппель, AV 35mm)</t>
  </si>
  <si>
    <t>https://b2beez.ru/images/detailed/48/6352297888.jpg</t>
  </si>
  <si>
    <t>K-2071</t>
  </si>
  <si>
    <t>Набор велосипедиста (универсальные ключи, ремкомплект, насос, чехол на раму) "KOMATCU"</t>
  </si>
  <si>
    <t>https://b2beez.ru/images/detailed/166/orig_7bwt-jb.jpg</t>
  </si>
  <si>
    <t>Седло велосипедное (детское) (110x220mm, +подседельный штырь)</t>
  </si>
  <si>
    <t>https://b2beez.ru/images/detailed/48/6366367242_5vuh-2f.jpg</t>
  </si>
  <si>
    <t>R-3343</t>
  </si>
  <si>
    <t>Фонари велосипеда (пара) (перед/зад, LED, 3 режима, цвет синий) "HL"</t>
  </si>
  <si>
    <t>https://b2beez.ru/images/detailed/177/6459649360.jpg</t>
  </si>
  <si>
    <t>D-1514</t>
  </si>
  <si>
    <t>Поролон на руль велосипеда (mod 1) (зелёный) "YKX"</t>
  </si>
  <si>
    <t>https://b2beez.ru/images/detailed/157/orig_ci3h-2v.jpg</t>
  </si>
  <si>
    <t>D-1512</t>
  </si>
  <si>
    <t>Поролон на руль велосипеда (mod 1) (жёлтый) "YKX"</t>
  </si>
  <si>
    <t>https://b2beez.ru/images/detailed/157/orig_aibe-bs.jpg</t>
  </si>
  <si>
    <t>P-4358</t>
  </si>
  <si>
    <t>Покрышка для велосипеда 28" х 1.75 Н-5113 "BEEZMOTO"</t>
  </si>
  <si>
    <t>https://b2beez.ru/images/detailed/173/orig_euvs-sj.jpg</t>
  </si>
  <si>
    <t>P-4357</t>
  </si>
  <si>
    <t>Покрышка для велосипеда 28" х 1.75 (47-622) LM-057 "BEEZMOTO"</t>
  </si>
  <si>
    <t>https://b2beez.ru/images/detailed/173/orig_fbc7-kz.jpg</t>
  </si>
  <si>
    <t>P-4356</t>
  </si>
  <si>
    <t>Покрышка для велосипеда 27,5" х 2,125 H-5161 "BEEZMOTO"</t>
  </si>
  <si>
    <t>https://b2beez.ru/images/detailed/173/orig_x5xf-gw.jpg</t>
  </si>
  <si>
    <t>V-1582-U1</t>
  </si>
  <si>
    <t>Вилка велосипедная жесткая (20) (синяя) "YAT" (нарушение лкп)</t>
  </si>
  <si>
    <t>D-488-U1</t>
  </si>
  <si>
    <t>Вилка велосипедная жесткая (28) (синяя) "YAT" (повреждение лкп )</t>
  </si>
  <si>
    <t>D-1597</t>
  </si>
  <si>
    <t>Диск тормозной велосипедный (Ø160mm, на 6 болтов, RT56) (SHMN)</t>
  </si>
  <si>
    <t>https://b2beez.ru/images/detailed/157/orig_gzsi-j8.jpg</t>
  </si>
  <si>
    <t>K-7161</t>
  </si>
  <si>
    <t>Каретка велосипедная неразборная (квадрат, чёрный) (68х113mm)</t>
  </si>
  <si>
    <t>https://b2beez.ru/images/detailed/169/6170182249.jpg</t>
  </si>
  <si>
    <t>K-7783</t>
  </si>
  <si>
    <t>Каретка велосипедная неразборная (квадрат, чёрный) (68x127.5mm, 1.37") "B.B.SETS"</t>
  </si>
  <si>
    <t>https://b2beez.ru/images/detailed/169/6423657931.jpg</t>
  </si>
  <si>
    <t>K-9352</t>
  </si>
  <si>
    <t>Каретка велосипедная неразборная (квадрат, чёрный) (68x117.5mm, 1.37") "B.B.SETS"</t>
  </si>
  <si>
    <t>https://b2beez.ru/images/detailed/169/6423657931_89qj-x6.jpg</t>
  </si>
  <si>
    <t>K-2692</t>
  </si>
  <si>
    <t>Каретка велосипедная неразборная (квадрат, чёрный) (68x116mm, 1.37") "B.B.SETS"</t>
  </si>
  <si>
    <t>https://b2beez.ru/images/detailed/166/orig_kghv-rf.jpg</t>
  </si>
  <si>
    <t>K-2574</t>
  </si>
  <si>
    <t>Каретка велостпедная неразборная (квадрат, чёрный) (68x113mm, 1.37") "B.B.SETS"</t>
  </si>
  <si>
    <t>https://b2beez.ru/images/detailed/166/6170182263.jpg</t>
  </si>
  <si>
    <t>P-0999</t>
  </si>
  <si>
    <t>Переключатель скоростей велосипеда передний  (48T) 31,8mm, нижняя тяга FD-40SD "POWER"</t>
  </si>
  <si>
    <t>https://b2beez.ru/images/detailed/172/6179251473.jpg</t>
  </si>
  <si>
    <t>P-7853</t>
  </si>
  <si>
    <t>Подшипники рулевой колонки велосипеда (H846SW (28,6/34/30mm) "NECO"</t>
  </si>
  <si>
    <t>https://b2beez.ru/images/detailed/175/6179542336.jpg</t>
  </si>
  <si>
    <t>P-2232</t>
  </si>
  <si>
    <t>Подшипники рулевой колонки велосипеда FP-H805 1-1/8" (резьб. полуинтегр., сталь, чёрный) "FEIMIN"</t>
  </si>
  <si>
    <t>https://b2beez.ru/images/detailed/173/orig_xfv5-yi.jpg</t>
  </si>
  <si>
    <t>Z-1464</t>
  </si>
  <si>
    <t>Зеркало велосипедное (1шт) круг с креплением вместо заглушки грипсы (пластик, черное)</t>
  </si>
  <si>
    <t>https://b2beez.ru/images/detailed/188/orig_bl5y-a1.jpg</t>
  </si>
  <si>
    <t>N-8646</t>
  </si>
  <si>
    <t>Набор велосипедиста (ремкомплект в коробке, иструмент для разбортировки шин) «Первая помощь»</t>
  </si>
  <si>
    <t>https://b2beez.ru/images/detailed/171/6455934628.jpg</t>
  </si>
  <si>
    <t>N-4213</t>
  </si>
  <si>
    <t>Набор велосипедиста (универсальный ключ, ремкомплект, иструмент для разбортировки шин, чехол) «Bike»</t>
  </si>
  <si>
    <t>https://b2beez.ru/images/detailed/171/6459714526.jpg</t>
  </si>
  <si>
    <t>P-7321</t>
  </si>
  <si>
    <t>Педали велосипедные (с катафотами, белый, металл, пластик, ось 1/2")</t>
  </si>
  <si>
    <t>https://b2beez.ru/images/detailed/175/orig_wpzv-zz.jpg</t>
  </si>
  <si>
    <t>R-8096</t>
  </si>
  <si>
    <t>Ручки руля велосипедные (125mm) (резиновые, анатомические, чёрный)</t>
  </si>
  <si>
    <t>https://b2beez.ru/images/detailed/178/6448347711.jpg</t>
  </si>
  <si>
    <t>R-8260</t>
  </si>
  <si>
    <t>Ручки руля велосипедные (125mm) (резиновые, коричневый)</t>
  </si>
  <si>
    <t>https://b2beez.ru/images/detailed/178/6448347710.jpg</t>
  </si>
  <si>
    <t>R-9227</t>
  </si>
  <si>
    <t>Ручки руля велосипедные (130mm) (резиновые, поролон, чёрный)</t>
  </si>
  <si>
    <t>https://b2beez.ru/images/detailed/178/6448348023.jpg</t>
  </si>
  <si>
    <t>R-1926</t>
  </si>
  <si>
    <t>Ручки руля велосипедные (130mm) (резиновые, анатомические, цвет черный/красный)</t>
  </si>
  <si>
    <t>https://b2beez.ru/images/detailed/176/6448347906.jpg</t>
  </si>
  <si>
    <t>R-3884</t>
  </si>
  <si>
    <t>Ручки руля для детского самоката (125mm) (Ø23mm, резиновые, чёрный) (mod.2)</t>
  </si>
  <si>
    <t>https://b2beez.ru/images/detailed/177/6448347886.jpg</t>
  </si>
  <si>
    <t>R-8667</t>
  </si>
  <si>
    <t>Ручки руля велосипедные (130mm) (резиновые, торцевые заглушки, черные- желтые) "BEEZMOTO"</t>
  </si>
  <si>
    <t>https://b2beez.ru/images/detailed/178/orig_itd0-86.jpg</t>
  </si>
  <si>
    <t>F-9359</t>
  </si>
  <si>
    <t>Фонарь задний (в сборе) велосипедный ( + 2 батарейки)</t>
  </si>
  <si>
    <t>https://b2beez.ru/images/detailed/160/6182266856.jpg</t>
  </si>
  <si>
    <t>Z-4241</t>
  </si>
  <si>
    <t>Звонок велосипедный (ударный, жёлтый)  "True Man"</t>
  </si>
  <si>
    <t>https://b2beez.ru/images/detailed/204/Z-4241-2.jpg</t>
  </si>
  <si>
    <t>D-1014</t>
  </si>
  <si>
    <t>Фонарь задний (в сборе) велосипедный (диодный, 3 функции)</t>
  </si>
  <si>
    <t>https://b2beez.ru/images/detailed/157/6182266550.jpg</t>
  </si>
  <si>
    <t>K-8314</t>
  </si>
  <si>
    <t>Крепёж велосипеда на стену (за раму) (mod.2)</t>
  </si>
  <si>
    <t>https://b2beez.ru/images/detailed/169/6458276069.jpg</t>
  </si>
  <si>
    <t>K-0080</t>
  </si>
  <si>
    <t>Корзина велосипедная навесная передняя с креплением на руль  легкосъемная (металл)</t>
  </si>
  <si>
    <t>https://b2beez.ru/images/detailed/165/7128639490.jpg</t>
  </si>
  <si>
    <t>K-0081</t>
  </si>
  <si>
    <t>Корзина велосипедная навесная передняя (металл, белая)</t>
  </si>
  <si>
    <t>https://b2beez.ru/images/detailed/165/7128642121.jpg</t>
  </si>
  <si>
    <t>K-0083</t>
  </si>
  <si>
    <t>Корзина велосипедная навесная металлическая, с крышкой (белая) 33*24*22см</t>
  </si>
  <si>
    <t>https://b2beez.ru/images/detailed/204/K-0083-2_jygt-ln.jpg</t>
  </si>
  <si>
    <t>D-0282-U1</t>
  </si>
  <si>
    <t>Седло велосипедное спортивное 23" (150х270мм, черно-синий)  (Порез)</t>
  </si>
  <si>
    <t>D-4374-U1</t>
  </si>
  <si>
    <t>Седло велосипедное (детское) (130x240mm, STAR BIKE) (mod:1) "DS" (Порез)</t>
  </si>
  <si>
    <t>D-1700-U1</t>
  </si>
  <si>
    <t>Звезды велосипедные (передние) 24/34/42T (+2 шатуна L-170mm, квадрат, черные, с защитой) "YKX" (нет шатуна)</t>
  </si>
  <si>
    <t>JY-092</t>
  </si>
  <si>
    <t>Спидометр велосипедный (механический) (+трос, привод спидометра) JY-092 "BEEZMOTO"</t>
  </si>
  <si>
    <t>https://b2beez.ru/images/detailed/165/orig_cwuh-9z.jpg</t>
  </si>
  <si>
    <t>D-4882-U1</t>
  </si>
  <si>
    <t>Вилка велосипедная жесткая (c креплением V-brake, 26) (синяя) "DS" (Повреждения)</t>
  </si>
  <si>
    <t>D-4335-U1</t>
  </si>
  <si>
    <t>Седло велосипедное (детское) (140x240mm, STAR BIKE) (mod:2) "DS"(Порез)</t>
  </si>
  <si>
    <t>D-4632-U1</t>
  </si>
  <si>
    <t>Педали велосипедные МТВ (с катафотами, металл, хром,овал, резиновые вставки) "YKX"(Повреждения)</t>
  </si>
  <si>
    <t>V-6046-U1</t>
  </si>
  <si>
    <t>Вилка велосипедная жесткая (c креплением V-brake, 24) (синяя) (Повреждения)</t>
  </si>
  <si>
    <t>D-4632-U2</t>
  </si>
  <si>
    <t>https://b2beez.ru/images/detailed/204/D-4632-U2.jpg</t>
  </si>
  <si>
    <t>V-8945-U1</t>
  </si>
  <si>
    <t>Вилка велосипедная жесткая (c креплением V-brake, 24) (красная) (повреждение лкп)</t>
  </si>
  <si>
    <t>https://b2beez.ru/images/detailed/204/V-8945-U1.jpg</t>
  </si>
  <si>
    <t>V-2938-U1</t>
  </si>
  <si>
    <t>Вилка велосипедная жесткая (c креплением V-brake, 28) (красная) (нарушение лкп)</t>
  </si>
  <si>
    <t>D-4342-U1</t>
  </si>
  <si>
    <t>Ручки руля велосипедные резиновые (ободок хром) "DS" (Повреждения)</t>
  </si>
  <si>
    <t>YA-818С</t>
  </si>
  <si>
    <t>Удлинитель для руля велосипеда (10 см, синий)</t>
  </si>
  <si>
    <t>https://b2beez.ru/images/detailed/187/orig_ujq4-ef.jpg</t>
  </si>
  <si>
    <t>D-51985</t>
  </si>
  <si>
    <t>Звезды велосипедные (задние) 11/13/15/18/21/24/28/32 (кассета 8 скор) "SUNRUN"</t>
  </si>
  <si>
    <t>https://b2beez.ru/images/detailed/159/orig_8ikq-wa.jpg</t>
  </si>
  <si>
    <t>S-7956</t>
  </si>
  <si>
    <t>Седло велосипедное Comfort (255x210, черное) "BEEZMOTO"</t>
  </si>
  <si>
    <t>https://b2beez.ru/images/detailed/182/orig_pert-94.jpg</t>
  </si>
  <si>
    <t>HX-FS-04</t>
  </si>
  <si>
    <t>Упоры для рук велосипедные TT (аэро-бар) (Ø22-26.5mm, алюминиевые) "BEEZMOTO"</t>
  </si>
  <si>
    <t>https://b2beez.ru/images/detailed/165/orig_gs7y-43.jpg</t>
  </si>
  <si>
    <t>K-56654</t>
  </si>
  <si>
    <t>Колодки тормозные велосипедные (дисковые) LXZ911 (21.4*34.9*4)</t>
  </si>
  <si>
    <t>https://b2beez.ru/images/detailed/168/orig_9rj7-4t.jpg</t>
  </si>
  <si>
    <t>G-6415</t>
  </si>
  <si>
    <t>Вилка велосипедная амортизационная GM-905-26"(RLO)</t>
  </si>
  <si>
    <t>https://b2beez.ru/images/detailed/162/orig_ac3l-8x.jpg</t>
  </si>
  <si>
    <t>G-6416</t>
  </si>
  <si>
    <t>Вилка велосипедная амортизационная GM-905-27.5"(RLO)</t>
  </si>
  <si>
    <t>https://b2beez.ru/images/detailed/162/orig_elim-4v.jpg</t>
  </si>
  <si>
    <t>G-6417</t>
  </si>
  <si>
    <t>Вилка велосипедная амортизационная GM-905-29"(RLO)</t>
  </si>
  <si>
    <t>https://b2beez.ru/images/detailed/162/orig_xwcj-wt.jpg</t>
  </si>
  <si>
    <t>K-0079</t>
  </si>
  <si>
    <t>Корзина для детского велосипеда навесная пластик, (черная) 21*15*14см</t>
  </si>
  <si>
    <t>https://b2beez.ru/images/detailed/165/7181997643.jpg</t>
  </si>
  <si>
    <t>S-1368-U1</t>
  </si>
  <si>
    <t>Седло велосипедное (детское) 23" (140x190мм, чёрный) "SPORT" mod.1 (Вмятина)</t>
  </si>
  <si>
    <t>V-8851-U1</t>
  </si>
  <si>
    <t>Вилка велосипедная жесткая (c креплением V-brake, 28) (синяя) (Повреждения)</t>
  </si>
  <si>
    <t>D-1768</t>
  </si>
  <si>
    <t>Велосипедные колеса боковые детские (пара) (Ø110mm, пластик, +крепление, белые) "YKX"</t>
  </si>
  <si>
    <t>https://b2beez.ru/images/detailed/157/orig_rufj-le.jpg</t>
  </si>
  <si>
    <t>D-0155</t>
  </si>
  <si>
    <t>Седло велосипедное (детское) 23" (140x190мм, черно-красное) "SPORT" mod:5</t>
  </si>
  <si>
    <t>https://b2beez.ru/images/detailed/157/orig_ihpr-yh.jpg</t>
  </si>
  <si>
    <t>D-0156</t>
  </si>
  <si>
    <t>Седло велосипедное (детское) 23" (140x190мм, черно-оранжевое) "SPORT" mod.6</t>
  </si>
  <si>
    <t>https://b2beez.ru/images/detailed/157/orig_3mhb-uv.jpg</t>
  </si>
  <si>
    <t>T-635</t>
  </si>
  <si>
    <t>Суппорт тормозной велосипедный (F-180mm/R-160mm) (+колодки) "BEEZMOTO" mod:B</t>
  </si>
  <si>
    <t>https://b2beez.ru/images/detailed/183/6423081343.jpg</t>
  </si>
  <si>
    <t>S-0505</t>
  </si>
  <si>
    <t>Суппорт тормозной велосипедный (F-180mm/R-160mm) (+колодки) "BEEZMOTO" mod:A</t>
  </si>
  <si>
    <t>https://b2beez.ru/images/detailed/178/6981986513.jpg</t>
  </si>
  <si>
    <t>D-1777</t>
  </si>
  <si>
    <t>Трос тормоза велосипедный (L-750mm) (зебра) (mod.A) "DS"</t>
  </si>
  <si>
    <t>https://b2beez.ru/images/detailed/157/6177961770_iasj-7p.jpg</t>
  </si>
  <si>
    <t>F-8982</t>
  </si>
  <si>
    <t>Фонарь задний велосипедный (светодиодный, красный/белый, 5 режимов, 120 лм, USB, водонепроницаемый)</t>
  </si>
  <si>
    <t>https://b2beez.ru/images/detailed/160/6335091625.jpg</t>
  </si>
  <si>
    <t>K-4170</t>
  </si>
  <si>
    <t>Камера велосипедная 18'' х1,75/2,125 "BR"</t>
  </si>
  <si>
    <t>https://b2beez.ru/images/detailed/167/orig_drtw-1t.jpg</t>
  </si>
  <si>
    <t>D-4123</t>
  </si>
  <si>
    <t>Гайка шестерни сцепления веломотора "KOMATCU" (mod.A)</t>
  </si>
  <si>
    <t>https://b2beez.ru/images/detailed/159/orig_7via-f5.jpg</t>
  </si>
  <si>
    <t>A-895</t>
  </si>
  <si>
    <t>Велокомпьютер проводной с подсветкой YS-858A (зеленый) "YS"</t>
  </si>
  <si>
    <t>https://b2beez.ru/images/detailed/153/orig_2aqy-se.jpg</t>
  </si>
  <si>
    <t>A-899</t>
  </si>
  <si>
    <t>Велокомпьютер беспроводной с подсветкой YS-858С (белый) "YS"</t>
  </si>
  <si>
    <t>https://b2beez.ru/images/detailed/153/6322193250.jpg</t>
  </si>
  <si>
    <t>A-901</t>
  </si>
  <si>
    <t>Велокомпьютер беспроводной с подсветкой (mod:YS-858С) (зеленый) "YS"</t>
  </si>
  <si>
    <t>https://b2beez.ru/images/detailed/153/orig_cj3m-a6.jpg</t>
  </si>
  <si>
    <t>A-904</t>
  </si>
  <si>
    <t>Велокомпьютер проводной с подсветкой (mod:YS-661A) (белый) "YS"</t>
  </si>
  <si>
    <t>https://b2beez.ru/images/detailed/153/orig_4fe3-sd.jpg</t>
  </si>
  <si>
    <t>A-907</t>
  </si>
  <si>
    <t>Велокомпьютер проводной с подсветкой YS-668A (желтый) "YS"</t>
  </si>
  <si>
    <t>https://b2beez.ru/images/detailed/153/orig_kmv2-0n.jpg</t>
  </si>
  <si>
    <t>A-909</t>
  </si>
  <si>
    <t>Велокомпьютер проводной с подсветкой YS-668A (зеленый) "YS"</t>
  </si>
  <si>
    <t>https://b2beez.ru/images/detailed/153/orig_gscr-hi.jpg</t>
  </si>
  <si>
    <t>A-919</t>
  </si>
  <si>
    <t>Велокомпьютер беспроводной с подсветкой YS-589С (красный) "YS"</t>
  </si>
  <si>
    <t>https://b2beez.ru/images/detailed/154/orig_9cxf-30.jpg</t>
  </si>
  <si>
    <t>A-921</t>
  </si>
  <si>
    <t>Велокомпьютер проводной с подсветкой (mod:YS-588A) (серый) "YS"</t>
  </si>
  <si>
    <t>https://b2beez.ru/images/detailed/154/orig_e0t8-tk.jpg</t>
  </si>
  <si>
    <t>C-1227</t>
  </si>
  <si>
    <t>Цепь велосипедная (1/2"х1/8", 112L, 1 ск) "DID"</t>
  </si>
  <si>
    <t>https://b2beez.ru/images/detailed/155/6170182283.jpg</t>
  </si>
  <si>
    <t>D-1285</t>
  </si>
  <si>
    <t>Крепление для велосипедного фонаря (универсальный) "DS"</t>
  </si>
  <si>
    <t>https://b2beez.ru/images/detailed/157/orig_fci4-jk.jpg</t>
  </si>
  <si>
    <t>D-1368</t>
  </si>
  <si>
    <t>Седло велосипедное (с вентиляцией, пружинное 265×230mm, черно-синее) "DS"</t>
  </si>
  <si>
    <t>https://b2beez.ru/images/detailed/157/6192044091.jpg</t>
  </si>
  <si>
    <t>D-1388</t>
  </si>
  <si>
    <t>Ручки руля велосипедные (черный, алюминий) 130мм "BEEZMOTO"</t>
  </si>
  <si>
    <t>https://b2beez.ru/images/detailed/157/6448347860.jpg</t>
  </si>
  <si>
    <t>D-1390</t>
  </si>
  <si>
    <t>Стоп-сигнал (в сборе) велосипедный (универсальный) (LED-7 режимов, +габариты-2 режима) "DS"</t>
  </si>
  <si>
    <t>https://b2beez.ru/images/detailed/157/orig_2j2l-3k.jpg</t>
  </si>
  <si>
    <t>D-1411</t>
  </si>
  <si>
    <t>Переключатель скоростей велосипеда передний (верхняя тяга) "SMO"</t>
  </si>
  <si>
    <t>https://b2beez.ru/images/detailed/157/orig_hkid-4q.jpg</t>
  </si>
  <si>
    <t>D-1435</t>
  </si>
  <si>
    <t>Тормоз велосипеда V-brake (хром) (комплект, перед + зад) (mod.3) "DS"</t>
  </si>
  <si>
    <t>https://b2beez.ru/images/detailed/157/6413810257.jpg</t>
  </si>
  <si>
    <t>D-1443</t>
  </si>
  <si>
    <t>Трос тормоза велосипедный (L-1800mm) (голый) "DS"</t>
  </si>
  <si>
    <t>https://b2beez.ru/images/detailed/157/orig_omzw-py.jpg</t>
  </si>
  <si>
    <t>D-1444</t>
  </si>
  <si>
    <t>Подножка стояночная боковая велосипедная (черная) "DS"</t>
  </si>
  <si>
    <t>https://b2beez.ru/images/detailed/157/6448348170.jpg</t>
  </si>
  <si>
    <t>D-1458</t>
  </si>
  <si>
    <t>Педали велосипедные МТВ (с катафотами, пластик, черные) "DS"</t>
  </si>
  <si>
    <t>https://b2beez.ru/images/detailed/157/6170182271.jpg</t>
  </si>
  <si>
    <t>D-1461</t>
  </si>
  <si>
    <t>Педали велосипедные МТВ (с катафотами, металл, белые) "DS"</t>
  </si>
  <si>
    <t>https://b2beez.ru/images/detailed/157/6170182270.jpg</t>
  </si>
  <si>
    <t>D-1471</t>
  </si>
  <si>
    <t>Втулка звднего колеса велосипеда универсальная (звезда) "DS"</t>
  </si>
  <si>
    <t>https://b2beez.ru/images/detailed/157/orig_n75i-1g.jpg</t>
  </si>
  <si>
    <t>D-1473</t>
  </si>
  <si>
    <t>Ось колеса переднего велосипедная (mod.2) "DS"</t>
  </si>
  <si>
    <t>https://b2beez.ru/images/detailed/157/6439247580.jpg</t>
  </si>
  <si>
    <t>D-1503</t>
  </si>
  <si>
    <t>Светоотражатель велосипедный (катафот) (4шт) (желтый, овальный) "YKX"</t>
  </si>
  <si>
    <t>https://b2beez.ru/images/detailed/157/6450833427.jpg</t>
  </si>
  <si>
    <t>D-1504</t>
  </si>
  <si>
    <t>Светоотражатель велосипедный (катафот) (красный) "YKX"</t>
  </si>
  <si>
    <t>https://b2beez.ru/images/detailed/157/orig_4qf9-th.jpg</t>
  </si>
  <si>
    <t>D-1505</t>
  </si>
  <si>
    <t>Ручки руля велосипедные (L-11.5см,d-22) (черная,звезды) (mod.2) "YKX"</t>
  </si>
  <si>
    <t>https://b2beez.ru/images/detailed/157/orig_ec3r-qf.jpg</t>
  </si>
  <si>
    <t>D-1506</t>
  </si>
  <si>
    <t>Ручки руля велосипедные(L-11.5см,d-22) (красная,звезды) (mod.1) "YKX"</t>
  </si>
  <si>
    <t>https://b2beez.ru/images/detailed/157/orig_vpzc-8l.jpg</t>
  </si>
  <si>
    <t>D-1518</t>
  </si>
  <si>
    <t>Поролон на руль велосипеда (mod 2) (красный) "YKX"</t>
  </si>
  <si>
    <t>https://b2beez.ru/images/detailed/157/orig_zb81-al.jpg</t>
  </si>
  <si>
    <t>D-1534</t>
  </si>
  <si>
    <t>Крылья велосипедные (540мм-90мм,28мм-8мм MTB) (mod.1) "YKX"</t>
  </si>
  <si>
    <t>https://b2beez.ru/images/detailed/157/orig_d82y-4w.jpg</t>
  </si>
  <si>
    <t>D-1569</t>
  </si>
  <si>
    <t>Манетки переключения скоростей велосипеда (поисковые) "YKX"</t>
  </si>
  <si>
    <t>https://b2beez.ru/images/detailed/157/orig_197y-9i.jpg</t>
  </si>
  <si>
    <t>D-1600</t>
  </si>
  <si>
    <t>Тормоз велосипеда ленточный (барабан, Ø90 мм) "BEEZMOTO"</t>
  </si>
  <si>
    <t>https://b2beez.ru/images/detailed/157/orig_vktj-kn.jpg</t>
  </si>
  <si>
    <t>D-1628</t>
  </si>
  <si>
    <t>Втулка переднего колеса велосипеда (алюминий) (36 спиц) "YKX"</t>
  </si>
  <si>
    <t>https://b2beez.ru/images/detailed/157/orig_dg47-na.jpg</t>
  </si>
  <si>
    <t>D-1671</t>
  </si>
  <si>
    <t>Подседельный штырь велосипеда (глагол) (L-190mm, D-25,4mm) (сталь, хром) "YKX"</t>
  </si>
  <si>
    <t>https://b2beez.ru/images/detailed/157/6362970528.jpg</t>
  </si>
  <si>
    <t>D-1681</t>
  </si>
  <si>
    <t>Вилка велосипедная жесткая (26") (серая) "YKX"</t>
  </si>
  <si>
    <t>https://b2beez.ru/images/detailed/157/orig_7vku-v3.jpg</t>
  </si>
  <si>
    <t>D-1683</t>
  </si>
  <si>
    <t>Вилка велосипедная жесткая (20) (серая) "YKX"</t>
  </si>
  <si>
    <t>https://b2beez.ru/images/detailed/157/orig_cd01-nx.jpg</t>
  </si>
  <si>
    <t>D-1747</t>
  </si>
  <si>
    <t>Ось колеса велосипеда (голая) "YKX"</t>
  </si>
  <si>
    <t>https://b2beez.ru/images/detailed/157/6439247573.jpg</t>
  </si>
  <si>
    <t>D-1791</t>
  </si>
  <si>
    <t>Педали велосипедные горные (с катафотами, металл, широкие, красные с шипами) "YKX"</t>
  </si>
  <si>
    <t>https://b2beez.ru/images/detailed/157/6170182251.jpg</t>
  </si>
  <si>
    <t>D-2177</t>
  </si>
  <si>
    <t>Вилка велосипедная жесткая (c креплением V-brake, 22") (синяя) "DS" mod A</t>
  </si>
  <si>
    <t>https://b2beez.ru/images/detailed/157/6170136080.jpg</t>
  </si>
  <si>
    <t>D-3467</t>
  </si>
  <si>
    <t>Колодки тормозные велосипедные (дисковые) 28.8х4х22.8 Hayes MX2,3, Sole (mod:SBP-1025) (у)</t>
  </si>
  <si>
    <t>https://b2beez.ru/images/detailed/159/orig_aapi-3l.jpg</t>
  </si>
  <si>
    <t>D-4376</t>
  </si>
  <si>
    <t>Втулка переднего колеса велосипеда (36 спиц, под диск, эксцентрик) "DS"</t>
  </si>
  <si>
    <t>https://b2beez.ru/images/detailed/159/6170182230.jpg</t>
  </si>
  <si>
    <t>D-4500</t>
  </si>
  <si>
    <t>Втулка переднего колеса велосипеда (в сборе, 36 спиц, хром, с подшипниками) "YKX"</t>
  </si>
  <si>
    <t>https://b2beez.ru/images/detailed/159/orig_eqxu-vk.jpg</t>
  </si>
  <si>
    <t>D-4551</t>
  </si>
  <si>
    <t>Зеркало велосипедное (1шт) круглое (черное, с хомутом) (mod:FG3) "YKX" (mod.A)</t>
  </si>
  <si>
    <t>https://b2beez.ru/images/detailed/159/6177812601.jpg</t>
  </si>
  <si>
    <t>D-4564</t>
  </si>
  <si>
    <t>Клин шатуна велосипеда (пара) (ремонт) (d-9,8 mm)  "YKX" (mod.A)</t>
  </si>
  <si>
    <t>https://b2beez.ru/images/detailed/159/6173434730.jpg</t>
  </si>
  <si>
    <t>D-4565</t>
  </si>
  <si>
    <t>Клин шатуна велосипеда (пара) (станд) (d-9,5 mm) "YKX" (mod.A)</t>
  </si>
  <si>
    <t>https://b2beez.ru/images/detailed/159/6173434656.jpg</t>
  </si>
  <si>
    <t>D-4579</t>
  </si>
  <si>
    <t>Колодки тормозные велосипедные (ободные) с резьбой 5.2mm "YKX"</t>
  </si>
  <si>
    <t>https://b2beez.ru/images/detailed/159/orig_2iex-oe.jpg</t>
  </si>
  <si>
    <t>D-4608</t>
  </si>
  <si>
    <t>Педали велосипедные МТВ (металл, резиновые вставки, основа хром) "YKX"</t>
  </si>
  <si>
    <t>https://b2beez.ru/images/detailed/159/orig_0r7o-ar.jpg</t>
  </si>
  <si>
    <t>D-4615</t>
  </si>
  <si>
    <t>Педали велосипедные МТВ (с катафотами, алюминий, усиленные) "YKX"</t>
  </si>
  <si>
    <t>https://b2beez.ru/images/detailed/159/6170182279.jpg</t>
  </si>
  <si>
    <t>D-4617</t>
  </si>
  <si>
    <t>Педали велосипедные МТВ (с катафотами, металл, красные) "YKX"</t>
  </si>
  <si>
    <t>https://b2beez.ru/images/detailed/159/6170182260.jpg</t>
  </si>
  <si>
    <t>D-4621</t>
  </si>
  <si>
    <t>Педали велосипедные горные (с катафотами, алюминий, белые, усиленные) "YKX"</t>
  </si>
  <si>
    <t>https://b2beez.ru/images/detailed/159/orig_hf6m-wh.jpg</t>
  </si>
  <si>
    <t>D-4624</t>
  </si>
  <si>
    <t>Педали велосипедные МТВ (с катафотами, пластик, черные, шипы) "BEEZMOTO"</t>
  </si>
  <si>
    <t>https://b2beez.ru/images/detailed/159/orig_x0zc-b8.jpg</t>
  </si>
  <si>
    <t>D-4625</t>
  </si>
  <si>
    <t>Педали велосипедные МТВ (с катафотами, пластик, черные, декор овал) "YKX"</t>
  </si>
  <si>
    <t>https://b2beez.ru/images/detailed/159/6170182286.jpg</t>
  </si>
  <si>
    <t>D-4626</t>
  </si>
  <si>
    <t>Педали велосипедные детские (с катафотами, пластик, черные) "YKX"</t>
  </si>
  <si>
    <t>https://b2beez.ru/images/detailed/159/6170182264.jpg</t>
  </si>
  <si>
    <t>D-4632</t>
  </si>
  <si>
    <t>Педали велосипедные МТВ (с катафотами, металл, хром,овал, резиновые вставки) "YKX"</t>
  </si>
  <si>
    <t>https://b2beez.ru/images/detailed/159/orig_1mmc-n4.jpg</t>
  </si>
  <si>
    <t>D-4652</t>
  </si>
  <si>
    <t>Подножка стояночная боковая велосипедная (26- 28 колесо) (черная) (mod:1) "YKX" (mod.A)</t>
  </si>
  <si>
    <t>https://b2beez.ru/images/detailed/159/6790043012.jpg</t>
  </si>
  <si>
    <t>D-4659</t>
  </si>
  <si>
    <t>Поролон на руль велосипеда (4шт) (желтый) "YKX" (mod.A)</t>
  </si>
  <si>
    <t>https://b2beez.ru/images/detailed/159/orig_90g9-5c.jpg</t>
  </si>
  <si>
    <t>D-4667</t>
  </si>
  <si>
    <t>Светоотражатель велосипедный (катафот) (2шт) (зеленый) "YKX"</t>
  </si>
  <si>
    <t>https://b2beez.ru/images/detailed/159/orig_ulpv-qj.jpg</t>
  </si>
  <si>
    <t>D-4668</t>
  </si>
  <si>
    <t>Светоотражатель велосипедный (катафот) (2шт) (красный) "YKX"</t>
  </si>
  <si>
    <t>https://b2beez.ru/images/detailed/159/6181027118.jpg</t>
  </si>
  <si>
    <t>D-4715</t>
  </si>
  <si>
    <t>Тормоз велосипеда V-brake (хром) (комплект, перед + зад) "YKX"</t>
  </si>
  <si>
    <t>https://b2beez.ru/images/detailed/159/6413810258.jpg</t>
  </si>
  <si>
    <t>K-3653</t>
  </si>
  <si>
    <t>Колодки тормозные велосипедные (дисковые) 27.4х4х11.8 Avid 79cc, Mini Bike Rear, MBX10, Motovox (mod</t>
  </si>
  <si>
    <t>https://b2beez.ru/images/detailed/167/orig_oa82-9i.jpg</t>
  </si>
  <si>
    <t>K-3665</t>
  </si>
  <si>
    <t>Колодки тормозные велосипедные (дисковые) для ShimanoSLX M666, BR-M985, XTR 2011, XT BR-M785 (mod.SB</t>
  </si>
  <si>
    <t>https://b2beez.ru/images/detailed/167/orig_s0q6-u4.jpg</t>
  </si>
  <si>
    <t>K-3669</t>
  </si>
  <si>
    <t>https://b2beez.ru/images/detailed/167/6689549129.jpg</t>
  </si>
  <si>
    <t>K-3684</t>
  </si>
  <si>
    <t>Колодки тормозные велосипедные (дисковые) 21.8х4х20 Hope M4,Tech "4-0" Four Piston Downhill, Grimeca</t>
  </si>
  <si>
    <t>https://b2beez.ru/images/detailed/167/orig_zfn9-qj.jpg</t>
  </si>
  <si>
    <t>K-3689</t>
  </si>
  <si>
    <t>Колодки тормозные велосипедные (дисковые) 37х4х23 SR Suntour mechanical (mod:SBP-1040)</t>
  </si>
  <si>
    <t>https://b2beez.ru/images/detailed/167/orig_2jhl-8k.jpg</t>
  </si>
  <si>
    <t>K-4033</t>
  </si>
  <si>
    <t>Эксцентрик втулки колеса велосипеда (L=190 mm) "QND"</t>
  </si>
  <si>
    <t>https://b2beez.ru/images/detailed/167/orig_ka9l-zt.jpg</t>
  </si>
  <si>
    <t>P-3879</t>
  </si>
  <si>
    <t>Переключатель скоростей велосипеда задний (короткое перо,18 -24 ск.,крепл.под болт "на ось") "LEMA"</t>
  </si>
  <si>
    <t>https://b2beez.ru/images/detailed/173/6366367215.jpg</t>
  </si>
  <si>
    <t>R-3401</t>
  </si>
  <si>
    <t>Стоп-сигнал (в сборе) велосипедный (универсальный) (LED 6, серый) (mod.JY-154R-1) "JING YI"</t>
  </si>
  <si>
    <t>https://b2beez.ru/images/detailed/177/6182266560.jpg</t>
  </si>
  <si>
    <t>R-3402</t>
  </si>
  <si>
    <t>Стоп-сигнал (в сборе) велосипедный (универсальный) (LED 5) (mod.JY-006T-0.5W) "SBENBA"</t>
  </si>
  <si>
    <t>https://b2beez.ru/images/detailed/177/6182266569.jpg</t>
  </si>
  <si>
    <t>R-3408</t>
  </si>
  <si>
    <t>Сигнал велосипедный с подсветкой круглый (красный) (mod.JY-575C) "DS"</t>
  </si>
  <si>
    <t>https://b2beez.ru/images/detailed/177/orig_rmk4-73.jpg</t>
  </si>
  <si>
    <t>R-3411</t>
  </si>
  <si>
    <t>Сигнал велосипедный с подсветкой круглый (красный, АА*2) (mod:JY-322) "DS"</t>
  </si>
  <si>
    <t>https://b2beez.ru/images/detailed/177/6182299782.jpg</t>
  </si>
  <si>
    <t>R-3425</t>
  </si>
  <si>
    <t>Сигнал велосипедный с подсветкой (красный, 2 LED, АА*2) (mod:xc-307) "XINGCHENG"</t>
  </si>
  <si>
    <t>https://b2beez.ru/images/detailed/177/6182299761.jpg</t>
  </si>
  <si>
    <t>R-3436</t>
  </si>
  <si>
    <t>Фонарь задний (в сборе) велосипедный (3 диода, 4 режима) (mod.JY-6028F/T) "ZD"</t>
  </si>
  <si>
    <t>https://b2beez.ru/images/detailed/177/orig_sukx-oj.jpg</t>
  </si>
  <si>
    <t>R-3438</t>
  </si>
  <si>
    <t>Ниппель колеса велосипеда (пара) (стайлинговый, прямой, светящийся) mod:JY-503C-11 "DS"</t>
  </si>
  <si>
    <t>https://b2beez.ru/images/detailed/177/orig_gnqq-fk.jpg</t>
  </si>
  <si>
    <t>R-3439</t>
  </si>
  <si>
    <t>Габаритные огни на руль велосипеда (вставки) (красный/белый, черепки) (пара)(mod.JY-339) "DS"</t>
  </si>
  <si>
    <t>https://b2beez.ru/images/detailed/177/orig_h2k1-x5.jpg</t>
  </si>
  <si>
    <t>R-3516</t>
  </si>
  <si>
    <t>Суппорт тормозной велосипедный (F-160mm/R-140mm)(mod:BL-108C) "DS"</t>
  </si>
  <si>
    <t>https://b2beez.ru/images/detailed/177/orig_ri64-sb.jpg</t>
  </si>
  <si>
    <t>R-3517</t>
  </si>
  <si>
    <t>Суппорт тормозной велосипедный (F-140mm/R-120mm) (mod.BL-108C) "DS"</t>
  </si>
  <si>
    <t>https://b2beez.ru/images/detailed/177/orig_5pdc-m3.jpg</t>
  </si>
  <si>
    <t>R-3550</t>
  </si>
  <si>
    <t>Тормозная система велосипедная (дисковая, гидравлическая, в сборе) "SHMN"</t>
  </si>
  <si>
    <t>https://b2beez.ru/images/detailed/204/R-3550.jpg</t>
  </si>
  <si>
    <t>R-3559</t>
  </si>
  <si>
    <t>Игла для насоса (накачка мячей) 10шт "DS"</t>
  </si>
  <si>
    <t>https://b2beez.ru/images/detailed/177/orig_9359-i1.jpg</t>
  </si>
  <si>
    <t>V-1640</t>
  </si>
  <si>
    <t>Втулка переднего колеса велосипеда (36 спиц, под диск)</t>
  </si>
  <si>
    <t>https://b2beez.ru/images/detailed/185/6173443524.jpg</t>
  </si>
  <si>
    <t>A-912</t>
  </si>
  <si>
    <t>Велокомпьютер беспроводной с подсветкой, водонепроницаемый, 22 программ YS-668С (зеленый) "YS"</t>
  </si>
  <si>
    <t>https://b2beez.ru/images/detailed/153/orig_at14-d3.jpg</t>
  </si>
  <si>
    <t>A-985</t>
  </si>
  <si>
    <t>Подножка стояночная боковая велосипедная (черная, алюминивая, раздвижная Ø24-28) "FEIX"</t>
  </si>
  <si>
    <t>https://b2beez.ru/images/detailed/154/6363047274.jpg</t>
  </si>
  <si>
    <t>D-1298</t>
  </si>
  <si>
    <t>Звонок велосипедный (USA) (mod.178) "DS"</t>
  </si>
  <si>
    <t>https://b2beez.ru/images/detailed/157/6172369785.jpg</t>
  </si>
  <si>
    <t>D-1307</t>
  </si>
  <si>
    <t>Звонок велосипедный (золотой, хром)  в стиле ретро "DS"</t>
  </si>
  <si>
    <t>https://b2beez.ru/images/detailed/157/orig_b055-7i.jpg</t>
  </si>
  <si>
    <t>D-1365</t>
  </si>
  <si>
    <t>Звонок велосипедный черно- красный "DS"</t>
  </si>
  <si>
    <t>https://b2beez.ru/images/detailed/157/orig_kx2u-yo.jpg</t>
  </si>
  <si>
    <t>D-1389</t>
  </si>
  <si>
    <t>Ручки руля велосипедные (белый, алюминий) 130мм "BEEZMOTO"</t>
  </si>
  <si>
    <t>https://b2beez.ru/images/detailed/157/6448347840.jpg</t>
  </si>
  <si>
    <t>D-1403</t>
  </si>
  <si>
    <t>Амортизатор велосипедный (L-150)</t>
  </si>
  <si>
    <t>https://b2beez.ru/images/detailed/157/orig_jqyg-gg.jpg</t>
  </si>
  <si>
    <t>D-1432</t>
  </si>
  <si>
    <t>Трос тормоза велосипедный (L-1700mm) (красный) "DS"</t>
  </si>
  <si>
    <t>https://b2beez.ru/images/detailed/157/orig_vks5-3a.jpg</t>
  </si>
  <si>
    <t>D-1442</t>
  </si>
  <si>
    <t>Трос тормоза велосипедный (L-1200mm) (голый) "DS"</t>
  </si>
  <si>
    <t>https://b2beez.ru/images/detailed/157/6177961813.jpg</t>
  </si>
  <si>
    <t>D-1445</t>
  </si>
  <si>
    <t>Подножка стояночная боковая велосипедная (черная) (mod.1) "DS"</t>
  </si>
  <si>
    <t>https://b2beez.ru/images/detailed/157/orig_xqkh-h4.jpg</t>
  </si>
  <si>
    <t>D-1460</t>
  </si>
  <si>
    <t>Педали велосипедные МТВ (с катафотами, металл, хром) "DS"</t>
  </si>
  <si>
    <t>https://b2beez.ru/images/detailed/157/6170182268.jpg</t>
  </si>
  <si>
    <t>D-1470</t>
  </si>
  <si>
    <t>Каретка велосипедная разборная (клин) (L-147mm) (без подшипников) "DS"</t>
  </si>
  <si>
    <t>https://b2beez.ru/images/detailed/157/orig_t10h-8r.jpg</t>
  </si>
  <si>
    <t>D-1480</t>
  </si>
  <si>
    <t>Колодки тормозные велосипедные (ободные, V-brake) с резьбой 5.6mm "DS"</t>
  </si>
  <si>
    <t>https://b2beez.ru/images/detailed/157/orig_605o-8w.jpg</t>
  </si>
  <si>
    <t>D-1527</t>
  </si>
  <si>
    <t>Ручки руля велосипедные (L-12.5см,d-22) (синяя,звезды) (mod.4) "YKX"</t>
  </si>
  <si>
    <t>https://b2beez.ru/images/detailed/157/orig_bqye-ya.jpg</t>
  </si>
  <si>
    <t>D-1646</t>
  </si>
  <si>
    <t>Втулка переднего колеса велосипеда "YKX"</t>
  </si>
  <si>
    <t>https://b2beez.ru/images/detailed/157/6170182220.jpg</t>
  </si>
  <si>
    <t>D-1670</t>
  </si>
  <si>
    <t>Подседельный штырь велосипеда (глагол) (L-150mm, D-25,4mm) (сталь, хром) "YKX"</t>
  </si>
  <si>
    <t>https://b2beez.ru/images/detailed/157/6458311966.jpg</t>
  </si>
  <si>
    <t>D-1718</t>
  </si>
  <si>
    <t>Подшипник велосипедный (mod.06) (40x30x7mm) "YKX"</t>
  </si>
  <si>
    <t>https://b2beez.ru/images/detailed/157/orig_uh8g-cn.jpg</t>
  </si>
  <si>
    <t>D-4342</t>
  </si>
  <si>
    <t>Ручки руля велосипедные резиновые (ободок хром) "DS"</t>
  </si>
  <si>
    <t>https://b2beez.ru/images/detailed/159/6448347579.jpg</t>
  </si>
  <si>
    <t>D-4578</t>
  </si>
  <si>
    <t>Колодки тормозные велосипедные (ободные, универсальные) (под шлиц) (mod.2) "DS"</t>
  </si>
  <si>
    <t>https://b2beez.ru/images/detailed/159/orig_oh99-gi.jpg</t>
  </si>
  <si>
    <t>D-5158</t>
  </si>
  <si>
    <t>Ручки руля велосипедные (L-11.5см,d-22) (желтая,звезды) "YKX"</t>
  </si>
  <si>
    <t>https://b2beez.ru/images/detailed/159/orig_vtw3-yg.jpg</t>
  </si>
  <si>
    <t>D-540</t>
  </si>
  <si>
    <t>Стоп-сигнал (в сборе) велосипедный (универсальный) (2 LED, solar energy, черный) "GJCT"</t>
  </si>
  <si>
    <t>https://b2beez.ru/images/detailed/204/D-540.jpg</t>
  </si>
  <si>
    <t>K-3660</t>
  </si>
  <si>
    <t>Колодки тормозные велосипедные (дисковые) 17х4х24.8 (mod:SBP-1010)</t>
  </si>
  <si>
    <t>https://b2beez.ru/images/detailed/167/orig_1p5h-qq.jpg</t>
  </si>
  <si>
    <t>K-3666</t>
  </si>
  <si>
    <t>Колодки тормозные велосипедные (дисковые) Formula 4Racing B4, 4-piston O2, 2-piston B4 (mod.SBP-1017</t>
  </si>
  <si>
    <t>https://b2beez.ru/images/detailed/167/orig_n8yw-p9.jpg</t>
  </si>
  <si>
    <t>K-3687</t>
  </si>
  <si>
    <t>Колодки тормозные велосипедные (дисковые) Magura Lousise 2007,2008 (mod:SBP-1038) "ANDSON"</t>
  </si>
  <si>
    <t>https://b2beez.ru/images/detailed/167/orig_60ti-s9.jpg</t>
  </si>
  <si>
    <t>K-4402</t>
  </si>
  <si>
    <t>Золотник велосипедный (L-19mm) "DS"</t>
  </si>
  <si>
    <t>https://b2beez.ru/images/detailed/167/orig_desm-bd.jpg</t>
  </si>
  <si>
    <t>R-2165</t>
  </si>
  <si>
    <t>Подшипники рулевой колонки велосипеда (удлиненные, черные) "REKO"</t>
  </si>
  <si>
    <t>https://b2beez.ru/images/detailed/176/6179542582.jpg</t>
  </si>
  <si>
    <t>R-2166</t>
  </si>
  <si>
    <t>Подшипники рулевой колонки велосипеда (удлиненные, зеленые) "REKO"</t>
  </si>
  <si>
    <t>https://b2beez.ru/images/detailed/176/orig_iaob-zu.jpg</t>
  </si>
  <si>
    <t>R-3406</t>
  </si>
  <si>
    <t>Корпус стоп-сигнала велосипедный (универсальный)</t>
  </si>
  <si>
    <t>https://b2beez.ru/images/detailed/177/orig_nful-av.jpg</t>
  </si>
  <si>
    <t>R-3409</t>
  </si>
  <si>
    <t>Сигнал велосипедный с подсветкой (красный, автомобиль) (mod.JY-833) "DS"</t>
  </si>
  <si>
    <t>https://b2beez.ru/images/detailed/177/orig_6pr3-vz.jpg</t>
  </si>
  <si>
    <t>R-3412</t>
  </si>
  <si>
    <t>Сигнал велосипедный с подсветкой круглый (красный, АА*2) (mod.JY-322A) "DS"</t>
  </si>
  <si>
    <t>https://b2beez.ru/images/detailed/177/6183060106.jpg</t>
  </si>
  <si>
    <t>R-3415</t>
  </si>
  <si>
    <t>Сигнал велосипедный с подсветкой Police (красный, АА*2) (mod.JY-2510) "JING YI"</t>
  </si>
  <si>
    <t>https://b2beez.ru/images/detailed/177/orig_yn8k-nn.jpg</t>
  </si>
  <si>
    <t>R-3419</t>
  </si>
  <si>
    <t>Сигнал велосипедный с подсветкой (банан) (черно- красный, 1LED, 8 мелодий, АА*2) (mod.JY-250) "DS"</t>
  </si>
  <si>
    <t>https://b2beez.ru/images/detailed/177/6182299764.jpg</t>
  </si>
  <si>
    <t>R-3437</t>
  </si>
  <si>
    <t>Фонари велосипеда (пара) (перед/зад, LED, 3 режима, цвет желтый) "HL"</t>
  </si>
  <si>
    <t>https://b2beez.ru/images/detailed/177/6458296136.jpg</t>
  </si>
  <si>
    <t>R-3444</t>
  </si>
  <si>
    <t>Зеркало велосипедное (1шт) круглое (черный) (mod.JY-3) "DS"</t>
  </si>
  <si>
    <t>https://b2beez.ru/images/detailed/177/orig_dyw7-6d.jpg</t>
  </si>
  <si>
    <t>V-1633</t>
  </si>
  <si>
    <t>Втулки велосипеда (перед/зад) (алюминий, 36 спиц, под диск, + быстроесъемные эксцентрики) "NUVOLE"</t>
  </si>
  <si>
    <t>https://b2beez.ru/images/detailed/185/orig_ra41-mb.jpg</t>
  </si>
  <si>
    <t>D-4809</t>
  </si>
  <si>
    <t>Ручки руля велосипедные (120mm) (резиновые, мягкие, рис. ёлочка, с синими вставками)</t>
  </si>
  <si>
    <t>https://b2beez.ru/images/detailed/159/7137656415.jpg</t>
  </si>
  <si>
    <t>D-4810</t>
  </si>
  <si>
    <t>Ручки руля велосипедные (120mm) (резиновые, мягкие, рис. ёлочка, с желтыми вставками)</t>
  </si>
  <si>
    <t>https://b2beez.ru/images/detailed/159/7137656022.jpg</t>
  </si>
  <si>
    <t>D-4811</t>
  </si>
  <si>
    <t>Ручки руля велосипедные (120mm) (резиновые, мягкие, рис. ёлочка, с красными вставками)</t>
  </si>
  <si>
    <t>https://b2beez.ru/images/detailed/159/7137655581.jpg</t>
  </si>
  <si>
    <t>V-8374</t>
  </si>
  <si>
    <t>Вилка велосипедная жесткая (24") (зеленая)</t>
  </si>
  <si>
    <t>https://b2beez.ru/images/detailed/187/orig_k1fm-3i.jpg</t>
  </si>
  <si>
    <t>V-5250</t>
  </si>
  <si>
    <t>Вилка велосипедная жесткая (26") (синяя)</t>
  </si>
  <si>
    <t>https://b2beez.ru/images/detailed/187/orig_riw9-zg.jpg</t>
  </si>
  <si>
    <t>V-1440</t>
  </si>
  <si>
    <t>Вилка велосипедная жесткая (26") (черная)</t>
  </si>
  <si>
    <t>https://b2beez.ru/images/detailed/185/orig_vkce-il.jpg</t>
  </si>
  <si>
    <t>V-9828</t>
  </si>
  <si>
    <t>Вилка велосипедная жесткая (26") (зеленая)</t>
  </si>
  <si>
    <t>https://b2beez.ru/images/detailed/187/orig_5x45-s8.jpg</t>
  </si>
  <si>
    <t>V-0210</t>
  </si>
  <si>
    <t>Вилка велосипедная жесткая (c креплением V-brake, 20) (черная)</t>
  </si>
  <si>
    <t>https://b2beez.ru/images/detailed/184/orig_7ir9-jr.jpg</t>
  </si>
  <si>
    <t>V-0930</t>
  </si>
  <si>
    <t>Вилка велосипедная жесткая (c креплением V-brake, 20) (зеленая)</t>
  </si>
  <si>
    <t>https://b2beez.ru/images/detailed/184/orig_xhhg-n5.jpg</t>
  </si>
  <si>
    <t>V-6046</t>
  </si>
  <si>
    <t>Вилка велосипедная жесткая (c креплением V-brake, 24) (синяя)</t>
  </si>
  <si>
    <t>https://b2beez.ru/images/detailed/187/orig_wwh5-mw.jpg</t>
  </si>
  <si>
    <t>V-6583</t>
  </si>
  <si>
    <t>Вилка велосипедная жесткая (c креплением V-brake, 24) (черная)</t>
  </si>
  <si>
    <t>https://b2beez.ru/images/detailed/187/orig_d6ef-ja.jpg</t>
  </si>
  <si>
    <t>V-0062</t>
  </si>
  <si>
    <t>Вилка велосипедная жесткая (c креплением V-brake, 24) (зеленая)</t>
  </si>
  <si>
    <t>https://b2beez.ru/images/detailed/184/orig_nm1h-f3.jpg</t>
  </si>
  <si>
    <t>V-8945</t>
  </si>
  <si>
    <t>Вилка велосипедная жесткая (c креплением V-brake, 24) (красная)</t>
  </si>
  <si>
    <t>https://b2beez.ru/images/detailed/187/orig_y2cs-ob.jpg</t>
  </si>
  <si>
    <t>V-8597</t>
  </si>
  <si>
    <t>Вилка велосипедная жесткая (c креплением V-brake, 24) (серая)</t>
  </si>
  <si>
    <t>https://b2beez.ru/images/detailed/187/orig_n3s5-vg.jpg</t>
  </si>
  <si>
    <t>V-8104</t>
  </si>
  <si>
    <t>Вилка велосипедная жесткая (c креплением V-brake, 26) (серая)</t>
  </si>
  <si>
    <t>https://b2beez.ru/images/detailed/187/orig_68ei-9l.jpg</t>
  </si>
  <si>
    <t>V-8851</t>
  </si>
  <si>
    <t>Вилка велосипедная жесткая (c креплением V-brake, 28) (синяя)</t>
  </si>
  <si>
    <t>https://b2beez.ru/images/detailed/187/orig_wixp-mb.jpg</t>
  </si>
  <si>
    <t>V-1092</t>
  </si>
  <si>
    <t>Вилка велосипедная жесткая (c креплением V-brake, 28) (черная)</t>
  </si>
  <si>
    <t>https://b2beez.ru/images/detailed/184/orig_eiqc-sb.jpg</t>
  </si>
  <si>
    <t>V-9982</t>
  </si>
  <si>
    <t>Вилка велосипедная жесткая (c креплением V-brake, 28) (зеленая)</t>
  </si>
  <si>
    <t>https://b2beez.ru/images/detailed/187/orig_ttu6-1n.jpg</t>
  </si>
  <si>
    <t>V-2938</t>
  </si>
  <si>
    <t>Вилка велосипедная жесткая (c креплением V-brake, 28) (красная)</t>
  </si>
  <si>
    <t>https://b2beez.ru/images/detailed/187/orig_wj38-l8.jpg</t>
  </si>
  <si>
    <t>V-5186</t>
  </si>
  <si>
    <t>Вилка велосипедная жесткая (c креплением V-brake, 28) (серая)</t>
  </si>
  <si>
    <t>https://b2beez.ru/images/detailed/187/orig_z0si-q1.jpg</t>
  </si>
  <si>
    <t>V-4563</t>
  </si>
  <si>
    <t>Вилка велосипедная жесткая (c креплением V-brake, 20) (серая)</t>
  </si>
  <si>
    <t>https://b2beez.ru/images/detailed/187/orig_xxsh-xq.jpg</t>
  </si>
  <si>
    <t>D-1551</t>
  </si>
  <si>
    <t>Велосипедная фляга (500ml) (алюминиевая, зеленая)  "YKX"</t>
  </si>
  <si>
    <t>https://b2beez.ru/images/detailed/157/6318374937.jpg</t>
  </si>
  <si>
    <t>D-5225</t>
  </si>
  <si>
    <t>Багажник велосипедный задний (24-28") "Topeak"</t>
  </si>
  <si>
    <t>https://b2beez.ru/images/detailed/159/orig_mb68-cw.jpg</t>
  </si>
  <si>
    <t>D-5226</t>
  </si>
  <si>
    <t>Багажник велосипедный задний (24-28") "AUTHOR"</t>
  </si>
  <si>
    <t>https://b2beez.ru/images/detailed/159/orig_9ap1-hk.jpg</t>
  </si>
  <si>
    <t>D-5227</t>
  </si>
  <si>
    <t>Багажник велосипедный задний (24-28") "Carrier"</t>
  </si>
  <si>
    <t>https://b2beez.ru/images/detailed/159/orig_t36s-0k.jpg</t>
  </si>
  <si>
    <t>D-2178</t>
  </si>
  <si>
    <t>Вилка велосипедная жесткая (c креплением V-brake, 22") (красная) "DS"</t>
  </si>
  <si>
    <t>https://b2beez.ru/images/detailed/157/6170136071.jpg</t>
  </si>
  <si>
    <t>D-4844</t>
  </si>
  <si>
    <t>Зеркало велосипедное (1шт) круглое (черное, с хомутом, 360 градусов) "BERR"</t>
  </si>
  <si>
    <t>https://b2beez.ru/images/detailed/159/orig_r6fr-2i.jpg</t>
  </si>
  <si>
    <t>F-5105</t>
  </si>
  <si>
    <t>Фонарь передний (в сборе) велосипедный (1 диод с увиличением, 3-режима)+крепление на руль "BEEZMOTO"</t>
  </si>
  <si>
    <t>https://b2beez.ru/images/detailed/160/orig_6bj4-sa.jpg</t>
  </si>
  <si>
    <t>D-1530</t>
  </si>
  <si>
    <t>Ручки руля велосипедные (130mm) (резиновые, торцевые заглушки, черные) "BEEZMOTO"</t>
  </si>
  <si>
    <t>https://b2beez.ru/images/detailed/157/orig_i1vq-tm.jpg</t>
  </si>
  <si>
    <t>D-1798</t>
  </si>
  <si>
    <t>Ручки руля велосипедные (120mm) (анатомические, краные) "BEEZMOTO"</t>
  </si>
  <si>
    <t>https://b2beez.ru/images/detailed/157/6458319351.jpg</t>
  </si>
  <si>
    <t>D-1799</t>
  </si>
  <si>
    <t>Ручки руля велосипедные (120mm) (анатомические, синие) "BEEZMOTO"</t>
  </si>
  <si>
    <t>https://b2beez.ru/images/detailed/205/1_7p36-vo.jpg</t>
  </si>
  <si>
    <t>D-1899</t>
  </si>
  <si>
    <t>Ручки руля велосипедные (120mm) (резиновые, красные)</t>
  </si>
  <si>
    <t>https://b2beez.ru/images/detailed/157/orig_g3yl-9k.jpg</t>
  </si>
  <si>
    <t>D-4000</t>
  </si>
  <si>
    <t>Седло велосипедное (210x260mm, металл. основа, хром. пружины, черное) "BEEZMOTO"</t>
  </si>
  <si>
    <t>https://b2beez.ru/images/detailed/159/orig_ypxm-ih.jpg</t>
  </si>
  <si>
    <t>D-1487</t>
  </si>
  <si>
    <t>Крылья велосипедные (пластик, спортивные, синие вставки)</t>
  </si>
  <si>
    <t>https://b2beez.ru/images/detailed/157/6458297314.jpg</t>
  </si>
  <si>
    <t>D-1488</t>
  </si>
  <si>
    <t>Крылья велосипедные (пластик, спортивные, черные вставки)</t>
  </si>
  <si>
    <t>https://b2beez.ru/images/detailed/157/6187438460.jpg</t>
  </si>
  <si>
    <t>S-1366</t>
  </si>
  <si>
    <t>Седло велосипедное (детское) 23" (235x150mm, красно-черный) "RUBICK"</t>
  </si>
  <si>
    <t>https://b2beez.ru/images/detailed/178/6423081194.jpg</t>
  </si>
  <si>
    <t>S-1369</t>
  </si>
  <si>
    <t>Седло велосипедное (детское) 23" (140x190мм, чёрно-розовый) "SPORT" mod.2</t>
  </si>
  <si>
    <t>https://b2beez.ru/images/detailed/178/6423081206.jpg</t>
  </si>
  <si>
    <t>S-1368</t>
  </si>
  <si>
    <t>Седло велосипедное (детское) 23" (140x190мм, чёрный) "SPORT" mod.1</t>
  </si>
  <si>
    <t>https://b2beez.ru/images/detailed/178/6423081282.jpg</t>
  </si>
  <si>
    <t>P-4353</t>
  </si>
  <si>
    <t>Покрышка для велосипеда (24"х1,95) Н-5113 "BEEZMOTO"</t>
  </si>
  <si>
    <t>https://b2beez.ru/images/detailed/173/7056271940.jpg</t>
  </si>
  <si>
    <t>D-1451-U1</t>
  </si>
  <si>
    <t>Вилка велосипедная жесткая (c креплением V-brake, 26") (темно-красная) "DS" (повреждения лкп)</t>
  </si>
  <si>
    <t>R-7761</t>
  </si>
  <si>
    <t>Сумка велосипедная на раму (перекидная) (черно-красная) VINCA SPORT</t>
  </si>
  <si>
    <t>https://b2beez.ru/images/detailed/178/orig_pqs8-3o.jpg</t>
  </si>
  <si>
    <t>R-3455</t>
  </si>
  <si>
    <t>Сумка велосипедная на раму (перекидная) ( зелено-черная ) "VINCA SPORT"</t>
  </si>
  <si>
    <t>https://b2beez.ru/images/detailed/177/6166084045.jpg</t>
  </si>
  <si>
    <t>D-1520</t>
  </si>
  <si>
    <t>Ручки руля велосипедные (L-12.5см,d-22) (красная) (mod.2) "YKX"</t>
  </si>
  <si>
    <t>https://b2beez.ru/images/detailed/157/orig_zqoh-gu.jpg</t>
  </si>
  <si>
    <t>D-4504</t>
  </si>
  <si>
    <t>Втулка заднего колеса велосипеда (36 спиц, под диск, трещотка) "YKX" (mod.A)</t>
  </si>
  <si>
    <t>https://b2beez.ru/images/detailed/159/6170182252.jpg</t>
  </si>
  <si>
    <t>Для мотоблоков и генераторов</t>
  </si>
  <si>
    <t>D-2845</t>
  </si>
  <si>
    <t>Головка цилиндра мотоблока 180N (9Hp) (в сборе, под поршень с выборкой) "XING"</t>
  </si>
  <si>
    <t>https://b2beez.ru/images/detailed/90/6144150555.jpg</t>
  </si>
  <si>
    <t>Двигатель (в сборе)</t>
  </si>
  <si>
    <t>На мотоблоки и генераторы</t>
  </si>
  <si>
    <t>D-2844</t>
  </si>
  <si>
    <t>Головка цилиндра мотоблока 175N (7Hp)  (в сборе) "XING"</t>
  </si>
  <si>
    <t>https://b2beez.ru/images/detailed/158/6144150555.jpg</t>
  </si>
  <si>
    <t>D-2835</t>
  </si>
  <si>
    <t>Поршень мотоблока 180N (9Hp) .STD (Ø80,00) "XING"</t>
  </si>
  <si>
    <t>https://b2beez.ru/images/detailed/158/orig_r70g-f0.jpg</t>
  </si>
  <si>
    <t>D-1453</t>
  </si>
  <si>
    <t>Клапаны (в сборе) мотоблока 168F/170F (6,5/7Hp)(D-25, d-24, H-64) "BEEZMOTO"</t>
  </si>
  <si>
    <t>https://b2beez.ru/images/detailed/157/6991607505.jpg</t>
  </si>
  <si>
    <t>D-2853</t>
  </si>
  <si>
    <t>Кольца поршневые мотоблока 180N (9Hp) .STD (Ø80,00) "FAYN"</t>
  </si>
  <si>
    <t>https://b2beez.ru/images/detailed/158/orig_pcpu-b3.jpg</t>
  </si>
  <si>
    <t>R-9086</t>
  </si>
  <si>
    <t>Реле-регулятор напряжения мотоблока 175N/180N (7/9Hp) "AFH"</t>
  </si>
  <si>
    <t>https://b2beez.ru/images/detailed/178/orig_ytsk-1c.jpg</t>
  </si>
  <si>
    <t>R-6576</t>
  </si>
  <si>
    <t>Реле-регулятор напряжения мотоблока 190N/195N (12/15Hp) "AFH"</t>
  </si>
  <si>
    <t>https://b2beez.ru/images/detailed/177/orig_n8bu-46.jpg</t>
  </si>
  <si>
    <t>D-2888</t>
  </si>
  <si>
    <t>Распылитель форснуки мотоблока 180N (9Hp) "XING"</t>
  </si>
  <si>
    <t>https://b2beez.ru/images/detailed/158/6144150952_6ev7-z8.jpg</t>
  </si>
  <si>
    <t>D-6129</t>
  </si>
  <si>
    <t>Вал коромысел мотоблока 178F (6Hp) ST</t>
  </si>
  <si>
    <t>https://b2beez.ru/images/detailed/159/orig_n7dp-0y.jpg</t>
  </si>
  <si>
    <t>D-6259</t>
  </si>
  <si>
    <t>Крышка блока двигателя мотоблока 190N/195N (12/15Hp) "DIGGER"</t>
  </si>
  <si>
    <t>D-5385</t>
  </si>
  <si>
    <t>Прокладки двигателя (набор) мотоблока 168F/170F (6,5/7Hp) "GASKET"</t>
  </si>
  <si>
    <t>https://b2beez.ru/images/detailed/159/orig_qjgj-65.jpg</t>
  </si>
  <si>
    <t>D-959</t>
  </si>
  <si>
    <t>Рычаг вилки дифференциала мотоблока 190N/195N (12/15Hp) "DIGGER"</t>
  </si>
  <si>
    <t>https://b2beez.ru/images/detailed/160/6144151047.jpg</t>
  </si>
  <si>
    <t>D-6265</t>
  </si>
  <si>
    <t>Трубка масляная мотоблока 190N/195N (12/15Hp) ST</t>
  </si>
  <si>
    <t>D-6124</t>
  </si>
  <si>
    <t>Элемент воздушного фильтра мотоблока 182F/188F/190F (GX340, GX390) (11/15Hp) "SUNDY"</t>
  </si>
  <si>
    <t>https://b2beez.ru/images/detailed/159/orig_0ybk-1b.jpg</t>
  </si>
  <si>
    <t>B-482-U1</t>
  </si>
  <si>
    <t>Маховик бензогенератора ET-950 (алюминиевый) JIANTAI (Скол)</t>
  </si>
  <si>
    <t>D-2889</t>
  </si>
  <si>
    <t>Элемент воздушного фильтра бумажный мотоблока 175N/180N/190N (7/9Hp) "SUNDY"</t>
  </si>
  <si>
    <t>https://b2beez.ru/images/detailed/158/orig_cq0h-7i.jpg</t>
  </si>
  <si>
    <t>D-574-U1</t>
  </si>
  <si>
    <t>Поршень мотоблока 168F (6,5Hp) 0,25 (Ø68,25 p-18) "DIGGER" (Не комплект)</t>
  </si>
  <si>
    <t>D-905-U1</t>
  </si>
  <si>
    <t>Рычаг заводной мотоблока 190N/195N (12/15Hp) "DIGGER" (mod:B) (трещина на ручке)</t>
  </si>
  <si>
    <t>D-5392</t>
  </si>
  <si>
    <t>Привод дроссельной заслонки мотоблока 168F/170F (6,5/7 Hp) (+направляющая пластина) "BEEZMOTO"</t>
  </si>
  <si>
    <t>https://b2beez.ru/images/detailed/159/6689546296.jpg</t>
  </si>
  <si>
    <t>D-2931</t>
  </si>
  <si>
    <t>Прокладки двигателя (набор) мотоблока  175N/180N  (7/9Hp)  "XING"</t>
  </si>
  <si>
    <t>https://b2beez.ru/images/detailed/158/6144150878.jpg</t>
  </si>
  <si>
    <t>D-786-U1</t>
  </si>
  <si>
    <t>Поршень мотоблока 180N (9Hp) .STD (Ø80,00) "DIGGER" (Не комплект)</t>
  </si>
  <si>
    <t>R-2016</t>
  </si>
  <si>
    <t>Ремень мотоблока B1120 (1120*17mm) "DIESEL"</t>
  </si>
  <si>
    <t>https://b2beez.ru/images/detailed/176/orig_qerd-0q.jpg</t>
  </si>
  <si>
    <t>D-2843</t>
  </si>
  <si>
    <t>Блок двигателя мотоблока 180N (9Hp) (Ø80,00) "XING"</t>
  </si>
  <si>
    <t>D-2932</t>
  </si>
  <si>
    <t>Прокладки двигателя (набор) мотоблока 175N/180N (7/9 Hp) "XING" (под длиную крышку)</t>
  </si>
  <si>
    <t>https://b2beez.ru/images/detailed/158/6144150901.jpg</t>
  </si>
  <si>
    <t>D-2913</t>
  </si>
  <si>
    <t>Прокладка выпускного колектора мотоблока 175/180N (7/9Hp) "XING"</t>
  </si>
  <si>
    <t>https://b2beez.ru/images/detailed/158/6144150816.jpg</t>
  </si>
  <si>
    <t>D-2911</t>
  </si>
  <si>
    <t>Балансир коленвала мотоблока 180N (9Hp) "XING"</t>
  </si>
  <si>
    <t>https://b2beez.ru/images/detailed/158/6144150470.jpg</t>
  </si>
  <si>
    <t>D-2840</t>
  </si>
  <si>
    <t>Гильза мотоблока 175N (7Hp, Ø75.00) (H-143mm, D-93, D-83mm) "XING"</t>
  </si>
  <si>
    <t>https://b2beez.ru/images/detailed/158/orig_4ebs-zo.jpg</t>
  </si>
  <si>
    <t>D-2827</t>
  </si>
  <si>
    <t>Вал коромысла мотоблока 175N/180N (7/9Hp) "XING"</t>
  </si>
  <si>
    <t>https://b2beez.ru/images/detailed/158/orig_orwy-ow.jpg</t>
  </si>
  <si>
    <t>D-2910</t>
  </si>
  <si>
    <t>Балансир коленвала мотоблока 175N (7Hp) "XING"</t>
  </si>
  <si>
    <t>https://b2beez.ru/images/detailed/158/orig_dcvs-25.jpg</t>
  </si>
  <si>
    <t>B-458</t>
  </si>
  <si>
    <t>Головка цилиндра бензогенератора ET-950 "JIANTAI"</t>
  </si>
  <si>
    <t>https://b2beez.ru/images/detailed/154/6144150557.jpg</t>
  </si>
  <si>
    <t>B-462</t>
  </si>
  <si>
    <t>Крышка бака топливного бензогенератора ET-950 "JIANTAI"</t>
  </si>
  <si>
    <t>https://b2beez.ru/images/detailed/154/6144150671.jpg</t>
  </si>
  <si>
    <t>B-465</t>
  </si>
  <si>
    <t>Фильтр топливный бензогенератора ET-950 "MO ZHI FU"</t>
  </si>
  <si>
    <t>https://b2beez.ru/images/detailed/154/orig_lcq4-2w.jpg</t>
  </si>
  <si>
    <t>B-476</t>
  </si>
  <si>
    <t>Выключатель бензогенератора (12V, 5A) ET-950 "JIANTAI"</t>
  </si>
  <si>
    <t>https://b2beez.ru/images/detailed/154/6144150568.jpg</t>
  </si>
  <si>
    <t>B-479</t>
  </si>
  <si>
    <t>Прокладки двигателя (набор) бензогенератора ET-950 "JIANTAI"</t>
  </si>
  <si>
    <t>https://b2beez.ru/images/detailed/154/6144150897.jpg</t>
  </si>
  <si>
    <t>B-481</t>
  </si>
  <si>
    <t>Сепараторбензогенератора ET-950 (14*10*13) "JIANTAI"</t>
  </si>
  <si>
    <t>https://b2beez.ru/images/detailed/154/6144637071.jpg</t>
  </si>
  <si>
    <t>B-486</t>
  </si>
  <si>
    <t>Собачка катушки стартера бензогенератора ET-950 "JIANTAI"</t>
  </si>
  <si>
    <t>https://b2beez.ru/images/detailed/154/6144150963.jpg</t>
  </si>
  <si>
    <t>B-487</t>
  </si>
  <si>
    <t>Пружина стартера бензогенератора ET-950 "JIANTAI"</t>
  </si>
  <si>
    <t>https://b2beez.ru/images/detailed/154/6144150910.jpg</t>
  </si>
  <si>
    <t>B-490</t>
  </si>
  <si>
    <t>Индикатор перегрузки бензогенератора ET-950 "MO ZHI FU"</t>
  </si>
  <si>
    <t>https://b2beez.ru/images/detailed/154/orig_cu8t-s6.jpg</t>
  </si>
  <si>
    <t>B-492</t>
  </si>
  <si>
    <t>Крыльчатка охлаждения бензогенератора ET-950 "JIANTAI"</t>
  </si>
  <si>
    <t>https://b2beez.ru/images/detailed/154/6144150758.jpg</t>
  </si>
  <si>
    <t>B-496</t>
  </si>
  <si>
    <t>Центробежный контакт бензогенератора ET-950 "JIANTAI"</t>
  </si>
  <si>
    <t>https://b2beez.ru/images/detailed/154/6144151142.jpg</t>
  </si>
  <si>
    <t>B-498</t>
  </si>
  <si>
    <t>Шпилька бензогенератора ET-950 (6*113mm x 10шт) "BEEZMOTO"</t>
  </si>
  <si>
    <t>https://b2beez.ru/images/detailed/154/orig_6miv-kh.jpg</t>
  </si>
  <si>
    <t>B-500</t>
  </si>
  <si>
    <t>Болт бензогенератора ET-950 (6*25mm) "JIANTAI" (50шт)</t>
  </si>
  <si>
    <t>https://b2beez.ru/images/detailed/154/orig_7b57-w7.jpg</t>
  </si>
  <si>
    <t>B-501</t>
  </si>
  <si>
    <t>Болт бензогенератора ET-950 (4*10mm) "JIANTAI" (50шт)</t>
  </si>
  <si>
    <t>https://b2beez.ru/images/detailed/154/6459834172.jpg</t>
  </si>
  <si>
    <t>B-502</t>
  </si>
  <si>
    <t>Болт бензогенератора ET-950 (6*80mm) "JIANTAI" (10шт)</t>
  </si>
  <si>
    <t>https://b2beez.ru/images/detailed/154/6148420818.jpg</t>
  </si>
  <si>
    <t>B-504</t>
  </si>
  <si>
    <t>Болт бензогенератора ET-950 (4*13mm) "JIANTAI" (50шт)</t>
  </si>
  <si>
    <t>https://b2beez.ru/images/detailed/154/6459834890.jpg</t>
  </si>
  <si>
    <t>B-505</t>
  </si>
  <si>
    <t>Болт бензогенератора ET-950 (6*16mm) "JIANTAI" (50шт)</t>
  </si>
  <si>
    <t>https://b2beez.ru/images/detailed/154/6459837390.jpg</t>
  </si>
  <si>
    <t>B-506</t>
  </si>
  <si>
    <t>Болт бензогенератора ET-950 (6*12mm) "JIANTAI" (50шт)</t>
  </si>
  <si>
    <t>https://b2beez.ru/images/detailed/154/6459836863.jpg</t>
  </si>
  <si>
    <t>B-508</t>
  </si>
  <si>
    <t>Болт бензогенератора ET-950 (3*8mm) "JIANTAI" (50шт)</t>
  </si>
  <si>
    <t>https://b2beez.ru/images/detailed/154/orig_ztsw-bm.jpg</t>
  </si>
  <si>
    <t>B-515</t>
  </si>
  <si>
    <t>Щетки бензогенератора (1,9-3 кВт) (текстолитовый корпус) "JIANTAI"</t>
  </si>
  <si>
    <t>https://b2beez.ru/images/detailed/154/orig_axgf-g0.jpg</t>
  </si>
  <si>
    <t>B-578</t>
  </si>
  <si>
    <t>Ремкомплект регулятор оборотов бензогенератора ET-950 "JIANTAI"</t>
  </si>
  <si>
    <t>https://b2beez.ru/images/detailed/154/6144150923.jpg</t>
  </si>
  <si>
    <t>D-1023</t>
  </si>
  <si>
    <t>Карбюратор мотоблока 168F/170F (6,5/7Hp) (с газовым редуктором) "BEEZMOTO"</t>
  </si>
  <si>
    <t>https://b2beez.ru/images/detailed/157/orig_abad-l3.jpg</t>
  </si>
  <si>
    <t>D-1058</t>
  </si>
  <si>
    <t>Поршень мотоблока 175N (7Hp) .STD (Ø75,00) (с выборкой под клапана) "DIGGER"</t>
  </si>
  <si>
    <t>https://b2beez.ru/images/detailed/157/orig_f43w-qv.jpg</t>
  </si>
  <si>
    <t>D-1059</t>
  </si>
  <si>
    <t>Поршень мотоблока 175N (7Hp) 0,25 (Ø75,25) (с выборкой под клапана) "DIGGER"</t>
  </si>
  <si>
    <t>https://b2beez.ru/images/detailed/157/orig_lkp5-s5.jpg</t>
  </si>
  <si>
    <t>D-1060</t>
  </si>
  <si>
    <t>Поршень мотоблока 175N (7Hp) 0,50 (Ø75,50) (с выборкой под клапана) "MO ZHI FU"</t>
  </si>
  <si>
    <t>https://b2beez.ru/images/detailed/157/orig_x1o8-e2.jpg</t>
  </si>
  <si>
    <t>D-1062</t>
  </si>
  <si>
    <t>Поршень мотоблока 180N (9Hp) 0,25 (Ø80,25) (голый, с цековками под клапана) "MO ZHI FU"</t>
  </si>
  <si>
    <t>https://b2beez.ru/images/detailed/157/orig_gu0d-le.jpg</t>
  </si>
  <si>
    <t>D-1063</t>
  </si>
  <si>
    <t>Поршень мотоблока 180N (9Hp) 0,50 (Ø80,50) (с выборкой под клапана) "DIGGER"</t>
  </si>
  <si>
    <t>https://b2beez.ru/images/detailed/157/orig_4qkq-wa.jpg</t>
  </si>
  <si>
    <t>D-1069</t>
  </si>
  <si>
    <t>Шестерня регулятора оборотов мотоблока 154F (6,5Hp)</t>
  </si>
  <si>
    <t>https://b2beez.ru/images/detailed/157/orig_lniw-tx.jpg</t>
  </si>
  <si>
    <t>D-1072</t>
  </si>
  <si>
    <t>Шестерня регулятора оборотов мотоблока 178F/186F(6/9Hp) (F-301)</t>
  </si>
  <si>
    <t>https://b2beez.ru/images/detailed/157/6144151085_5hp3-pk.jpg</t>
  </si>
  <si>
    <t>D-1135</t>
  </si>
  <si>
    <t>Головка цилиндра мотоблока 175N (7Hp) (в сборе) "DIGGER"</t>
  </si>
  <si>
    <t>https://b2beez.ru/images/detailed/157/orig_ebik-pi.jpg</t>
  </si>
  <si>
    <t>D-1149</t>
  </si>
  <si>
    <t>Крышка бака топливного мотоблока 175N/180N (7/9Hp) (с сеткой под выступающую горловину) "MO ZHI FU"</t>
  </si>
  <si>
    <t>https://b2beez.ru/images/detailed/157/orig_hg8a-ei.jpg</t>
  </si>
  <si>
    <t>D-1186</t>
  </si>
  <si>
    <t>Цепь редуктора фрезы мотоблока 175N/180N (7/9Hp) "DIGGER"</t>
  </si>
  <si>
    <t>https://b2beez.ru/images/detailed/157/6144151100.jpg</t>
  </si>
  <si>
    <t>D-1188</t>
  </si>
  <si>
    <t>Натяжитель цепи редуктора мотоблока 175N/180N (7/9Hp) "MO ZHI FU"</t>
  </si>
  <si>
    <t>https://b2beez.ru/images/detailed/157/orig_citn-j2.jpg</t>
  </si>
  <si>
    <t>D-1189</t>
  </si>
  <si>
    <t>Прокладки двигателя (набор) мотоблока 180N (9Hp) "DIGGER"</t>
  </si>
  <si>
    <t>https://b2beez.ru/images/detailed/157/orig_p45c-kp.jpg</t>
  </si>
  <si>
    <t>D-1203</t>
  </si>
  <si>
    <t>Щуп масляный двигателя мотоблока 175N/180N (7/9Hp) (плоский) "MO ZHI FU"</t>
  </si>
  <si>
    <t>https://b2beez.ru/images/detailed/157/orig_d0pc-3c.jpg</t>
  </si>
  <si>
    <t>D-1204</t>
  </si>
  <si>
    <t>Крыльчатка электровентилятора мотоблока 175N/180N (7/9Hp) "MO ZHI FU"</t>
  </si>
  <si>
    <t>https://b2beez.ru/images/detailed/157/orig_8sax-xh.jpg</t>
  </si>
  <si>
    <t>D-1208</t>
  </si>
  <si>
    <t>Щетки стартера мотоблока 175N/180N (7/9Hp) "MO ZHI FU"</t>
  </si>
  <si>
    <t>https://b2beez.ru/images/detailed/157/orig_5bn6-yz.jpg</t>
  </si>
  <si>
    <t>D-1214</t>
  </si>
  <si>
    <t>Сальник редуктора фрезы мотоблока 180N (9Hp) (40*70*12) "MO ZHI FU"</t>
  </si>
  <si>
    <t>https://b2beez.ru/images/detailed/157/orig_vcjh-w9.jpg</t>
  </si>
  <si>
    <t>D-1226</t>
  </si>
  <si>
    <t>Шток КПП мотоблока 175N/180N (7/9Hp) "DIGGER" (L-235mm)</t>
  </si>
  <si>
    <t>https://b2beez.ru/images/detailed/157/6144151111.jpg</t>
  </si>
  <si>
    <t>D-1227</t>
  </si>
  <si>
    <t>Шток КПП мотоблока 175N/180N (7/9Hp) "DIGGER" (L-315mm)</t>
  </si>
  <si>
    <t>https://b2beez.ru/images/detailed/157/orig_21m2-9c.jpg</t>
  </si>
  <si>
    <t>D-1246</t>
  </si>
  <si>
    <t>Патрон рычага выжимного подшипника мотоблока 175N/180N (d-31 D-36, 7/9Hp) (mod.101-2) "MO ZHI FU"</t>
  </si>
  <si>
    <t>https://b2beez.ru/images/detailed/157/orig_oleh-5s.jpg</t>
  </si>
  <si>
    <t>D-1254</t>
  </si>
  <si>
    <t>Блок двигателя мотоблока 175N (7Hp) (Ø75,00) "DIGGER"</t>
  </si>
  <si>
    <t>https://b2beez.ru/images/detailed/204/D-1254.jpg</t>
  </si>
  <si>
    <t>D-1258</t>
  </si>
  <si>
    <t>Сальники двигателя (набор, 4шт) мотоблока 180N (9Hp) (40*70*8, 45*62*12, 20*40*8, 30*45*8) "MO ZHI FU"</t>
  </si>
  <si>
    <t>https://b2beez.ru/images/detailed/157/orig_f2hr-hi.jpg</t>
  </si>
  <si>
    <t>D-1260</t>
  </si>
  <si>
    <t>Сальники двигателя (набор, 6шт) мотоблока 180N/190N (40*70*12 x2, 20*40*8 x2, 30*45*7 x2) "MO ZHI FU"</t>
  </si>
  <si>
    <t>https://b2beez.ru/images/detailed/157/orig_qudg-oy.jpg</t>
  </si>
  <si>
    <t>D-1819</t>
  </si>
  <si>
    <t>Датчик давления масла мотоблока 168F/170F (6,5/7Hp) "ZS"</t>
  </si>
  <si>
    <t>https://b2beez.ru/images/detailed/157/orig_4qij-wj.jpg</t>
  </si>
  <si>
    <t>D-1830</t>
  </si>
  <si>
    <t>Крыльчатка охлаждения мотоблока 168F/170F (6,5/7Hp) "BEEZMOTO"</t>
  </si>
  <si>
    <t>https://b2beez.ru/images/detailed/157/orig_4qcr-d0.jpg</t>
  </si>
  <si>
    <t>D-1831</t>
  </si>
  <si>
    <t>Крышка бака топливного мотоблока 168F/170F (6,5/7Hp) (низкая, хромированная) "BEEZMOTO"</t>
  </si>
  <si>
    <t>https://b2beez.ru/images/detailed/157/orig_zng8-ij.jpg</t>
  </si>
  <si>
    <t>D-1848</t>
  </si>
  <si>
    <t>Шкив стартера мотоблока 168F/170F (6,5/7Hp) "ZS"</t>
  </si>
  <si>
    <t>https://b2beez.ru/images/detailed/157/orig_zbll-66.jpg</t>
  </si>
  <si>
    <t>D-1862</t>
  </si>
  <si>
    <t>Прокладка крышки головки цилиндра мотоблока 177F (9 Hp) "ZS"</t>
  </si>
  <si>
    <t>https://b2beez.ru/images/detailed/157/6144150874.jpg</t>
  </si>
  <si>
    <t>D-1884</t>
  </si>
  <si>
    <t>Поршень мотоблока 188F (13Hp) .STD (Ø88,00) "PISTON"</t>
  </si>
  <si>
    <t>https://b2beez.ru/images/detailed/157/orig_mbrk-u5.jpg</t>
  </si>
  <si>
    <t>D-1905</t>
  </si>
  <si>
    <t>Кольца поршневые мотоблока 177F (9Hp) 0,25 (Ø77,25) "ZS"</t>
  </si>
  <si>
    <t>https://b2beez.ru/images/detailed/157/6144150702_49z0-a8.jpg</t>
  </si>
  <si>
    <t>D-1906</t>
  </si>
  <si>
    <t>Кольца поршневые мотоблока 177F (9Hp) 0,50 (Ø77,50) "ZS"</t>
  </si>
  <si>
    <t>https://b2beez.ru/images/detailed/157/orig_f6hb-mp.jpg</t>
  </si>
  <si>
    <t>D-2247</t>
  </si>
  <si>
    <t>Коленвал мотоблока 186F (6/9Hp) "ZUNA"</t>
  </si>
  <si>
    <t>https://b2beez.ru/images/detailed/157/6144150617.jpg</t>
  </si>
  <si>
    <t>D-2249</t>
  </si>
  <si>
    <t>Коленвал мотоблока 186F (9Hp) (голый) "MO ZHI FU"</t>
  </si>
  <si>
    <t>https://b2beez.ru/images/detailed/157/orig_tlc4-up.jpg</t>
  </si>
  <si>
    <t>D-2253</t>
  </si>
  <si>
    <t>Кольца поршневые мотоблока 168F (6,5Hp) .STD (Ø 68,00) "GP"</t>
  </si>
  <si>
    <t>https://b2beez.ru/images/detailed/157/orig_h681-hz.jpg</t>
  </si>
  <si>
    <t>D-2333</t>
  </si>
  <si>
    <t>Втулка коленвала мотоблока 178F (6Hp) "DIGGER" mod B</t>
  </si>
  <si>
    <t>https://b2beez.ru/images/detailed/158/orig_lou0-fq.jpg</t>
  </si>
  <si>
    <t>D-2339</t>
  </si>
  <si>
    <t>Втулка выжимного подшипника КПП мотоблока 178F/186F (6/9Hp) "MO ZHI FU"</t>
  </si>
  <si>
    <t>https://b2beez.ru/images/detailed/158/orig_qsb6-23.jpg</t>
  </si>
  <si>
    <t>D-2351</t>
  </si>
  <si>
    <t>Прокладка топливного насоса мотоблока 178F/186F (6/9Hp) "DIGGER"</t>
  </si>
  <si>
    <t>https://b2beez.ru/images/detailed/158/orig_j7zt-ku.jpg</t>
  </si>
  <si>
    <t>D-2352</t>
  </si>
  <si>
    <t>Прокладка выпускного колектора мотоблока 186F (9Hp) "MO ZHI FU"</t>
  </si>
  <si>
    <t>https://b2beez.ru/images/detailed/158/orig_7pb0-qy.jpg</t>
  </si>
  <si>
    <t>D-2354</t>
  </si>
  <si>
    <t>Клапаны (в сборе) мотоблока 178F (6Hp) "DIGGER"</t>
  </si>
  <si>
    <t>https://b2beez.ru/images/detailed/158/orig_t7sp-1w.jpg</t>
  </si>
  <si>
    <t>D-2367</t>
  </si>
  <si>
    <t>Шкив стартера мотоблока 178F (6Hp) "MO ZHI FU"</t>
  </si>
  <si>
    <t>https://b2beez.ru/images/detailed/158/orig_mkb1-gi.jpg</t>
  </si>
  <si>
    <t>D-2368</t>
  </si>
  <si>
    <t>Впускной коллектор мотоблока 178F (большой) "MO ZHI FU"</t>
  </si>
  <si>
    <t>https://b2beez.ru/images/detailed/158/orig_gv66-p9.jpg</t>
  </si>
  <si>
    <t>D-2370</t>
  </si>
  <si>
    <t>Впускной коллектор мотоблока 178F (малый) "MO ZHI FU"</t>
  </si>
  <si>
    <t>https://b2beez.ru/images/detailed/158/orig_84wz-bw.jpg</t>
  </si>
  <si>
    <t>D-2375</t>
  </si>
  <si>
    <t>Крышка блока двигателя мотоблока 178F/186F (6/9Hp) "MO ZHI FU"</t>
  </si>
  <si>
    <t>https://b2beez.ru/images/detailed/158/orig_bc4m-ei.jpg</t>
  </si>
  <si>
    <t>D-2381</t>
  </si>
  <si>
    <t>Манжет фильтрующего элемента мотоблока 178F (6Hp) "DIGGER"</t>
  </si>
  <si>
    <t>https://b2beez.ru/images/detailed/158/orig_6b2r-12.jpg</t>
  </si>
  <si>
    <t>D-2382</t>
  </si>
  <si>
    <t>Масляная ванна воздушного фильтра мотоблока 178F (6Hp) "DIGGER"</t>
  </si>
  <si>
    <t>https://b2beez.ru/images/detailed/158/orig_4766-90.jpg</t>
  </si>
  <si>
    <t>D-2392</t>
  </si>
  <si>
    <t>Распредвал c шестерней мотоблока 178F (6Hp) "MO ZHI FU"</t>
  </si>
  <si>
    <t>https://b2beez.ru/images/detailed/158/orig_a4ou-us.jpg</t>
  </si>
  <si>
    <t>D-2393</t>
  </si>
  <si>
    <t>Распылитель форсунки мотоблока 178F (6Hp) "DIGGER"</t>
  </si>
  <si>
    <t>https://b2beez.ru/images/detailed/158/6144150964.jpg</t>
  </si>
  <si>
    <t>D-2395</t>
  </si>
  <si>
    <t>Распылитель форсунки мотоблока 186F (9Hp) "DIGGER"</t>
  </si>
  <si>
    <t>https://b2beez.ru/images/detailed/158/6150416945.jpg</t>
  </si>
  <si>
    <t>D-2396</t>
  </si>
  <si>
    <t>Рейка топливная мотоблока 178F (6Hp) "DIGGER"</t>
  </si>
  <si>
    <t>https://b2beez.ru/images/detailed/158/orig_ymco-ja.jpg</t>
  </si>
  <si>
    <t>D-2426</t>
  </si>
  <si>
    <t>Подшипник редуктора мотоблока 30206 30*62*17 (редуктора фрезы 178/186F) "HRB"</t>
  </si>
  <si>
    <t>https://b2beez.ru/images/detailed/158/orig_2h4h-dj.jpg</t>
  </si>
  <si>
    <t>D-2441</t>
  </si>
  <si>
    <t>Трос сцепления с вилкой мотоблока 168F/170F(6,5/7Hp) "MO ZHI FU"</t>
  </si>
  <si>
    <t>https://b2beez.ru/images/detailed/158/orig_a1go-09.jpg</t>
  </si>
  <si>
    <t>D-2471</t>
  </si>
  <si>
    <t>Коленвал мотоблока 180N (9Hp) (c шестернями и подшипником) (посадочные места подшипников 50/50mm) "MO ZHI FU"</t>
  </si>
  <si>
    <t>https://b2beez.ru/images/detailed/158/orig_qc0e-67.jpg</t>
  </si>
  <si>
    <t>D-2475</t>
  </si>
  <si>
    <t>Кольца поршневые мотоблока 175N (7Hp) 1,00 (Ø76,00)</t>
  </si>
  <si>
    <t>https://b2beez.ru/images/detailed/158/orig_y4bn-qb.jpg</t>
  </si>
  <si>
    <t>D-2479</t>
  </si>
  <si>
    <t>Кольца поршневые мотоблока 180N (9Hp) 1,00(Ø81,00)</t>
  </si>
  <si>
    <t>https://b2beez.ru/images/detailed/158/6144150648_xixg-mk.jpg</t>
  </si>
  <si>
    <t>D-2543</t>
  </si>
  <si>
    <t>Блок двигателя мотоблока 190N (12Hp) (mod# R190N)</t>
  </si>
  <si>
    <t>D-2550</t>
  </si>
  <si>
    <t>Венец маховика мотоблока 190N/195N (12/15Hp, Z-118, D-360mm)</t>
  </si>
  <si>
    <t>https://b2beez.ru/images/detailed/158/orig_wkvg-yk.jpg</t>
  </si>
  <si>
    <t>D-2551</t>
  </si>
  <si>
    <t>Венец маховика мотоблока 190N/195N (12/15Hp, Z-120, D-330mm)</t>
  </si>
  <si>
    <t>https://b2beez.ru/images/detailed/158/orig_1ory-x7.jpg</t>
  </si>
  <si>
    <t>D-2553</t>
  </si>
  <si>
    <t>Маховик мотоблока 190N/195N (12/15Hp) (+венец Z-144, D-320mm)</t>
  </si>
  <si>
    <t>https://b2beez.ru/images/detailed/158/6144150770.jpg</t>
  </si>
  <si>
    <t>D-2660</t>
  </si>
  <si>
    <t>Прокладка головки цилиндра мотоблока 190F (15Hp) "MO ZHI FU"</t>
  </si>
  <si>
    <t>https://b2beez.ru/images/detailed/158/orig_7om7-8l.jpg</t>
  </si>
  <si>
    <t>D-2804</t>
  </si>
  <si>
    <t>Маслонасос мотоблока 186F (9Hp) "MO ZHI FU"</t>
  </si>
  <si>
    <t>https://b2beez.ru/images/detailed/158/orig_uzfh-dl.jpg</t>
  </si>
  <si>
    <t>D-2822</t>
  </si>
  <si>
    <t>Стекло фары мотоблока 175N/180N (7/9Hp) "XING"</t>
  </si>
  <si>
    <t>https://b2beez.ru/images/detailed/158/orig_y0d5-ht.jpg</t>
  </si>
  <si>
    <t>D-2865</t>
  </si>
  <si>
    <t>Болты регулировки клапанов мотоблока 175N/180N (7/9Hp) (1шт)"XING"</t>
  </si>
  <si>
    <t>https://b2beez.ru/images/detailed/158/orig_eojc-6q.jpg</t>
  </si>
  <si>
    <t>D-2879</t>
  </si>
  <si>
    <t>Шестерня коленвала мотоблока 175N/180N (7/9Hp) "XING"</t>
  </si>
  <si>
    <t>https://b2beez.ru/images/detailed/158/orig_qv95-f0.jpg</t>
  </si>
  <si>
    <t>D-2883</t>
  </si>
  <si>
    <t>Толкатели штанг ГРМ (пара) мотоблока 175N/180N (7/9Hp) "XING"</t>
  </si>
  <si>
    <t>https://b2beez.ru/images/detailed/158/6459281871.jpg</t>
  </si>
  <si>
    <t>D-2925</t>
  </si>
  <si>
    <t>Тяга механизма регулировки холостого хода мотоблока 175N/180N (7/9Hp) "XING"</t>
  </si>
  <si>
    <t>https://b2beez.ru/images/detailed/158/orig_59qj-wy.jpg</t>
  </si>
  <si>
    <t>D-3920</t>
  </si>
  <si>
    <t>Прокладки цилиндра (набор) мотоблока 177F/188F (9/13Hp) "BEST" (mod.A)</t>
  </si>
  <si>
    <t>https://b2beez.ru/images/detailed/159/6144150972.jpg</t>
  </si>
  <si>
    <t>D-4764</t>
  </si>
  <si>
    <t>Клапаны (голые) мотоблока 177F (9Hp) "BEST" (mod.A)</t>
  </si>
  <si>
    <t>https://b2beez.ru/images/detailed/159/orig_5gnq-ew.jpg</t>
  </si>
  <si>
    <t>D-4832</t>
  </si>
  <si>
    <t>Сальник вала ручного стартера мотоблока ZS/ZH 1100 (35*58*12) "BEST" (mod.A)</t>
  </si>
  <si>
    <t>https://b2beez.ru/images/detailed/159/orig_nb4n-2c.jpg</t>
  </si>
  <si>
    <t>D-4833</t>
  </si>
  <si>
    <t>Сальник коленвала мотоблока ZS/ZH 1100 (50*80*12) "BEST" (mod.A)</t>
  </si>
  <si>
    <t>https://b2beez.ru/images/detailed/159/orig_vslb-z3.jpg</t>
  </si>
  <si>
    <t>D-550</t>
  </si>
  <si>
    <t>Гайки регулировочные коромысел (комплект) мотоблока 168F/170F (6,5/7Hp) "DIGGER"</t>
  </si>
  <si>
    <t>https://b2beez.ru/images/detailed/159/orig_ln7v-4d.jpg</t>
  </si>
  <si>
    <t>D-551</t>
  </si>
  <si>
    <t>Глушитель мотоблока 168F/170F (6,5/7Hp) "DIGGER"</t>
  </si>
  <si>
    <t>https://b2beez.ru/images/detailed/159/7180990146.jpg</t>
  </si>
  <si>
    <t>D-555</t>
  </si>
  <si>
    <t>Датчик давления масла мотоблока 168F/170F (6,5/7Hp) "DIGGER"</t>
  </si>
  <si>
    <t>https://b2beez.ru/images/detailed/159/orig_uoya-yl.jpg</t>
  </si>
  <si>
    <t>D-557</t>
  </si>
  <si>
    <t>Карбюратор мотоблока 168F/170F (6,5/7Hp) "LUXUPART"</t>
  </si>
  <si>
    <t>https://b2beez.ru/images/detailed/159/orig_470e-n7.jpg</t>
  </si>
  <si>
    <t>D-559</t>
  </si>
  <si>
    <t>Катушка генератора мотоблока 168F/170F (6,5/7Hp) "DIGGER"</t>
  </si>
  <si>
    <t>https://b2beez.ru/images/detailed/159/6148420936.jpg</t>
  </si>
  <si>
    <t>D-580</t>
  </si>
  <si>
    <t>Прокладки цилиндра (набор) мотоблока 168F/170F (6,5/7Hp) "MO ZHI FU"</t>
  </si>
  <si>
    <t>https://b2beez.ru/images/detailed/159/orig_g622-6n.jpg</t>
  </si>
  <si>
    <t>D-597</t>
  </si>
  <si>
    <t>Щуп масляный двигателя мотоблока 168F/170F (6,5/7Hp) L-65 "DIGGER"</t>
  </si>
  <si>
    <t>https://b2beez.ru/images/detailed/159/6144670895.jpg</t>
  </si>
  <si>
    <t>D-622</t>
  </si>
  <si>
    <t>Звезда редуктора большая мотоблока 168F/170F (6,5/7Hp) "MO ZHI FU"</t>
  </si>
  <si>
    <t>https://b2beez.ru/images/detailed/159/orig_sj4v-kt.jpg</t>
  </si>
  <si>
    <t>D-624</t>
  </si>
  <si>
    <t>Звезда ведомая мотоблока 168F/170F (6,5/7Hp) "MO ZHI FU"</t>
  </si>
  <si>
    <t>https://b2beez.ru/images/detailed/159/orig_xq7d-yc.jpg</t>
  </si>
  <si>
    <t>D-625</t>
  </si>
  <si>
    <t>Шестерня ведущая мотоблока 168F/170F (6,5/7Hp) "DIGGER"</t>
  </si>
  <si>
    <t>https://b2beez.ru/images/detailed/159/6144151059.jpg</t>
  </si>
  <si>
    <t>D-629</t>
  </si>
  <si>
    <t>Вал первичный КПП мотоблока 168F/170F (6,5/7Hp) "MO ZHI FU"</t>
  </si>
  <si>
    <t>https://b2beez.ru/images/detailed/159/orig_jd64-ox.jpg</t>
  </si>
  <si>
    <t>D-634</t>
  </si>
  <si>
    <t>Сальники клапанов (пара) мотоблока 186F (9Hp) "DIGGER"</t>
  </si>
  <si>
    <t>https://b2beez.ru/images/detailed/159/6144151044.jpg</t>
  </si>
  <si>
    <t>D-636</t>
  </si>
  <si>
    <t>Толкатели штанг ГРМ (пара) мотоблока 186F (9Hp) "DIGGER"</t>
  </si>
  <si>
    <t>https://b2beez.ru/images/detailed/159/6144150980.jpg</t>
  </si>
  <si>
    <t>D-640</t>
  </si>
  <si>
    <t>Крышка блока двигателя мотоблока 186F (9Hp) "MO ZHI FU"</t>
  </si>
  <si>
    <t>https://b2beez.ru/images/detailed/159/orig_gmam-ln.jpg</t>
  </si>
  <si>
    <t>D-643</t>
  </si>
  <si>
    <t>Рейка топливная мотоблока 186F(9Hp) "MO ZHI FU"</t>
  </si>
  <si>
    <t>https://b2beez.ru/images/detailed/159/orig_0iah-z2.jpg</t>
  </si>
  <si>
    <t>D-650</t>
  </si>
  <si>
    <t>Амортизаторы бака мотоблока (пара) 178F/186F(6/9Hp) "DIGGER"</t>
  </si>
  <si>
    <t>https://b2beez.ru/images/detailed/159/6144066366.jpg</t>
  </si>
  <si>
    <t>D-652</t>
  </si>
  <si>
    <t>Крепление топливного бака нижнее мотоблока 178F/186F(6/9Hp) "MO ZHI FU"</t>
  </si>
  <si>
    <t>https://b2beez.ru/images/detailed/159/orig_9uph-hf.jpg</t>
  </si>
  <si>
    <t>D-655</t>
  </si>
  <si>
    <t>Шкив стартера мотоблока 186F (9Hp) "DIGGER"</t>
  </si>
  <si>
    <t>https://b2beez.ru/images/detailed/159/6144151173.jpg</t>
  </si>
  <si>
    <t>D-662</t>
  </si>
  <si>
    <t>Рычаг декомпрессора с пружиной мотоблока 178F/186F(6/9Hp) "MO ZHI FU'</t>
  </si>
  <si>
    <t>https://b2beez.ru/images/detailed/159/orig_kp5r-gn.jpg</t>
  </si>
  <si>
    <t>D-663</t>
  </si>
  <si>
    <t>Элемент топливного фильтра мотоблока 186F(9Hp) "KOMATCU"</t>
  </si>
  <si>
    <t>https://b2beez.ru/images/detailed/159/orig_nao3-37.jpg</t>
  </si>
  <si>
    <t>D-665</t>
  </si>
  <si>
    <t>Масляная ванна воздушного фильтра мотоблока 186F(9Hp) "MO ZHI FU"</t>
  </si>
  <si>
    <t>https://b2beez.ru/images/detailed/159/orig_5y91-j5.jpg</t>
  </si>
  <si>
    <t>D-667</t>
  </si>
  <si>
    <t>Элемент воздушного фильтра мотоблока 186F(9Hp) (тонкой очистки в корпусе) "MO ZHI FU"</t>
  </si>
  <si>
    <t>https://b2beez.ru/images/detailed/159/orig_xx5a-aj.jpg</t>
  </si>
  <si>
    <t>D-668</t>
  </si>
  <si>
    <t>Фильтр масляный мотоблока 178F/186F (6/9Hp) "MO ZHI FU"</t>
  </si>
  <si>
    <t>https://b2beez.ru/images/detailed/159/orig_7s37-58.jpg</t>
  </si>
  <si>
    <t>D-671</t>
  </si>
  <si>
    <t>Шестерня коленвала мотоблока (узкая) 186F (9Hp) "MO ZHI FU"</t>
  </si>
  <si>
    <t>https://b2beez.ru/images/detailed/159/orig_biqw-b3.jpg</t>
  </si>
  <si>
    <t>D-672</t>
  </si>
  <si>
    <t>Шестерня коленвала мотоблока (широкая) 186F (9Hp) "DIGGER"</t>
  </si>
  <si>
    <t>https://b2beez.ru/images/detailed/159/orig_cfd6-qq.jpg</t>
  </si>
  <si>
    <t>D-674</t>
  </si>
  <si>
    <t>Вкладыши шатуна мотоблока 186F (9Hp) (D-43, d-40, H-21) "DIGGER"</t>
  </si>
  <si>
    <t>https://b2beez.ru/images/detailed/159/orig_0mdv-27.jpg</t>
  </si>
  <si>
    <t>D-675</t>
  </si>
  <si>
    <t>Коллектор выпускной мотоблока 186F (9Hp) "MO ZHI FU"</t>
  </si>
  <si>
    <t>https://b2beez.ru/images/detailed/159/orig_q6d2-vb.jpg</t>
  </si>
  <si>
    <t>D-681</t>
  </si>
  <si>
    <t>Поршень мотоблока 186F (6-9Hp) 0,50 (Ø86,50) "DIGGER"</t>
  </si>
  <si>
    <t>https://b2beez.ru/images/detailed/159/orig_tog5-fj.jpg</t>
  </si>
  <si>
    <t>D-682</t>
  </si>
  <si>
    <t>Кольца поршневые мотоблока 186F (9Hp) .STD (Ø 86,00) "DIGGER"</t>
  </si>
  <si>
    <t>https://b2beez.ru/images/detailed/159/orig_jbon-dy.jpg</t>
  </si>
  <si>
    <t>D-685</t>
  </si>
  <si>
    <t>Шестерня регулятора оборотов мотоблока 178F/186F(6/9Hp) (F-359) "DIGGER"</t>
  </si>
  <si>
    <t>https://b2beez.ru/images/detailed/159/6144151138.jpg</t>
  </si>
  <si>
    <t>D-691</t>
  </si>
  <si>
    <t>Трос защиты мотоблока 178F/186F(6/9Hp) "DIGGER"</t>
  </si>
  <si>
    <t>https://b2beez.ru/images/detailed/159/6144824023.jpg</t>
  </si>
  <si>
    <t>D-696</t>
  </si>
  <si>
    <t>Щуп масляный двигателя мотоблока 177F/188F "MO ZHI FU"</t>
  </si>
  <si>
    <t>https://b2beez.ru/images/detailed/159/6144151191.jpg</t>
  </si>
  <si>
    <t>D-708</t>
  </si>
  <si>
    <t>Шестерня сдвоенная большая промежуточного вала мотоблока 178F/186F (6/9Hp) "MO ZHI FU"</t>
  </si>
  <si>
    <t>https://b2beez.ru/images/detailed/159/orig_61d6-sv.jpg</t>
  </si>
  <si>
    <t>D-709</t>
  </si>
  <si>
    <t>Приводная косозубая передача мотоблока 178F/186F (6/9Hp) "MO ZHI FU"</t>
  </si>
  <si>
    <t>https://b2beez.ru/images/detailed/159/orig_tfj6-lf.jpg</t>
  </si>
  <si>
    <t>D-716</t>
  </si>
  <si>
    <t>Вал задней передачи мотоблока 178F/186F (6/9Hp) (L-127) "DIGGER"</t>
  </si>
  <si>
    <t>https://b2beez.ru/images/detailed/159/orig_qwky-rr.jpg</t>
  </si>
  <si>
    <t>D-758</t>
  </si>
  <si>
    <t>Электровентилятор мотоблока 175N/180N (7/9Hp) "MO ZHI FU"</t>
  </si>
  <si>
    <t>https://b2beez.ru/images/detailed/159/orig_mprx-47.jpg</t>
  </si>
  <si>
    <t>D-759</t>
  </si>
  <si>
    <t>Вкладыши шатуна мотоблока 175N (7Hp) "DIGGER"</t>
  </si>
  <si>
    <t>https://b2beez.ru/images/detailed/159/orig_2fju-pw.jpg</t>
  </si>
  <si>
    <t>D-761</t>
  </si>
  <si>
    <t>Вкладыши шатуна мотоблока 180N (9Hp) "DIGGER"</t>
  </si>
  <si>
    <t>https://b2beez.ru/images/detailed/159/orig_jmnl-15.jpg</t>
  </si>
  <si>
    <t>D-762</t>
  </si>
  <si>
    <t>Вкладыши шатуна мотоблока 180N (9Hp) (+0,25) "DIGGER"</t>
  </si>
  <si>
    <t>https://b2beez.ru/images/detailed/159/orig_qxo5-um.jpg</t>
  </si>
  <si>
    <t>D-764</t>
  </si>
  <si>
    <t>Гильза мотоблока 175N (7Hp, Ø75.00)(H-143mm, D-93, D-83mm)"DIGGER"</t>
  </si>
  <si>
    <t>https://b2beez.ru/images/detailed/159/orig_oykz-83.jpg</t>
  </si>
  <si>
    <t>D-776</t>
  </si>
  <si>
    <t>Кран слива охлаждающей жидкости мотоблока 180N (9Hp)"DIGGER"</t>
  </si>
  <si>
    <t>https://b2beez.ru/images/detailed/160/orig_dgbt-7n.jpg</t>
  </si>
  <si>
    <t>D-777</t>
  </si>
  <si>
    <t>Крышка блока длинная правая мотоблока 175N/180N (7/9Hp)(алюминиевая) "MO ZHI FU"</t>
  </si>
  <si>
    <t>https://b2beez.ru/images/detailed/160/orig_xhpi-8y.jpg</t>
  </si>
  <si>
    <t>D-779</t>
  </si>
  <si>
    <t>Крышка головки цилиндра мотоблока 175N/180N (7/9Hp) "MO ZHI FU"</t>
  </si>
  <si>
    <t>https://b2beez.ru/images/detailed/160/orig_poc6-gz.jpg</t>
  </si>
  <si>
    <t>D-783</t>
  </si>
  <si>
    <t>Поршень мотоблока 175N (7Hp) .STD (Ø75,00) "MO ZHI FU"</t>
  </si>
  <si>
    <t>https://b2beez.ru/images/detailed/160/orig_08md-m9.jpg</t>
  </si>
  <si>
    <t>D-786</t>
  </si>
  <si>
    <t>Поршень мотоблока 180N (9Hp) .STD (Ø80,00) "DIGGER"</t>
  </si>
  <si>
    <t>https://b2beez.ru/images/detailed/160/orig_z8y0-xd.jpg</t>
  </si>
  <si>
    <t>D-794</t>
  </si>
  <si>
    <t>Шестерня распредвала мотоблока 170F/175N/180N (7/7/9Hp)"DIGGER"</t>
  </si>
  <si>
    <t>https://b2beez.ru/images/detailed/160/6144151154.jpg</t>
  </si>
  <si>
    <t>D-798</t>
  </si>
  <si>
    <t>Шланги топливные низкого давления (обратка) мотоблока 175N (7Hp) (пара) "MO ZHI FU"</t>
  </si>
  <si>
    <t>https://b2beez.ru/images/detailed/160/orig_cju3-ew.jpg</t>
  </si>
  <si>
    <t>D-800</t>
  </si>
  <si>
    <t>Трубка топливная высокого давления мотоблока 175N/180N (7/9Hp)"DIGGER"</t>
  </si>
  <si>
    <t>https://b2beez.ru/images/detailed/160/6144151087.jpg</t>
  </si>
  <si>
    <t>D-806</t>
  </si>
  <si>
    <t>Штанги ГРМ (толкатели) мотоблока 175N/180N (7/9Hp) x 2шт "DIGGER"</t>
  </si>
  <si>
    <t>https://b2beez.ru/images/detailed/160/6144151182.jpg</t>
  </si>
  <si>
    <t>D-807</t>
  </si>
  <si>
    <t>Регулятор скорости масляного насоса мотоблока 175N/180N (7/9Hp)"MO ZHI FU"</t>
  </si>
  <si>
    <t>https://b2beez.ru/images/detailed/160/orig_c71m-jf.jpg</t>
  </si>
  <si>
    <t>D-808</t>
  </si>
  <si>
    <t>Вал кик-стартера мотоблока 175N/180N (7/9Hp) "DIGGER"</t>
  </si>
  <si>
    <t>https://b2beez.ru/images/detailed/160/orig_ekdw-vz.jpg</t>
  </si>
  <si>
    <t>D-814</t>
  </si>
  <si>
    <t>Шестерня стартера ведомая мотоблока 175N/180N (7/9Hp)"DIGGER"</t>
  </si>
  <si>
    <t>https://b2beez.ru/images/detailed/160/orig_ze6e-4k.jpg</t>
  </si>
  <si>
    <t>D-815</t>
  </si>
  <si>
    <t>Шестерня стартера ведущая мотоблока 175N/180N (7/9Hp)"DIGGER"</t>
  </si>
  <si>
    <t>https://b2beez.ru/images/detailed/160/orig_v3wq-bi.jpg</t>
  </si>
  <si>
    <t>D-817</t>
  </si>
  <si>
    <t>Насос масляный мотоблока 175N/180N (7/9Hp) "DIGGER"</t>
  </si>
  <si>
    <t>https://b2beez.ru/images/detailed/160/orig_f85y-ab.jpg</t>
  </si>
  <si>
    <t>D-819</t>
  </si>
  <si>
    <t>Прокладка головки цилиндра мотоблока 180N (9Hp) (Ø80,00)"DIGGER"</t>
  </si>
  <si>
    <t>https://b2beez.ru/images/detailed/160/orig_c7fl-89.jpg</t>
  </si>
  <si>
    <t>D-853</t>
  </si>
  <si>
    <t>Бендикс мотоблока 190N/195N (12/15Hp) (Z-9, L-12,5mm) "DIGGER"</t>
  </si>
  <si>
    <t>https://b2beez.ru/images/detailed/160/orig_e5ss-tq.jpg</t>
  </si>
  <si>
    <t>D-859</t>
  </si>
  <si>
    <t>Вал коромысел мотоблока + корпус 190N/195N (12/15Hp) "MO ZHI FU"</t>
  </si>
  <si>
    <t>https://b2beez.ru/images/detailed/160/orig_rfr9-id.jpg</t>
  </si>
  <si>
    <t>D-860</t>
  </si>
  <si>
    <t>Венец маховика мотоблока 190N/195N (12/15Hp, Z-144, D-320mm) "DIGGER"</t>
  </si>
  <si>
    <t>https://b2beez.ru/images/detailed/160/orig_aqlz-r9.jpg</t>
  </si>
  <si>
    <t>D-866</t>
  </si>
  <si>
    <t>Втулка шатунамотоблока 190N/195N (9Hp/12Hp) "DIGGER"</t>
  </si>
  <si>
    <t>https://b2beez.ru/images/detailed/160/6144150569.jpg</t>
  </si>
  <si>
    <t>D-868</t>
  </si>
  <si>
    <t>Гильза мотоблока 195N (12Hp, Ø95,00)(H-170mm, D-117, D-106mm) "DIGGER"</t>
  </si>
  <si>
    <t>https://b2beez.ru/images/detailed/160/orig_lu7c-w9.jpg</t>
  </si>
  <si>
    <t>D-873</t>
  </si>
  <si>
    <t>Клапаны (голые) мотоблока 190N/195N (12/15Hp) "DIGGER"</t>
  </si>
  <si>
    <t>https://b2beez.ru/images/detailed/160/6144150650.jpg</t>
  </si>
  <si>
    <t>D-874</t>
  </si>
  <si>
    <t>Вал балансировочный мотоблока 190N (12Hp) (голый) "DIGGER"</t>
  </si>
  <si>
    <t>https://b2beez.ru/images/detailed/160/6148420997.jpg</t>
  </si>
  <si>
    <t>D-877</t>
  </si>
  <si>
    <t>Кольца поршневые мотоблока 195N (12Hp) .STD (Ø95,00) "MO ZHI FU"</t>
  </si>
  <si>
    <t>https://b2beez.ru/images/detailed/160/orig_sh7v-im.jpg</t>
  </si>
  <si>
    <t>D-881</t>
  </si>
  <si>
    <t>Крышка блока короткая правая мотоблока 190N/195N (12/15Hp) "MO ZHI FU"</t>
  </si>
  <si>
    <t>https://b2beez.ru/images/detailed/160/orig_8oqq-91.jpg</t>
  </si>
  <si>
    <t>D-882</t>
  </si>
  <si>
    <t>Крышка блока длинная правая мотоблока 190N/195N (12/15Hp) "MO ZHI FU"</t>
  </si>
  <si>
    <t>https://b2beez.ru/images/detailed/160/orig_fzv1-iq.jpg</t>
  </si>
  <si>
    <t>D-884</t>
  </si>
  <si>
    <t>Крышка головки цилиндра мотоблока 190N/195N (12/15Hp) (ZUBR) "MO ZHI FU"</t>
  </si>
  <si>
    <t>https://b2beez.ru/images/detailed/160/orig_4123-20.jpg</t>
  </si>
  <si>
    <t>D-885</t>
  </si>
  <si>
    <t>Крышка радиатора мотоблока 190N/195N (12/15Hp) "DIGGER"</t>
  </si>
  <si>
    <t>https://b2beez.ru/images/detailed/160/6144150736.jpg</t>
  </si>
  <si>
    <t>D-889</t>
  </si>
  <si>
    <t>Трубка масляная мотоблока 190N/195N (12/15Hp) "DIGGER" (2шт, металл)</t>
  </si>
  <si>
    <t>https://b2beez.ru/images/detailed/160/orig_5prk-xa.jpg</t>
  </si>
  <si>
    <t>D-890</t>
  </si>
  <si>
    <t>Насос масляный мотоблока 190N/195N (12/15Hp) "MO ZHI FU"</t>
  </si>
  <si>
    <t>https://b2beez.ru/images/detailed/160/6144150852.jpg</t>
  </si>
  <si>
    <t>D-892</t>
  </si>
  <si>
    <t>Механизм управления дроссельной заслонки (в сборе) мотоблока 190N/195N (12/15Hp) "DIGGER"</t>
  </si>
  <si>
    <t>https://b2beez.ru/images/detailed/160/orig_z4e6-k8.jpg</t>
  </si>
  <si>
    <t>D-893</t>
  </si>
  <si>
    <t>Поршень мотоблока 195N (12Hp) .STD (Ø95,00) "DIGGER"</t>
  </si>
  <si>
    <t>https://b2beez.ru/images/detailed/160/orig_8rvz-2d.jpg</t>
  </si>
  <si>
    <t>D-895</t>
  </si>
  <si>
    <t>Прокладка головки цилиндра мотоблока 195N (12Hp) "MO ZHI FU" (mod:B)</t>
  </si>
  <si>
    <t>https://b2beez.ru/images/detailed/160/orig_culc-iz.jpg</t>
  </si>
  <si>
    <t>D-905</t>
  </si>
  <si>
    <t>Рычаг заводной мотоблока 190N/195N (12/15Hp) "DIGGER" (mod:B)</t>
  </si>
  <si>
    <t>https://b2beez.ru/images/detailed/160/orig_faw3-mi.jpg</t>
  </si>
  <si>
    <t>D-910</t>
  </si>
  <si>
    <t>Толкатели штанг ГРМ (пара) мотоблока 190N/195N (12/15Hp) "DIGGER"</t>
  </si>
  <si>
    <t>https://b2beez.ru/images/detailed/160/6144150979.jpg</t>
  </si>
  <si>
    <t>D-914</t>
  </si>
  <si>
    <t>Кран топливный мотоблока 190N/195N (12/15Hp) "MO ZHI FU"</t>
  </si>
  <si>
    <t>https://b2beez.ru/images/detailed/160/orig_61p2-ev.jpg</t>
  </si>
  <si>
    <t>D-918</t>
  </si>
  <si>
    <t>Трубка топливная высокого давления мотоблока 190N/195N (12/15Hp) "DIGGER"</t>
  </si>
  <si>
    <t>https://b2beez.ru/images/detailed/160/orig_j8sc-gb.jpg</t>
  </si>
  <si>
    <t>D-921</t>
  </si>
  <si>
    <t>Элемент воздушного фильтра мотоблока 190N/195N (12/15Hp) "MO ZHI FU"</t>
  </si>
  <si>
    <t>https://b2beez.ru/images/detailed/160/orig_8lur-5n.jpg</t>
  </si>
  <si>
    <t>D-922</t>
  </si>
  <si>
    <t>Элемент топливного фильтра мотоблока 190N/195N (12/15Hp) "MO ZHI FU" (mod.A)</t>
  </si>
  <si>
    <t>https://b2beez.ru/images/detailed/160/orig_qeiu-8w.jpg</t>
  </si>
  <si>
    <t>D-924</t>
  </si>
  <si>
    <t>Шатун мотоблока 195N (12Hp) "DIGGER"</t>
  </si>
  <si>
    <t>https://b2beez.ru/images/detailed/160/orig_sp4e-dp.jpg</t>
  </si>
  <si>
    <t>D-925</t>
  </si>
  <si>
    <t>Шестерня балансирного вала мотоблока 195N (12Hp) (Z=51, косые зубья) "MO ZHI FU"</t>
  </si>
  <si>
    <t>https://b2beez.ru/images/detailed/160/orig_1coh-ei.jpg</t>
  </si>
  <si>
    <t>D-931</t>
  </si>
  <si>
    <t>Щуп масляный двигателя мотоблока 190N/195N (12/15Hp) "DIGGER"</t>
  </si>
  <si>
    <t>https://b2beez.ru/images/detailed/160/orig_vzw7-8o.jpg</t>
  </si>
  <si>
    <t>D-938</t>
  </si>
  <si>
    <t>Вилка 2/3 передачи КПП мотоблока 180N/195N (9Hp/12Hp) (mod.101-2) "DIGGER"</t>
  </si>
  <si>
    <t>https://b2beez.ru/images/detailed/160/orig_flsy-b9.jpg</t>
  </si>
  <si>
    <t>D-939</t>
  </si>
  <si>
    <t>Вилка 1/зад передачи КПП мотоблока 180N/195N (9Hp/12Hp) (mod:101-2) "MO ZHI FU"</t>
  </si>
  <si>
    <t>https://b2beez.ru/images/detailed/160/orig_6v49-yg.jpg</t>
  </si>
  <si>
    <t>D-941</t>
  </si>
  <si>
    <t>Вилка переключения повыш/пониж передачи КПП мотоблока 180N/195N (9Hp/12Hp) (mod:101-2) "DIGGER"</t>
  </si>
  <si>
    <t>https://b2beez.ru/images/detailed/160/6144150529.jpg</t>
  </si>
  <si>
    <t>D-943</t>
  </si>
  <si>
    <t>Втулка выжимного подшипника КПП мотоблока 190N/195N (9Hp/12Hp) "DIGGER"</t>
  </si>
  <si>
    <t>https://b2beez.ru/images/detailed/160/orig_x9ve-d6.jpg</t>
  </si>
  <si>
    <t>D-944</t>
  </si>
  <si>
    <t>Втулка шестерен коробки передач мотоблока 195N (12Hp) "MO ZHI FU"</t>
  </si>
  <si>
    <t>https://b2beez.ru/images/detailed/160/orig_ko0j-vb.jpg</t>
  </si>
  <si>
    <t>D-946</t>
  </si>
  <si>
    <t>Колодка тормоза шестерни 1/зад передачи</t>
  </si>
  <si>
    <t>https://b2beez.ru/images/detailed/160/6148421004.jpg</t>
  </si>
  <si>
    <t>D-957</t>
  </si>
  <si>
    <t>Патрон рычага выжимного подшипника мотоблока 180N/190N/195N (81) "DIGGER"</t>
  </si>
  <si>
    <t>https://b2beez.ru/images/detailed/160/orig_efld-9t.jpg</t>
  </si>
  <si>
    <t>D-964</t>
  </si>
  <si>
    <t>Патрон выжимного подшипника (с рычагом) мотоблока 190N/195N (12/15Hp) (d-30) "MO ZHI FU"</t>
  </si>
  <si>
    <t>https://b2beez.ru/images/detailed/160/orig_qtxs-3y.jpg</t>
  </si>
  <si>
    <t>D-980</t>
  </si>
  <si>
    <t>Звезда вторичного вала редуктора фрезы мотоблока 195N (12Hp) "MO ZHI FU"</t>
  </si>
  <si>
    <t>https://b2beez.ru/images/detailed/160/orig_kd2o-qq.jpg</t>
  </si>
  <si>
    <t>D-983</t>
  </si>
  <si>
    <t>Сальник редуктора фрезы мотоблока 195N (12Hp) (35*56*12 x 2шт) "BEEZMOTO"</t>
  </si>
  <si>
    <t>https://b2beez.ru/images/detailed/160/orig_qi27-os.jpg</t>
  </si>
  <si>
    <t>D-996</t>
  </si>
  <si>
    <t>Вкладыши шатуна мотоблока 190N/195N (12/15Hp) (+0,25) "DIGGER"</t>
  </si>
  <si>
    <t>https://b2beez.ru/images/detailed/160/orig_r5ia-0h.jpg</t>
  </si>
  <si>
    <t>K-2462</t>
  </si>
  <si>
    <t>Карбюратор мотоблока 168FA "DIGGER"</t>
  </si>
  <si>
    <t>https://b2beez.ru/images/detailed/166/orig_qkfq-xm.jpg</t>
  </si>
  <si>
    <t>K-2920</t>
  </si>
  <si>
    <t>Карбюратор мотоблока 173/177F "GP"</t>
  </si>
  <si>
    <t>https://b2beez.ru/images/detailed/166/6148421007.jpg</t>
  </si>
  <si>
    <t>N-1928</t>
  </si>
  <si>
    <t>Выключатель зажигания мотоблока, мотопомпы (два провода) "SUNDY"</t>
  </si>
  <si>
    <t>https://b2beez.ru/images/detailed/170/6148421012.jpg</t>
  </si>
  <si>
    <t>P-2762</t>
  </si>
  <si>
    <t>Прокладки двигателя (набор) Honda GX160, 168F "GASKET"</t>
  </si>
  <si>
    <t>https://b2beez.ru/images/detailed/173/orig_c03h-nv.jpg</t>
  </si>
  <si>
    <t>R-2020</t>
  </si>
  <si>
    <t>Ремень мотоблока B1651 (1651*17mm) "DIESEL"</t>
  </si>
  <si>
    <t>https://b2beez.ru/images/detailed/176/orig_8hiv-2b.jpg</t>
  </si>
  <si>
    <t>R-2021</t>
  </si>
  <si>
    <t>Ремень мотоблока B1651 (1651*17mm) "AGROBELTS"</t>
  </si>
  <si>
    <t>https://b2beez.ru/images/detailed/176/orig_wk5n-zh.jpg</t>
  </si>
  <si>
    <t>R-2023</t>
  </si>
  <si>
    <t>Ремень мотоблока B1702 (1702*17mm) "AGROBELTS"</t>
  </si>
  <si>
    <t>https://b2beez.ru/images/detailed/176/orig_neym-h3.jpg</t>
  </si>
  <si>
    <t>R-2025</t>
  </si>
  <si>
    <t>Ремень мотоблока B1750 (1750*17mm) "AGROBELTS"</t>
  </si>
  <si>
    <t>https://b2beez.ru/images/detailed/176/orig_nqsf-jh.jpg</t>
  </si>
  <si>
    <t>R-2027</t>
  </si>
  <si>
    <t>Ремень мотоблока B1800 (1800*17mm) "AGROBELTS"</t>
  </si>
  <si>
    <t>https://b2beez.ru/images/detailed/176/6129741698_l6mh-5c.jpg</t>
  </si>
  <si>
    <t>R-2030</t>
  </si>
  <si>
    <t>Ремень мотоблока Z900 (900*10mm) "DIESEL"</t>
  </si>
  <si>
    <t>https://b2beez.ru/images/detailed/176/6129722998_pykk-1g.jpg</t>
  </si>
  <si>
    <t>R-2036</t>
  </si>
  <si>
    <t>Ремень мотоблока A710 (710*13mm) "DIESEL"</t>
  </si>
  <si>
    <t>https://b2beez.ru/images/detailed/176/orig_txnn-rl.jpg</t>
  </si>
  <si>
    <t>R-2040</t>
  </si>
  <si>
    <t>Ремень мотоблока A800 (800*13mm) "DIESEL"</t>
  </si>
  <si>
    <t>https://b2beez.ru/images/detailed/176/6129722998_5tz1-h7.jpg</t>
  </si>
  <si>
    <t>R-2046</t>
  </si>
  <si>
    <t>Ремень мотоблока A1000 (1000*13mm) "DIESEL"</t>
  </si>
  <si>
    <t>https://b2beez.ru/images/detailed/176/orig_n928-ut.jpg</t>
  </si>
  <si>
    <t>R-2048</t>
  </si>
  <si>
    <t>Ремень мотоблока A1060 (1060*13mm) "DIESEL"</t>
  </si>
  <si>
    <t>https://b2beez.ru/images/detailed/176/orig_1n8c-ka.jpg</t>
  </si>
  <si>
    <t>R-2050</t>
  </si>
  <si>
    <t>Ремень мотоблока A1120 (1120*13mm) "DIESEL"</t>
  </si>
  <si>
    <t>https://b2beez.ru/images/detailed/176/6129621463.jpg</t>
  </si>
  <si>
    <t>R-2054</t>
  </si>
  <si>
    <t>Ремень мотоблока A1250 (1250*13mm) "DIESEL"</t>
  </si>
  <si>
    <t>https://b2beez.ru/images/detailed/176/orig_rind-n6.jpg</t>
  </si>
  <si>
    <t>R-2056</t>
  </si>
  <si>
    <t>Ремень мотоблока A1400 (1400*13mm) "DIESEL"</t>
  </si>
  <si>
    <t>https://b2beez.ru/images/detailed/176/orig_pkx8-07.jpg</t>
  </si>
  <si>
    <t>R-2059</t>
  </si>
  <si>
    <t>Ремень мотоблока A1900 (1900*13mm) "AGROBELTS"</t>
  </si>
  <si>
    <t>https://b2beez.ru/images/detailed/176/orig_rmqk-z9.jpg</t>
  </si>
  <si>
    <t>R-2061</t>
  </si>
  <si>
    <t>Ремень мотоблока A2000 (2000*13mm) "AGROBELTS"</t>
  </si>
  <si>
    <t>https://b2beez.ru/images/detailed/176/orig_5097-38.jpg</t>
  </si>
  <si>
    <t>T-121</t>
  </si>
  <si>
    <t>Трос газа мотоблока (L-1335mm) (L-1700mm) (уп.1шт, желтый)</t>
  </si>
  <si>
    <t>https://b2beez.ru/images/detailed/182/orig_di7n-ah.jpg</t>
  </si>
  <si>
    <t>T-122</t>
  </si>
  <si>
    <t>Трос газа мотоблока (L-1350mm)( L-1750mm) "BEEZMOTO"</t>
  </si>
  <si>
    <t>https://b2beez.ru/images/detailed/182/orig_43y8-ae.jpg</t>
  </si>
  <si>
    <t>T-223</t>
  </si>
  <si>
    <t>Трос сцепления мотоблока 190N/195N (1300mm, уп.1шт, желтый)</t>
  </si>
  <si>
    <t>https://b2beez.ru/images/detailed/182/orig_8sya-dk.jpg</t>
  </si>
  <si>
    <t>D-1064</t>
  </si>
  <si>
    <t>Шланги топливные низкого давления (обратка) мотоблока 175N/180N (7/9Hp) (пара) "MO ZHI FU"</t>
  </si>
  <si>
    <t>https://b2beez.ru/images/detailed/157/orig_isr1-1q.jpg</t>
  </si>
  <si>
    <t>D-1065</t>
  </si>
  <si>
    <t>Рычаг выжимного центробежного контакта бензогенератора ET-950 "JIANTAI"</t>
  </si>
  <si>
    <t>https://b2beez.ru/images/detailed/157/6144151020.jpg</t>
  </si>
  <si>
    <t>D-1129</t>
  </si>
  <si>
    <t>Сухарь клапана (комплект) мотоблока 175N/180N (7/9Hp) "DIGGER"</t>
  </si>
  <si>
    <t>https://b2beez.ru/images/detailed/157/orig_ts8v-cm.jpg</t>
  </si>
  <si>
    <t>D-1131</t>
  </si>
  <si>
    <t>Шестерня коленвала мотоблока 175N/180N (7/9Hp) "MO ZHI FU'</t>
  </si>
  <si>
    <t>https://b2beez.ru/images/detailed/157/orig_ko6i-rf.jpg</t>
  </si>
  <si>
    <t>D-1132</t>
  </si>
  <si>
    <t>Щуп масляный двигателя мотоблока 175N/180N (7/9Hp) (круглый) "MO ZHI FU"</t>
  </si>
  <si>
    <t>https://b2beez.ru/images/detailed/157/orig_5p4k-rg.jpg</t>
  </si>
  <si>
    <t>D-1133</t>
  </si>
  <si>
    <t>https://b2beez.ru/images/detailed/157/orig_zvui-sf.jpg</t>
  </si>
  <si>
    <t>D-1137</t>
  </si>
  <si>
    <t>Головка цилиндра мотоблока 175N (7Hp) (голая) "DIGGER"</t>
  </si>
  <si>
    <t>https://b2beez.ru/images/detailed/157/6144150563.jpg</t>
  </si>
  <si>
    <t>D-1139</t>
  </si>
  <si>
    <t>Коленвал мотоблока 175N (7Hp) (голый) (посадочные места подшипников 45/50mm) "DIGGER"</t>
  </si>
  <si>
    <t>https://b2beez.ru/images/detailed/157/orig_r4sd-6a.jpg</t>
  </si>
  <si>
    <t>D-1142</t>
  </si>
  <si>
    <t>Прокладки двигателя (набор) мотоблока 175N (7/9Hp) "DIGGER"</t>
  </si>
  <si>
    <t>https://b2beez.ru/images/detailed/157/orig_nyq2-bz.jpg</t>
  </si>
  <si>
    <t>D-1143</t>
  </si>
  <si>
    <t>Прокладки двигателя (набор) мотоблока 180N (7/9Hp) "DIGGER"</t>
  </si>
  <si>
    <t>https://b2beez.ru/images/detailed/157/6144150893.jpg</t>
  </si>
  <si>
    <t>D-1145</t>
  </si>
  <si>
    <t>Плунжер топливного насоса (ремкомплект) мотоблока 175N/180N (7/9Hp) "MO ZHI FU"</t>
  </si>
  <si>
    <t>https://b2beez.ru/images/detailed/157/orig_c5fa-r6.jpg</t>
  </si>
  <si>
    <t>D-1147</t>
  </si>
  <si>
    <t>Кольца стопорные пальца мотоблока 175N/180N (7/9Hp) "DIGGER"</t>
  </si>
  <si>
    <t>https://b2beez.ru/images/detailed/157/6144150732.jpg</t>
  </si>
  <si>
    <t>D-1148</t>
  </si>
  <si>
    <t>Кронштейн электростартера мотоблока 175N/180N (7/9Hp) "DIGGER"</t>
  </si>
  <si>
    <t>https://b2beez.ru/images/detailed/157/orig_eht7-4r.jpg</t>
  </si>
  <si>
    <t>D-1151</t>
  </si>
  <si>
    <t>Вал коромысел без корпуса мотоблока 175N/180N (7/9Hp) "MO ZHI FU"</t>
  </si>
  <si>
    <t>https://b2beez.ru/images/detailed/157/orig_gjke-2b.jpg</t>
  </si>
  <si>
    <t>D-1152</t>
  </si>
  <si>
    <t>Подшипник коленвала мотоблока 6209 45*85*19 (175N/180N) "MO ZHI FU"</t>
  </si>
  <si>
    <t>https://b2beez.ru/images/detailed/157/orig_q1o5-7b.jpg</t>
  </si>
  <si>
    <t>D-1156</t>
  </si>
  <si>
    <t>Направляющие клапанов (пара) мотоблока 175N/180N (7/9Hp) "MO ZHI FU"</t>
  </si>
  <si>
    <t>https://b2beez.ru/images/detailed/157/orig_sl0g-mw.jpg</t>
  </si>
  <si>
    <t>D-1160</t>
  </si>
  <si>
    <t>Втулка шатунамотоблока 175N/180N (7/9Hp) (D-26, d-23, H-26) "DIGGER"</t>
  </si>
  <si>
    <t>https://b2beez.ru/images/detailed/157/orig_4o6e-a9.jpg</t>
  </si>
  <si>
    <t>D-1161</t>
  </si>
  <si>
    <t>Гнезда впускного и выпускного клапанов мотоблока 175N/180N (7/9Hp) "MO ZHI FU"</t>
  </si>
  <si>
    <t>https://b2beez.ru/images/detailed/157/orig_p6wl-ck.jpg</t>
  </si>
  <si>
    <t>D-1162</t>
  </si>
  <si>
    <t>Крышка бака топливного мотоблока 175N/180N (7/9Hp) "MO ZHI FU"</t>
  </si>
  <si>
    <t>https://b2beez.ru/images/detailed/157/orig_3bhy-ah.jpg</t>
  </si>
  <si>
    <t>D-1163</t>
  </si>
  <si>
    <t>Сальник коленвала мотоблока 180N (9Hp) (45*62*12) "MO ZHI FU"</t>
  </si>
  <si>
    <t>https://b2beez.ru/images/detailed/157/orig_q4oi-ll.jpg</t>
  </si>
  <si>
    <t>D-1165</t>
  </si>
  <si>
    <t>Датчик давления масла мотоблока 175N/180N (7/9Hp) "MO ZHI FU"</t>
  </si>
  <si>
    <t>https://b2beez.ru/images/detailed/157/orig_hl5c-yn.jpg</t>
  </si>
  <si>
    <t>D-1178</t>
  </si>
  <si>
    <t>Пружины сцепления мотоблока 175N/195N (7/12Hp) (комплект 5шт) "DIGGER"</t>
  </si>
  <si>
    <t>https://b2beez.ru/images/detailed/157/orig_w0ve-7q.jpg</t>
  </si>
  <si>
    <t>D-1179</t>
  </si>
  <si>
    <t>Магнит генератора (ротор) мотоблока 175N/180N (7/9Hp) "DIGGER"</t>
  </si>
  <si>
    <t>https://b2beez.ru/images/detailed/157/6144150818.jpg</t>
  </si>
  <si>
    <t>D-1180</t>
  </si>
  <si>
    <t>Балансир коленвала мотоблока 175N/180N (7/9Hp) "MO ZHI FU"</t>
  </si>
  <si>
    <t>https://b2beez.ru/images/detailed/157/orig_5ojs-b3.jpg</t>
  </si>
  <si>
    <t>D-1182</t>
  </si>
  <si>
    <t>Болты регулировки клапанов мотоблока 175N/180N (7/9Hp) (2шт) "DIGGER"</t>
  </si>
  <si>
    <t>https://b2beez.ru/images/detailed/157/6144150499.jpg</t>
  </si>
  <si>
    <t>D-1185</t>
  </si>
  <si>
    <t>Подшипник коленвала мотоблока 311 120*55*29 (175N/180N) "MO ZHI FU"</t>
  </si>
  <si>
    <t>https://b2beez.ru/images/detailed/157/orig_k618-84.jpg</t>
  </si>
  <si>
    <t>D-1190</t>
  </si>
  <si>
    <t>Прокладка выпускного колектора мотоблока 175N/180N (7/9Hp) (часть 1) "MO ZHI FU"</t>
  </si>
  <si>
    <t>https://b2beez.ru/images/detailed/157/orig_qrf7-we.jpg</t>
  </si>
  <si>
    <t>D-1195</t>
  </si>
  <si>
    <t>Проводка двигателя мотоблока 175N/180N (7/9Hp) "1195 "MO ZHI FU"</t>
  </si>
  <si>
    <t>https://b2beez.ru/images/detailed/157/orig_ilvx-vt.jpg</t>
  </si>
  <si>
    <t>D-1197</t>
  </si>
  <si>
    <t>Вал кик-стартера мотоблока 175N/180N (7/9Hp) "MO ZHI FU"</t>
  </si>
  <si>
    <t>https://b2beez.ru/images/detailed/157/orig_ciw2-l7.jpg</t>
  </si>
  <si>
    <t>D-1198</t>
  </si>
  <si>
    <t>Крышка заводного вала мотоблока 175N/180N (7/9Hp) "MO ZHI FU"</t>
  </si>
  <si>
    <t>https://b2beez.ru/images/detailed/157/orig_2ksi-q7.jpg</t>
  </si>
  <si>
    <t>D-1199</t>
  </si>
  <si>
    <t>Прокладка насоса топливного мотоблока 175N/180N (7/9Hp) "DIGGER"</t>
  </si>
  <si>
    <t>https://b2beez.ru/images/detailed/157/orig_l808-1h.jpg</t>
  </si>
  <si>
    <t>D-1201</t>
  </si>
  <si>
    <t>Прокладка радиатора малая мотоблока 175N/180N (7/9Hp) "MO  ZHI FU"</t>
  </si>
  <si>
    <t>https://b2beez.ru/images/detailed/157/orig_s0ls-w6.jpg</t>
  </si>
  <si>
    <t>D-1202</t>
  </si>
  <si>
    <t>Фиксатор регулятора газа мотоблока 175N/180N (7/9Hp) "MO ZHI FU"</t>
  </si>
  <si>
    <t>https://b2beez.ru/images/detailed/157/orig_rdbc-jq.jpg</t>
  </si>
  <si>
    <t>D-1205</t>
  </si>
  <si>
    <t>Рычаг управления оборотами двигателя мотоблока 180N (9Hp) "DIGGER"</t>
  </si>
  <si>
    <t>https://b2beez.ru/images/detailed/157/6148420844.jpg</t>
  </si>
  <si>
    <t>D-1206</t>
  </si>
  <si>
    <t>Прокладка выпускного колектора мотоблока 175N/180N (7/9Hp) "DIGGER"</t>
  </si>
  <si>
    <t>https://b2beez.ru/images/detailed/157/orig_9zcy-qy.jpg</t>
  </si>
  <si>
    <t>D-1207</t>
  </si>
  <si>
    <t>Шпилька крепления форсунки мотоблока 175N/180N (7/9Hp) "DIGGER" (d-8, h-75mm)</t>
  </si>
  <si>
    <t>https://b2beez.ru/images/detailed/157/6144151133.jpg</t>
  </si>
  <si>
    <t>D-1210</t>
  </si>
  <si>
    <t>Шпонка маховика мотоблока 175N/180N (7/9Hp) "DIGGER"</t>
  </si>
  <si>
    <t>https://b2beez.ru/images/detailed/157/orig_p9vx-mv.jpg</t>
  </si>
  <si>
    <t>D-1211</t>
  </si>
  <si>
    <t>Форкамера мотоблока 175N/180N (7/9Hp) "DIGGER"</t>
  </si>
  <si>
    <t>https://b2beez.ru/images/detailed/157/6144151045.jpg</t>
  </si>
  <si>
    <t>D-1212</t>
  </si>
  <si>
    <t>Тяга механизма регулировки холостого хода мотоблока 175N/180N (7/9Hp) "DIGGER"</t>
  </si>
  <si>
    <t>https://b2beez.ru/images/detailed/157/orig_i3sd-4e.jpg</t>
  </si>
  <si>
    <t>D-1213</t>
  </si>
  <si>
    <t>Тормозные кольца корзины сцепления мотоблока 175N/180N (7/9Hp) "MO ZHI FU"</t>
  </si>
  <si>
    <t>https://b2beez.ru/images/detailed/157/orig_z0jv-ca.jpg</t>
  </si>
  <si>
    <t>D-1215</t>
  </si>
  <si>
    <t>Вал вторичный КПП мотоблока (в сборе) 175N/180N (Z1-29 Z2-19, Z3-19, 7/9Hp) "DIGGER"</t>
  </si>
  <si>
    <t>https://b2beez.ru/images/detailed/157/orig_9cyq-ci.jpg</t>
  </si>
  <si>
    <t>D-1218</t>
  </si>
  <si>
    <t>Вал передаточный КПП мотоблока 175N/180N (145мм, 7/9Hp) "DIGGER"</t>
  </si>
  <si>
    <t>https://b2beez.ru/images/detailed/157/orig_93xq-l0.jpg</t>
  </si>
  <si>
    <t>D-1219</t>
  </si>
  <si>
    <t>Вал промежуточный КПП мотоблока 175N/180N (7/9Hp) "DIGGER"</t>
  </si>
  <si>
    <t>https://b2beez.ru/images/detailed/157/orig_849a-lm.jpg</t>
  </si>
  <si>
    <t>D-1220</t>
  </si>
  <si>
    <t>Вал реверса в сборе КПП мотоблока 175N/180N (Z1-26 Z2-20, 7/9Hp) "MO ZHI FU"</t>
  </si>
  <si>
    <t>https://b2beez.ru/images/detailed/157/6144150519.jpg</t>
  </si>
  <si>
    <t>D-1222</t>
  </si>
  <si>
    <t>Вилка 2/3 передачи КПП мотоблока 175N/180N (7/9Hp) (mod:81-1) "MO ZHI FU"</t>
  </si>
  <si>
    <t>https://b2beez.ru/images/detailed/157/orig_uxpq-bz.jpg</t>
  </si>
  <si>
    <t>D-1223</t>
  </si>
  <si>
    <t>Вилка включения пониженной передачи КПП мотоблока 175N/180N (7/9Hp) "MO ZHI FU"</t>
  </si>
  <si>
    <t>https://b2beez.ru/images/detailed/157/orig_jxqw-sl.jpg</t>
  </si>
  <si>
    <t>D-1225</t>
  </si>
  <si>
    <t>Ось вилки передач мотоблока 175N/180N (D-14, L-164mm, 7/9Hp) (L-170mm) "DIGGER"</t>
  </si>
  <si>
    <t>https://b2beez.ru/images/detailed/157/6144150782.jpg</t>
  </si>
  <si>
    <t>D-1228</t>
  </si>
  <si>
    <t>Шестерня полуоси КПП мотоблока 175N/180N (7/9Hp) (6 шлицов, Z-47, D-35, mod:81-1) "DIGGER"</t>
  </si>
  <si>
    <t>https://b2beez.ru/images/detailed/157/6144151157.jpg</t>
  </si>
  <si>
    <t>D-1229</t>
  </si>
  <si>
    <t>Шестерня пускового механизма ведущая мотоблока 175N/180N (Z-25, D-22, 7/9Hp) "DIGGER"</t>
  </si>
  <si>
    <t>https://b2beez.ru/images/detailed/157/orig_dpo2-53.jpg</t>
  </si>
  <si>
    <t>D-1230</t>
  </si>
  <si>
    <t>Шестерня дифференциала ведущая КПП мотоблока 175N/180N (Z-49, D-25, 7/9Hp) "DIGGER"</t>
  </si>
  <si>
    <t>https://b2beez.ru/images/detailed/157/6144151073.jpg</t>
  </si>
  <si>
    <t>D-1231</t>
  </si>
  <si>
    <t>Шестерня первичного вала КПП мотоблока 175N/180N (7/9Hp) (6 шлицов, Z1-33 Z2-15, D-24, mod.81-1) "DI "MO ZHI FU"</t>
  </si>
  <si>
    <t>https://b2beez.ru/images/detailed/157/orig_fwms-e6.jpg</t>
  </si>
  <si>
    <t>D-1232</t>
  </si>
  <si>
    <t>Шестерня ведущая понижающая КПП мотоблока 175N/180N (9Hp/12Hp)(6 шлицов, Z-20, D-21) "DIGGER"</t>
  </si>
  <si>
    <t>https://b2beez.ru/images/detailed/157/6144151146.jpg</t>
  </si>
  <si>
    <t>D-1237</t>
  </si>
  <si>
    <t>Рычаг управления дифференциалом мотоблока (+ втулка) 175N/180N (7/9Hp) "MO ZHI FU"</t>
  </si>
  <si>
    <t>https://b2beez.ru/images/detailed/157/orig_5cbb-83.jpg</t>
  </si>
  <si>
    <t>D-1239</t>
  </si>
  <si>
    <t>Пружина дифференциала мотоблока 175N/180N (d-30, 7/9Hp) "MO ZHI FU"</t>
  </si>
  <si>
    <t>https://b2beez.ru/images/detailed/157/orig_h6g6-et.jpg</t>
  </si>
  <si>
    <t>D-1240</t>
  </si>
  <si>
    <t>Прокладки редуктора (набор) мотоблока 175N/180N (7/9Hp) (9шт, mod.81-1) "DIGGER"</t>
  </si>
  <si>
    <t>https://b2beez.ru/images/detailed/157/orig_6tb2-sw.jpg</t>
  </si>
  <si>
    <t>D-1241</t>
  </si>
  <si>
    <t>Вал колеса(полуось) мотоблока 175N/180N (7/9Hp) (8 шлицов, L-360) "MO ZHI FU"</t>
  </si>
  <si>
    <t>https://b2beez.ru/images/detailed/157/orig_24py-ur.jpg</t>
  </si>
  <si>
    <t>D-1242</t>
  </si>
  <si>
    <t>Вал колеса(полуось) мотоблока 175N/180N (7/9Hp) (6 шлицов, L-350) "DIGGER"</t>
  </si>
  <si>
    <t>https://b2beez.ru/images/detailed/157/6144150484.jpg</t>
  </si>
  <si>
    <t>D-1244</t>
  </si>
  <si>
    <t>Корпус вала колеса мотоблока 175N/180N (7/9Hp) "DIGGER"</t>
  </si>
  <si>
    <t>https://b2beez.ru/images/detailed/157/6144150670.jpg</t>
  </si>
  <si>
    <t>D-1245</t>
  </si>
  <si>
    <t>Патрон рычага выжимного подшипника мотоблока 175N/180N (d-31 D-36, 7/9Hp) (mod.81-1) "MO ZHI FU"</t>
  </si>
  <si>
    <t>https://b2beez.ru/images/detailed/157/orig_727g-fz.jpg</t>
  </si>
  <si>
    <t>D-1247</t>
  </si>
  <si>
    <t>Болт регулировки сцепления мотоблока 175N/180N (L-64mm, 7/9Hp) (mod:101-2) "MO ZHI FU"</t>
  </si>
  <si>
    <t>https://b2beez.ru/images/detailed/157/orig_a6fg-9t.jpg</t>
  </si>
  <si>
    <t>D-1248</t>
  </si>
  <si>
    <t>Руль мотоблока 175N/180N (7/9Hp) "DIGGER"</t>
  </si>
  <si>
    <t>https://b2beez.ru/images/detailed/157/6144151062.jpg</t>
  </si>
  <si>
    <t>D-1250</t>
  </si>
  <si>
    <t>Тормозные кольца корзины сцепления мотоблока 175N/180N (7/9Hp) (D-68мм, mod.81-1) "MO ZHI FU"</t>
  </si>
  <si>
    <t>https://b2beez.ru/images/detailed/157/orig_7m8q-77.jpg</t>
  </si>
  <si>
    <t>D-1252</t>
  </si>
  <si>
    <t>Зажимная пластина штока мотоблока 175N/180N (7/9Hp) "DIGGER"</t>
  </si>
  <si>
    <t>https://b2beez.ru/images/detailed/157/orig_yjsh-pq.jpg</t>
  </si>
  <si>
    <t>D-1259</t>
  </si>
  <si>
    <t>Сальники двигателя (набор, 3шт) мотоблока 190N (12Hp) (50*75*12, 30*45*7, 20*40*8) "MO ZHI FU"</t>
  </si>
  <si>
    <t>https://b2beez.ru/images/detailed/157/orig_cxhe-ml.jpg</t>
  </si>
  <si>
    <t>D-1835</t>
  </si>
  <si>
    <t>Поршень мотоблока 168F (6,5Hp) .STD (Ø68,00 p-18)</t>
  </si>
  <si>
    <t>https://b2beez.ru/images/detailed/204/D-1835-3.jpg</t>
  </si>
  <si>
    <t>D-1858</t>
  </si>
  <si>
    <t>Сухарь клапана (комплект) мотоблока 177F/188F (9/13Hp) "ZS"</t>
  </si>
  <si>
    <t>https://b2beez.ru/images/detailed/157/orig_veqy-tw.jpg</t>
  </si>
  <si>
    <t>D-2328</t>
  </si>
  <si>
    <t>Вал коромысел мотоблока 186F (9Hp) "MO ZHI FU"</t>
  </si>
  <si>
    <t>https://b2beez.ru/images/detailed/158/orig.jpg</t>
  </si>
  <si>
    <t>D-2345</t>
  </si>
  <si>
    <t>Прокладка головки цилиндра мотоблока 186F(9Hp) "DIGGER"</t>
  </si>
  <si>
    <t>https://b2beez.ru/images/detailed/158/orig_sd1u-jb.jpg</t>
  </si>
  <si>
    <t>D-2346</t>
  </si>
  <si>
    <t>Прокладка крышки головки цилиндра мотоблока 178F (6Hp) (2 болта) "DIGGER"</t>
  </si>
  <si>
    <t>https://b2beez.ru/images/detailed/158/orig_4k2x-9a.jpg</t>
  </si>
  <si>
    <t>D-2353</t>
  </si>
  <si>
    <t>Прокладка выпускного колектора мотоблока 178F (6Hp) "DIGGER"</t>
  </si>
  <si>
    <t>https://b2beez.ru/images/detailed/158/6144150820.jpg</t>
  </si>
  <si>
    <t>D-2372</t>
  </si>
  <si>
    <t>Кулачок ручного стартера мотоблока 178F (6Hp) "DIGGER"</t>
  </si>
  <si>
    <t>https://b2beez.ru/images/detailed/158/6144150730.jpg</t>
  </si>
  <si>
    <t>D-2373</t>
  </si>
  <si>
    <t>Кулачок ручного стартера мотоблока 186F (9Hp) (пара) "DIGGER"</t>
  </si>
  <si>
    <t>https://b2beez.ru/images/detailed/158/6144150733.jpg</t>
  </si>
  <si>
    <t>D-2374</t>
  </si>
  <si>
    <t>Кожух крыльчатки охлаждения ЦПГ мотоблока 178F (6Hp) "DIGGER"</t>
  </si>
  <si>
    <t>https://b2beez.ru/images/detailed/158/orig_9eqa-gn.jpg</t>
  </si>
  <si>
    <t>D-2383</t>
  </si>
  <si>
    <t>Маслонасос мотоблока 178F (6Hp) "DIGGER"</t>
  </si>
  <si>
    <t>https://b2beez.ru/images/detailed/158/orig_1z94-9o.jpg</t>
  </si>
  <si>
    <t>D-2385</t>
  </si>
  <si>
    <t>Направляющие клапанов (пара) мотоблока 186F (9Hp) (+сальники) "MO ZHI FU"</t>
  </si>
  <si>
    <t>https://b2beez.ru/images/detailed/158/orig_gweb-ce.jpg</t>
  </si>
  <si>
    <t>D-2402</t>
  </si>
  <si>
    <t>Толкатели клапанов (комплект) мотоблока 178F/186F (6Hp) "MO ZHI FU"</t>
  </si>
  <si>
    <t>https://b2beez.ru/images/detailed/158/orig_zwtf-ux.jpg</t>
  </si>
  <si>
    <t>D-2405</t>
  </si>
  <si>
    <t>Головка цилиндра мотоблока 186F (9Hp) (голая) "DIGGER"</t>
  </si>
  <si>
    <t>https://b2beez.ru/images/detailed/158/orig_9ubt-hj.jpg</t>
  </si>
  <si>
    <t>D-2419</t>
  </si>
  <si>
    <t>Корпус фильтра тонкой очистки мотоблока 178F (6Hp) "MO ZHI FU'</t>
  </si>
  <si>
    <t>https://b2beez.ru/images/detailed/158/orig_evv7-ei.jpg</t>
  </si>
  <si>
    <t>D-2421</t>
  </si>
  <si>
    <t>Элемент воздушного фильтра грубой очистки мотоблока 186F(9Hp) "DIGGER"</t>
  </si>
  <si>
    <t>https://b2beez.ru/images/detailed/158/orig_fswn-wr.jpg</t>
  </si>
  <si>
    <t>D-2444</t>
  </si>
  <si>
    <t>Кожух защитный маховика мотоблока 168F/170F(6,5/7Hp)(внутренний) "MO ZHI FU"</t>
  </si>
  <si>
    <t>https://b2beez.ru/images/detailed/158/orig_voy4-2n.jpg</t>
  </si>
  <si>
    <t>D-2462</t>
  </si>
  <si>
    <t>Стекло фары мотоблока 175N/180N (7/9Hp) "BEEZMOTO"</t>
  </si>
  <si>
    <t>https://b2beez.ru/images/detailed/158/orig_6zn1-ld.jpg</t>
  </si>
  <si>
    <t>D-2463</t>
  </si>
  <si>
    <t>Ящик под АКБ м/a 175N/180N (7/9Hp)</t>
  </si>
  <si>
    <t>https://b2beez.ru/images/detailed/158/6144151145.jpg</t>
  </si>
  <si>
    <t>D-2464</t>
  </si>
  <si>
    <t>Облицовка фары мотоблока 175N/180N (7/9Hp) "BEEZMOTO"</t>
  </si>
  <si>
    <t>https://b2beez.ru/images/detailed/158/orig_7271-wn.jpg</t>
  </si>
  <si>
    <t>D-2466</t>
  </si>
  <si>
    <t>Поршень мотоблока 175N (7Hp) 0,75 (Ø75,75) (с цековками под клапана) "DIGGER"</t>
  </si>
  <si>
    <t>https://b2beez.ru/images/detailed/158/orig_wsaz-wm.jpg</t>
  </si>
  <si>
    <t>D-2467</t>
  </si>
  <si>
    <t>Поршень мотоблока 175N (7Hp) 1,00 (Ø76,00) (с цековками под клапана) "DIGGER"</t>
  </si>
  <si>
    <t>https://b2beez.ru/images/detailed/158/orig_vym2-o1.jpg</t>
  </si>
  <si>
    <t>D-2468</t>
  </si>
  <si>
    <t>Поршень мотоблока 180N (9Hp) 0,75 (Ø80,75) (с цековками под клапана) "DIGGER"</t>
  </si>
  <si>
    <t>https://b2beez.ru/images/detailed/158/orig_7uie-4v.jpg</t>
  </si>
  <si>
    <t>D-2469</t>
  </si>
  <si>
    <t>Поршень мотоблока 180N (9Hp) 1,00 (Ø81,00) (с цековками под клапана) "DIGGER"</t>
  </si>
  <si>
    <t>https://b2beez.ru/images/detailed/158/6144150809.jpg</t>
  </si>
  <si>
    <t>D-2470</t>
  </si>
  <si>
    <t>Коленвал мотоблока 175N (7Hp) (c шестернями и подшипником) (посадочные места подшипников 45/50mm) "D</t>
  </si>
  <si>
    <t>https://b2beez.ru/images/detailed/158/orig_nwy7-zw.jpg</t>
  </si>
  <si>
    <t>D-2472</t>
  </si>
  <si>
    <t>Кольца поршневые мотоблока 175N (7Hp) 0,25 (Ø75,25)</t>
  </si>
  <si>
    <t>https://b2beez.ru/images/detailed/158/orig_xope-gr.jpg</t>
  </si>
  <si>
    <t>D-2473</t>
  </si>
  <si>
    <t>Кольца поршневые мотоблока 175N (7Hp) 0,50 (Ø75,50)</t>
  </si>
  <si>
    <t>https://b2beez.ru/images/detailed/158/orig_363d-0b.jpg</t>
  </si>
  <si>
    <t>D-2474</t>
  </si>
  <si>
    <t>Кольца поршневые мотоблока 175N (7Hp) 0,75 (Ø75,75)</t>
  </si>
  <si>
    <t>https://b2beez.ru/images/detailed/158/orig_sy0m-pd.jpg</t>
  </si>
  <si>
    <t>D-2477</t>
  </si>
  <si>
    <t>Кольца поршневые мотоблока 180N (9Hp) 0,50(Ø80,50)</t>
  </si>
  <si>
    <t>https://b2beez.ru/images/detailed/158/orig_bwr1-an.jpg</t>
  </si>
  <si>
    <t>D-2478</t>
  </si>
  <si>
    <t>Кольца поршневые мотоблока 180N (9Hp) 0,75(Ø80,75)</t>
  </si>
  <si>
    <t>https://b2beez.ru/images/detailed/158/orig_kz0q-jm.jpg</t>
  </si>
  <si>
    <t>D-2480</t>
  </si>
  <si>
    <t>Пружина возвратная центральной опоры мотоблока 175N/180N (7/9Hp) "MO ZHI FU"</t>
  </si>
  <si>
    <t>https://b2beez.ru/images/detailed/158/orig_82kb-0r.jpg</t>
  </si>
  <si>
    <t>D-2481</t>
  </si>
  <si>
    <t>Пружина регулировки давления в форсунке мотоблока 175N/180N (7/9Hp) "BEEZMOTO"</t>
  </si>
  <si>
    <t>https://b2beez.ru/images/detailed/158/orig_il5i-k1.jpg</t>
  </si>
  <si>
    <t>D-2482</t>
  </si>
  <si>
    <t>Ось коромысла мотоблока 175N/180N (7/9Hp) (пара)</t>
  </si>
  <si>
    <t>https://b2beez.ru/images/detailed/158/6144150856.jpg</t>
  </si>
  <si>
    <t>D-2483</t>
  </si>
  <si>
    <t>Вилочки рычага переключения передач мотоблока 175N/180N (7/9Hp) (компл.-4шт) "MO ZHI FU"</t>
  </si>
  <si>
    <t>https://b2beez.ru/images/detailed/158/orig_nd9d-id.jpg</t>
  </si>
  <si>
    <t>D-2484</t>
  </si>
  <si>
    <t>Втулка заводного вала мотоблока 175N/180N (7/9Hp) "MO ZHI FU"</t>
  </si>
  <si>
    <t>https://b2beez.ru/images/detailed/158/orig_773w-ps.jpg</t>
  </si>
  <si>
    <t>D-2486</t>
  </si>
  <si>
    <t>Крышка блока двигателя мотоблока 175N/180N (7/9Hp) (передняя) "MO ZHI FU"</t>
  </si>
  <si>
    <t>https://b2beez.ru/images/detailed/158/orig_9aaw-61.jpg</t>
  </si>
  <si>
    <t>D-2487</t>
  </si>
  <si>
    <t>Кронштейн электростартера мотоблока 175N/180N (7/9Hp) (mod. 2)</t>
  </si>
  <si>
    <t>https://b2beez.ru/images/detailed/158/orig_84zw-qm.jpg</t>
  </si>
  <si>
    <t>D-2488</t>
  </si>
  <si>
    <t>Крышка блока двигателя левая мотоблока 175N/180N (7/9Hp) "MO ZHI FU'</t>
  </si>
  <si>
    <t>https://b2beez.ru/images/detailed/158/orig_u6tt-06.jpg</t>
  </si>
  <si>
    <t>D-2489</t>
  </si>
  <si>
    <t>Рамка крепления двигателея в сборе мотоблока 175N/180N (7/9Hp)</t>
  </si>
  <si>
    <t>https://b2beez.ru/images/detailed/158/6144150959.jpg</t>
  </si>
  <si>
    <t>D-2490</t>
  </si>
  <si>
    <t>Распредвал c шестерней мотоблока 175N/180N (7/9Hp)</t>
  </si>
  <si>
    <t>https://b2beez.ru/images/detailed/158/6144150904.jpg</t>
  </si>
  <si>
    <t>D-2491</t>
  </si>
  <si>
    <t>Регулятор скорости масляного насоса мотоблока 175N/180N (7/9Hp) "MO ZHI FU"</t>
  </si>
  <si>
    <t>https://b2beez.ru/images/detailed/158/orig_a3bg-rl.jpg</t>
  </si>
  <si>
    <t>D-2492</t>
  </si>
  <si>
    <t>Шайба топливопровода низкого давления мотоблока 175N/180N (7/9Hp) (12х17,5х2mm)</t>
  </si>
  <si>
    <t>https://b2beez.ru/images/detailed/158/orig_zdyi-05.jpg</t>
  </si>
  <si>
    <t>D-2493</t>
  </si>
  <si>
    <t>Рычаг декомпрессора с пружиной мотоблока 175N/180N (7/9Hp) "MO ZHI FU"</t>
  </si>
  <si>
    <t>https://b2beez.ru/images/detailed/158/orig_o1ob-9k.jpg</t>
  </si>
  <si>
    <t>D-2495</t>
  </si>
  <si>
    <t>Клапан топливного насоса мотоблока 175N/180N (7/9Hp) "MO ZHI FU"</t>
  </si>
  <si>
    <t>https://b2beez.ru/images/detailed/158/orig_s4ku-0t.jpg</t>
  </si>
  <si>
    <t>D-2496</t>
  </si>
  <si>
    <t>Пружины сцепления мотоблока 175N/195N (7/12Hp) (комплект 6шт) "DIGGER"</t>
  </si>
  <si>
    <t>https://b2beez.ru/images/detailed/158/orig_nu6p-gk.jpg</t>
  </si>
  <si>
    <t>D-2498</t>
  </si>
  <si>
    <t>Рычаг управления оборотами двигателя мотоблока 180N (7Hp) (в сборе) "MO ZHI FU"</t>
  </si>
  <si>
    <t>https://b2beez.ru/images/detailed/158/orig_jcnd-1j.jpg</t>
  </si>
  <si>
    <t>D-2499</t>
  </si>
  <si>
    <t>Рычаг привода тяги опоры мотоблока 175N/180N (7/9Hp) 'MO ZHI FU"</t>
  </si>
  <si>
    <t>https://b2beez.ru/images/detailed/158/orig_615r-1q.jpg</t>
  </si>
  <si>
    <t>D-2500</t>
  </si>
  <si>
    <t>Тяга тормоза мотоблока 175N/180N (7/9Hp) (+пружина)</t>
  </si>
  <si>
    <t>https://b2beez.ru/images/detailed/158/orig_qjr1-71.jpg</t>
  </si>
  <si>
    <t>D-2501</t>
  </si>
  <si>
    <t>Пластина направляющая рычага КПП мотоблока 175N/180N (7/9Hp) (6 передач)</t>
  </si>
  <si>
    <t>https://b2beez.ru/images/detailed/158/6144150838.jpg</t>
  </si>
  <si>
    <t>D-2502</t>
  </si>
  <si>
    <t>Пластина направляющая рычага КПП мотоблока 175N/180N (7/9Hp) (4 передачи)</t>
  </si>
  <si>
    <t>https://b2beez.ru/images/detailed/158/6144150832.jpg</t>
  </si>
  <si>
    <t>D-2503</t>
  </si>
  <si>
    <t>Крышка маслозаливной горловины мотоблока 175N/180N (7/9Hp) "MO ZHI FU"</t>
  </si>
  <si>
    <t>https://b2beez.ru/images/detailed/158/orig_g5ao-ov.jpg</t>
  </si>
  <si>
    <t>D-2504</t>
  </si>
  <si>
    <t>Шпилька крепления крышки клапанов мотоблока 175N/180N (7/9Hp) (D-10 x L-115mm)</t>
  </si>
  <si>
    <t>https://b2beez.ru/images/detailed/158/6144151171.jpg</t>
  </si>
  <si>
    <t>D-2505</t>
  </si>
  <si>
    <t>Кожух защитный приводного ремня мотоблока 175N/180N (7/9Hp)</t>
  </si>
  <si>
    <t>https://b2beez.ru/images/detailed/158/6156196910.jpg</t>
  </si>
  <si>
    <t>D-2507</t>
  </si>
  <si>
    <t>Прокладка крышки редуктора мотоблока 175N/180N (7/9Hp)</t>
  </si>
  <si>
    <t>https://b2beez.ru/images/detailed/158/orig_uu3k-a4.jpg</t>
  </si>
  <si>
    <t>D-2508</t>
  </si>
  <si>
    <t>Прокладки полуоси редуктора мотоблока 175N/180N (7/9Hp) (2шт) "MO ZHI FU"</t>
  </si>
  <si>
    <t>https://b2beez.ru/images/detailed/158/orig_76ee-6b.jpg</t>
  </si>
  <si>
    <t>D-2509</t>
  </si>
  <si>
    <t>Прокладка крышки головки цилиндра мотоблока 175N/180N (7/9Hp) "MO ZHI FU"</t>
  </si>
  <si>
    <t>https://b2beez.ru/images/detailed/158/orig_c0yf-ws.jpg</t>
  </si>
  <si>
    <t>D-2510</t>
  </si>
  <si>
    <t>Прокладка насоса масляного мотоблока 175N/180N (7/9Hp) "MO ZHI FU"</t>
  </si>
  <si>
    <t>https://b2beez.ru/images/detailed/158/orig_a34l-o2.jpg</t>
  </si>
  <si>
    <t>D-2511</t>
  </si>
  <si>
    <t>Прокладка передней крышки блока мотоблока 175N/180N (7/9Hp) "MO ZHI FU"</t>
  </si>
  <si>
    <t>https://b2beez.ru/images/detailed/158/orig_abiw-6m.jpg</t>
  </si>
  <si>
    <t>D-2539</t>
  </si>
  <si>
    <t>Стекло фары мотоблока 190N (12Hp) (153 x 100mm) "BEEZMOTO"</t>
  </si>
  <si>
    <t>https://b2beez.ru/images/detailed/158/orig_lb5z-pc.jpg</t>
  </si>
  <si>
    <t>D-2540</t>
  </si>
  <si>
    <t>Стекло фары мотоблока 190N/195N (12/15Hp) (200 x 100mm) "DIGGER"</t>
  </si>
  <si>
    <t>https://b2beez.ru/images/detailed/158/6144151051.jpg</t>
  </si>
  <si>
    <t>D-2547</t>
  </si>
  <si>
    <t>Крышка блока нижняя (поддон) мотоблока 190N/195N (12/15Hp)</t>
  </si>
  <si>
    <t>https://b2beez.ru/images/detailed/158/orig_5bv5-pk.jpg</t>
  </si>
  <si>
    <t>D-2548</t>
  </si>
  <si>
    <t>Бендикс мотоблока 190N/195N (12/15Hp) (Z=10, L-14mm) "MO ZHI FU"</t>
  </si>
  <si>
    <t>https://b2beez.ru/images/detailed/158/orig_z4ty-63.jpg</t>
  </si>
  <si>
    <t>D-2549</t>
  </si>
  <si>
    <t>Рычаг декомпрессора с пружиной мотоблока 190N/195N (12/15Hp) "MO ZHI FU"</t>
  </si>
  <si>
    <t>https://b2beez.ru/images/detailed/158/orig_ev2s-lp.jpg</t>
  </si>
  <si>
    <t>D-2554</t>
  </si>
  <si>
    <t>Гильза мотоблока 185N (10Hp, Ø85,00) (H-160mm, D-106, D-98mm)</t>
  </si>
  <si>
    <t>https://b2beez.ru/images/detailed/158/orig_hf0y-0a.jpg</t>
  </si>
  <si>
    <t>D-2557</t>
  </si>
  <si>
    <t>Гильза мотоблока 195N (15Hp, Ø95,00) (H-175mm, D-117, D-111mm)</t>
  </si>
  <si>
    <t>https://b2beez.ru/images/detailed/158/6144150561.jpg</t>
  </si>
  <si>
    <t>D-2558</t>
  </si>
  <si>
    <t>Поршень мотоблока 190N (10Hp) .STD (Ø90,00)</t>
  </si>
  <si>
    <t>https://b2beez.ru/images/detailed/158/orig_ng63-zk.jpg</t>
  </si>
  <si>
    <t>D-2559</t>
  </si>
  <si>
    <t>Поршень мотоблока 190N (10Hp) 0,25 (Ø90,25)</t>
  </si>
  <si>
    <t>https://b2beez.ru/images/detailed/158/orig_s0ue-ds.jpg</t>
  </si>
  <si>
    <t>D-2560</t>
  </si>
  <si>
    <t>Поршень мотоблока 190N (10Hp) 0,50 (Ø90,50)</t>
  </si>
  <si>
    <t>https://b2beez.ru/images/detailed/158/orig_2uz4-g7.jpg</t>
  </si>
  <si>
    <t>D-2561</t>
  </si>
  <si>
    <t>Поршень мотоблока 190N (10Hp) 0,75 (Ø90,75)</t>
  </si>
  <si>
    <t>https://b2beez.ru/images/detailed/158/orig_sz2e-fy.jpg</t>
  </si>
  <si>
    <t>D-2562</t>
  </si>
  <si>
    <t>Поршень мотоблока 190N (10Hp) 1,00 (Ø90,00)</t>
  </si>
  <si>
    <t>https://b2beez.ru/images/detailed/158/orig_pawo-a1.jpg</t>
  </si>
  <si>
    <t>D-2563</t>
  </si>
  <si>
    <t>Поршень мотоблока 195N (15Hp) 0,75 (Ø95,75)</t>
  </si>
  <si>
    <t>https://b2beez.ru/images/detailed/158/orig_725l-70.jpg</t>
  </si>
  <si>
    <t>D-2564</t>
  </si>
  <si>
    <t>Поршень мотоблока 195N (15Hp) 1,00 (Ø96,00)</t>
  </si>
  <si>
    <t>https://b2beez.ru/images/detailed/158/orig_6apj-mp.jpg</t>
  </si>
  <si>
    <t>D-2566</t>
  </si>
  <si>
    <t>Кольца поршневые мотоблока 190N (12Hp) 0,25 (Ø90,25)</t>
  </si>
  <si>
    <t>https://b2beez.ru/images/detailed/158/6144150716.jpg</t>
  </si>
  <si>
    <t>D-2567</t>
  </si>
  <si>
    <t>Кольца поршневые мотоблока 190N (12Hp) 0,50 (Ø90,50)</t>
  </si>
  <si>
    <t>https://b2beez.ru/images/detailed/158/orig_9mya-1r.jpg</t>
  </si>
  <si>
    <t>D-2568</t>
  </si>
  <si>
    <t>Кольца поршневые мотоблока 190N (12Hp) 0,75 (Ø90,75)</t>
  </si>
  <si>
    <t>https://b2beez.ru/images/detailed/158/orig_ruhk-j4.jpg</t>
  </si>
  <si>
    <t>D-2569</t>
  </si>
  <si>
    <t>Кольца поршневые мотоблока 190N (12Hp) 1,00 (Ø91,00)</t>
  </si>
  <si>
    <t>https://b2beez.ru/images/detailed/158/orig_1p41-83.jpg</t>
  </si>
  <si>
    <t>D-2570</t>
  </si>
  <si>
    <t>Кольца поршневые мотоблока 195N (12Hp) 0,75 (Ø95,75)</t>
  </si>
  <si>
    <t>https://b2beez.ru/images/detailed/158/orig_yl6c-ry.jpg</t>
  </si>
  <si>
    <t>D-2571</t>
  </si>
  <si>
    <t>Кольца поршневые мотоблока 195N (12Hp) 1,00 (Ø96,00)</t>
  </si>
  <si>
    <t>https://b2beez.ru/images/detailed/158/orig_zg86-0d.jpg</t>
  </si>
  <si>
    <t>D-2572</t>
  </si>
  <si>
    <t>Вал коромысел мотоблока + корпус 190N/195N (12/15Hp) (ZUBR) "MO ZHI FU"</t>
  </si>
  <si>
    <t>https://b2beez.ru/images/detailed/158/orig_hh7d-rf.jpg</t>
  </si>
  <si>
    <t>D-2573</t>
  </si>
  <si>
    <t>Болты регулировки клапанов мотоблока 190N/195N (12/15Hp)</t>
  </si>
  <si>
    <t>https://b2beez.ru/images/detailed/158/6156616252.jpg</t>
  </si>
  <si>
    <t>D-2574</t>
  </si>
  <si>
    <t>Штанги ГРМ (толкатели) мотоблока 190N/195N (12/15Hp) (L-210mm) x 2шт "DIGGER"</t>
  </si>
  <si>
    <t>https://b2beez.ru/images/detailed/158/orig_1kbh-l5.jpg</t>
  </si>
  <si>
    <t>D-2575</t>
  </si>
  <si>
    <t>Штанги ГРМ (толкатели) мотоблока 190N/195N (12/15Hp) (L-235mm) x 2шт "DIGGER"</t>
  </si>
  <si>
    <t>https://b2beez.ru/images/detailed/158/orig_s3sa-1p.jpg</t>
  </si>
  <si>
    <t>D-2576</t>
  </si>
  <si>
    <t>Направляющие клапанов (пара) мотоблока 190N/195N (12/15Hp)</t>
  </si>
  <si>
    <t>https://b2beez.ru/images/detailed/158/orig_c61l-yl.jpg</t>
  </si>
  <si>
    <t>D-2579</t>
  </si>
  <si>
    <t>Гнезда впускного и выпускного клапанов мотоблока 190N (12Hp) "MO ZHI FU"</t>
  </si>
  <si>
    <t>https://b2beez.ru/images/detailed/158/orig_ddml-2n.jpg</t>
  </si>
  <si>
    <t>D-2580</t>
  </si>
  <si>
    <t>Гнезда впускного и выпускного клапанов мотоблока 195N (15Hp) "MO ZHI FU"</t>
  </si>
  <si>
    <t>https://b2beez.ru/images/detailed/158/orig_szzo-i2.jpg</t>
  </si>
  <si>
    <t>D-2584</t>
  </si>
  <si>
    <t>Шестерня коленвала мотоблока 195N (15Hp) (Z-51, D-108mm/d-40mm) "MO ZHI FU"</t>
  </si>
  <si>
    <t>https://b2beez.ru/images/detailed/158/orig_6wjp-pc.jpg</t>
  </si>
  <si>
    <t>D-2585</t>
  </si>
  <si>
    <t>Шестерня коленвала распределительная мотоблока 190N (12Hp) (Z-28) "BEEZMOTO"</t>
  </si>
  <si>
    <t>https://b2beez.ru/images/detailed/158/orig_p5i6-v0.jpg</t>
  </si>
  <si>
    <t>D-2586</t>
  </si>
  <si>
    <t>Шатун мотоблока 190N (12Hp) "DIGGER"</t>
  </si>
  <si>
    <t>https://b2beez.ru/images/detailed/158/orig_y1zh-so.jpg</t>
  </si>
  <si>
    <t>D-2587</t>
  </si>
  <si>
    <t>Вал балансировочный мотоблока 195N (12/15Hp) (голый) "MO ZHI FU"</t>
  </si>
  <si>
    <t>https://b2beez.ru/images/detailed/158/orig_brjs-10.jpg</t>
  </si>
  <si>
    <t>D-2589</t>
  </si>
  <si>
    <t>Регулятор скорости масляного насоса мотоблока 190N/195N (12/15Hp) "MO ZHI FU"</t>
  </si>
  <si>
    <t>https://b2beez.ru/images/detailed/158/orig_wc0y-qv.jpg</t>
  </si>
  <si>
    <t>D-2591</t>
  </si>
  <si>
    <t>Ротор маховика (генератора) мотоблока 190N/195N (12/15Hp)</t>
  </si>
  <si>
    <t>https://b2beez.ru/images/detailed/158/orig_wvjy-6x.jpg</t>
  </si>
  <si>
    <t>D-2592</t>
  </si>
  <si>
    <t>Статор генератора мотоблока 190N/195N (12/15Hp) "DIGGER" (mod: A)</t>
  </si>
  <si>
    <t>https://b2beez.ru/images/detailed/158/6145092326.jpg</t>
  </si>
  <si>
    <t>D-2598</t>
  </si>
  <si>
    <t>Маслозаборник мотоблока 190N/195N (12/15Hp) "MO ZHI FU"</t>
  </si>
  <si>
    <t>https://b2beez.ru/images/detailed/158/orig_zbhc-27.jpg</t>
  </si>
  <si>
    <t>D-2599</t>
  </si>
  <si>
    <t>Датчик давления масла мотоблока 190N/195N (12/15Hp)</t>
  </si>
  <si>
    <t>https://b2beez.ru/images/detailed/158/orig_6x5q-n9.jpg</t>
  </si>
  <si>
    <t>D-2600</t>
  </si>
  <si>
    <t>Кронштейн крепления электростартера мотоблока 190N/195N (12/15Hp) (D-67,50mm)</t>
  </si>
  <si>
    <t>https://b2beez.ru/images/detailed/158/orig_y632-yd.jpg</t>
  </si>
  <si>
    <t>D-2601</t>
  </si>
  <si>
    <t>Кронштейн электростартера мотоблока 190N/195N (12/15Hp) (D-77,90mm)</t>
  </si>
  <si>
    <t>https://b2beez.ru/images/detailed/158/orig_a6hg-50.jpg</t>
  </si>
  <si>
    <t>D-2603</t>
  </si>
  <si>
    <t>Шпилька головки цилиндра мотоблока 190N/195N (12/15Hp) (D-16 x L-145mm)</t>
  </si>
  <si>
    <t>https://b2beez.ru/images/detailed/158/orig_tcor-u2.jpg</t>
  </si>
  <si>
    <t>D-2604</t>
  </si>
  <si>
    <t>Шпилька крепления крышки клапанов мотоблока 190N/195N (12/15Hp) (D-10 x L-115mm)</t>
  </si>
  <si>
    <t>https://b2beez.ru/images/detailed/158/6144151188.jpg</t>
  </si>
  <si>
    <t>D-2605</t>
  </si>
  <si>
    <t>Шпонка пускового вала мотоблока 190N/195N (12/15Hp) (H-5 x L-16mm) "BEEZMOTO"</t>
  </si>
  <si>
    <t>https://b2beez.ru/images/detailed/158/orig_vmk5-ww.jpg</t>
  </si>
  <si>
    <t>D-2830</t>
  </si>
  <si>
    <t>Поршень мотоблока 175N (7Hp) .STD (Ø75,00) "HORZA"</t>
  </si>
  <si>
    <t>https://b2beez.ru/images/detailed/158/orig_whgt-z4.jpg</t>
  </si>
  <si>
    <t>D-2842</t>
  </si>
  <si>
    <t>Блок двигателя мотоблока 175N (7Hp) (Ø75,00) "XING"</t>
  </si>
  <si>
    <t>https://b2beez.ru/images/detailed/204/D-2842.jpg</t>
  </si>
  <si>
    <t>D-2859</t>
  </si>
  <si>
    <t>Клапаны (голые)  мотоблока 180N (9Hp) "XING"</t>
  </si>
  <si>
    <t>https://b2beez.ru/images/detailed/158/orig_lf0x-f1.jpg</t>
  </si>
  <si>
    <t>D-2860</t>
  </si>
  <si>
    <t>Сухарь клапана (комплект) мотоблока 175N/180N (7/9Hp) "XING"</t>
  </si>
  <si>
    <t>https://b2beez.ru/images/detailed/158/orig_u7sm-a4.jpg</t>
  </si>
  <si>
    <t>D-2861</t>
  </si>
  <si>
    <t>Направляющие клапанов (комплект) мотоблока 175N (7Hp) "XING"</t>
  </si>
  <si>
    <t>https://b2beez.ru/images/detailed/158/orig_1t15-3n.jpg</t>
  </si>
  <si>
    <t>D-2862</t>
  </si>
  <si>
    <t>Направляющая клапанов (комплект) мотоблока 180N (9Hp) "XING"</t>
  </si>
  <si>
    <t>https://b2beez.ru/images/detailed/158/orig_j2m5-kt.jpg</t>
  </si>
  <si>
    <t>D-2872</t>
  </si>
  <si>
    <t>Кулачок топливного насоса мотоблока 175N/180N (7/9Hp) "XING"</t>
  </si>
  <si>
    <t>https://b2beez.ru/images/detailed/158/orig_cco4-sy.jpg</t>
  </si>
  <si>
    <t>D-2874</t>
  </si>
  <si>
    <t>Кольцо (манжет) гильзы уплотнительное мотоблока 175N (7Hp) (Ø75,00) "XING"</t>
  </si>
  <si>
    <t>https://b2beez.ru/images/detailed/158/orig_nebr-8e.jpg</t>
  </si>
  <si>
    <t>D-2878</t>
  </si>
  <si>
    <t>Распредвал мотоблока 175N/180N (7/9Hp) "XING"</t>
  </si>
  <si>
    <t>https://b2beez.ru/images/detailed/158/orig_9ws9-t1.jpg</t>
  </si>
  <si>
    <t>D-2880</t>
  </si>
  <si>
    <t>Шестерня распредвала мотоблока 175N/180N (7/9Hp) "XING"</t>
  </si>
  <si>
    <t>https://b2beez.ru/images/detailed/158/orig_6jyr-1o.jpg</t>
  </si>
  <si>
    <t>D-2893</t>
  </si>
  <si>
    <t>Вкладыши шатуна мотоблока 180N (7/9Hp) (+0,25) "XING"</t>
  </si>
  <si>
    <t>https://b2beez.ru/images/detailed/158/orig_ig54-hu.jpg</t>
  </si>
  <si>
    <t>D-2895</t>
  </si>
  <si>
    <t>Штанга ГРМ (толкатели) мотоблока 175N/180N (7/9Hp) "XING"</t>
  </si>
  <si>
    <t>https://b2beez.ru/images/detailed/158/orig_j1ek-k5.jpg</t>
  </si>
  <si>
    <t>D-2896</t>
  </si>
  <si>
    <t>Регулятор подачи масляного насоса мотоблока 175N/180N (7/9Hp) "XING"</t>
  </si>
  <si>
    <t>https://b2beez.ru/images/detailed/158/orig_sufk-pu.jpg</t>
  </si>
  <si>
    <t>D-2897</t>
  </si>
  <si>
    <t>Вал кик-стартера мотоблока 175N/180N (7/9Hp) "XING"</t>
  </si>
  <si>
    <t>https://b2beez.ru/images/detailed/158/orig_fp13-ow.jpg</t>
  </si>
  <si>
    <t>D-2904</t>
  </si>
  <si>
    <t>Шестерня стартера ведомая мотоблока 175N/180N (7/9Hp) "XING"</t>
  </si>
  <si>
    <t>https://b2beez.ru/images/detailed/158/orig_laat-hx.jpg</t>
  </si>
  <si>
    <t>D-2916</t>
  </si>
  <si>
    <t>Прокладка насоса топливного мотоблока 175N/180N (7/9Hp) "XING"</t>
  </si>
  <si>
    <t>https://b2beez.ru/images/detailed/158/orig_louy-ii.jpg</t>
  </si>
  <si>
    <t>D-2918</t>
  </si>
  <si>
    <t>Прокладка радиатора малая мотоблока 175N/180N (7/9Hp) "XING"</t>
  </si>
  <si>
    <t>https://b2beez.ru/images/detailed/158/orig_gka4-hl.jpg</t>
  </si>
  <si>
    <t>D-2922</t>
  </si>
  <si>
    <t>Прокладка выпускного колектора мотоблока 175N/180N (7/9Hp) "XING"</t>
  </si>
  <si>
    <t>https://b2beez.ru/images/detailed/158/6144150930.jpg</t>
  </si>
  <si>
    <t>D-2935</t>
  </si>
  <si>
    <t>Вал кик-стартера мотоблока 190N/195N (12/15Hp) "XING"</t>
  </si>
  <si>
    <t>https://b2beez.ru/images/detailed/158/6148420918.jpg</t>
  </si>
  <si>
    <t>D-2941</t>
  </si>
  <si>
    <t>Клапаны (голые) мотоблока 195N (12Hp) "XING"</t>
  </si>
  <si>
    <t>https://b2beez.ru/images/detailed/158/orig_tfd1-84.jpg</t>
  </si>
  <si>
    <t>D-2943</t>
  </si>
  <si>
    <t>Коленвал мотоблока 195A (12Hp) (голый) (крепления вала балансировочного D-14 x 1,5mm) "DIGGER"</t>
  </si>
  <si>
    <t>https://b2beez.ru/images/detailed/158/orig_o30t-2n.jpg</t>
  </si>
  <si>
    <t>D-2949</t>
  </si>
  <si>
    <t>Кулачок топливного насоса мотоблока 195N (12Hp) "XING"</t>
  </si>
  <si>
    <t>https://b2beez.ru/images/detailed/158/6144150683.jpg</t>
  </si>
  <si>
    <t>D-2953</t>
  </si>
  <si>
    <t>Кольцо (манжет) гильзы уплотнительное мотоблока 195N (12Hp) "XING"</t>
  </si>
  <si>
    <t>https://b2beez.ru/images/detailed/158/orig_g0o6-p6.jpg</t>
  </si>
  <si>
    <t>D-2956</t>
  </si>
  <si>
    <t>Маслозаборник мотоблока 195N (12Hp) "XING"</t>
  </si>
  <si>
    <t>https://b2beez.ru/images/detailed/158/orig_iepf-h8.jpg</t>
  </si>
  <si>
    <t>D-2957</t>
  </si>
  <si>
    <t>Механизм управления дросельной заслонкой мотоблока 195N (12Hp) "XING"</t>
  </si>
  <si>
    <t>https://b2beez.ru/images/detailed/158/6144150805.jpg</t>
  </si>
  <si>
    <t>D-2959</t>
  </si>
  <si>
    <t>Прокладка головки цилиндра мотоблока 195N (12Hp) "XING"</t>
  </si>
  <si>
    <t>https://b2beez.ru/images/detailed/158/orig_ecp3-ze.jpg</t>
  </si>
  <si>
    <t>D-2963</t>
  </si>
  <si>
    <t>Шестерня распределительная коленвала мотоблока 195N (12Hp) "XING"</t>
  </si>
  <si>
    <t>https://b2beez.ru/images/detailed/158/6144151150.jpg</t>
  </si>
  <si>
    <t>D-2964</t>
  </si>
  <si>
    <t>Шестерня распредвала мотоблока 195N (12Hp) "XING"</t>
  </si>
  <si>
    <t>https://b2beez.ru/images/detailed/158/orig_ugoo-am.jpg</t>
  </si>
  <si>
    <t>D-2981</t>
  </si>
  <si>
    <t>Шестерня балансирного вала мотоблока 195N (12Hp) (Z=42, прямые зубья) "XING"</t>
  </si>
  <si>
    <t>https://b2beez.ru/images/detailed/158/6144151084.jpg</t>
  </si>
  <si>
    <t>D-2982</t>
  </si>
  <si>
    <t>Шестерня пускового механизма ведомая мотоблока 195N (12Hp) "XING"</t>
  </si>
  <si>
    <t>https://b2beez.ru/images/detailed/204/D-2982.jpg</t>
  </si>
  <si>
    <t>D-2983</t>
  </si>
  <si>
    <t>Шестерня пускового механизма ведущая мотоблока 195N (12Hp) "XING"</t>
  </si>
  <si>
    <t>https://b2beez.ru/images/detailed/158/orig_7cjb-n7.jpg</t>
  </si>
  <si>
    <t>D-2987</t>
  </si>
  <si>
    <t>Втулка картера коробки передач (под оси) мотоблока 195N (12Hp) "XING"</t>
  </si>
  <si>
    <t>https://b2beez.ru/images/detailed/158/orig_pwwq-lz.jpg</t>
  </si>
  <si>
    <t>D-3602</t>
  </si>
  <si>
    <t>Рычаг управления оборотами двигателя мотоблока 168F/170F (6,5/7Hp) "SUNDY"</t>
  </si>
  <si>
    <t>https://b2beez.ru/images/detailed/159/orig_wc1q-if.jpg</t>
  </si>
  <si>
    <t>D-573</t>
  </si>
  <si>
    <t>Поршень мотоблока 168F (6,5Hp) .STD (Ø68,00 p-18) "DIGGER"</t>
  </si>
  <si>
    <t>https://b2beez.ru/images/detailed/159/orig_5o1q-4k.jpg</t>
  </si>
  <si>
    <t>D-590</t>
  </si>
  <si>
    <t>Толкатели штанг ГРМ (пара) мотоблока 168F/170F (6,5/7Hp) "DIGGER"</t>
  </si>
  <si>
    <t>https://b2beez.ru/images/detailed/159/orig_voe5-17.jpg</t>
  </si>
  <si>
    <t>D-618</t>
  </si>
  <si>
    <t>Сальники коленвала (набор) мотоблока 168F/170F (6,5/7Hp) (25*41,25*6 x 2шт) "BEEZMOTO"</t>
  </si>
  <si>
    <t>https://b2beez.ru/images/detailed/159/orig_lo2g-pj.jpg</t>
  </si>
  <si>
    <t>D-623</t>
  </si>
  <si>
    <t>Звезда редуктора малая мотоблока 168F/170F (6,5/7Hp) "MO ZHI FU"</t>
  </si>
  <si>
    <t>https://b2beez.ru/images/detailed/159/orig_f2w4-8o.jpg</t>
  </si>
  <si>
    <t>D-626</t>
  </si>
  <si>
    <t>Шестерня первичная главного вала мотоблока 168F/170F (6,5/7Hp) "MO ZHI FU"</t>
  </si>
  <si>
    <t>https://b2beez.ru/images/detailed/159/orig_ul4a-di.jpg</t>
  </si>
  <si>
    <t>D-660</t>
  </si>
  <si>
    <t>Маховик мотоблока 186F (9Hp) "DIGGER"</t>
  </si>
  <si>
    <t>https://b2beez.ru/images/detailed/159/6144150797.jpg</t>
  </si>
  <si>
    <t>D-677</t>
  </si>
  <si>
    <t>Прокладка выпускного колектора мотоблока 186F(9Hp) "DIGGER"</t>
  </si>
  <si>
    <t>https://b2beez.ru/images/detailed/159/6144150829.jpg</t>
  </si>
  <si>
    <t>D-695</t>
  </si>
  <si>
    <t>Трубка топливная высокого давления мотоблока 178F (6Hp) "DIGGER"</t>
  </si>
  <si>
    <t>https://b2beez.ru/images/detailed/159/orig_5izq-lx.jpg</t>
  </si>
  <si>
    <t>D-717</t>
  </si>
  <si>
    <t>Палец рычага задней скорости мотоблока 178F/186F (6/9Hp) "DIGGER"</t>
  </si>
  <si>
    <t>https://b2beez.ru/images/detailed/159/orig_kehx-qi.jpg</t>
  </si>
  <si>
    <t>D-757</t>
  </si>
  <si>
    <t>Вал коромысла мотоблока + корпус 175N/180N (7/9Hp) (d-12, H-47) "MO ZHI FU"</t>
  </si>
  <si>
    <t>https://b2beez.ru/images/detailed/159/orig_1tcc-ma.jpg</t>
  </si>
  <si>
    <t>D-760</t>
  </si>
  <si>
    <t>Вкладыши шатуна мотоблока 175N (7Hp) (+0,25) (D-48.5, d-45, H-24.5) "DIGGER"</t>
  </si>
  <si>
    <t>https://b2beez.ru/images/detailed/159/orig_959b-0v.jpg</t>
  </si>
  <si>
    <t>D-768</t>
  </si>
  <si>
    <t>Направляющие клапанов (пара) (в сборе) мотоблока 175N/180N (7/9Hp) "MO ZHI FU"</t>
  </si>
  <si>
    <t>https://b2beez.ru/images/detailed/160/orig_lv98-ia.jpg</t>
  </si>
  <si>
    <t>D-769</t>
  </si>
  <si>
    <t>Кольца поршневые мотоблока 175N (7Hp) .STD (Ø75,00) "MO ZHI FU"</t>
  </si>
  <si>
    <t>https://b2beez.ru/images/detailed/160/orig_ta1h-8w.jpg</t>
  </si>
  <si>
    <t>D-781</t>
  </si>
  <si>
    <t>Кулачок топливного насоса мотоблока 175N/180N (7/9Hp)"DIGGER"</t>
  </si>
  <si>
    <t>https://b2beez.ru/images/detailed/160/orig_6uc1-ye.jpg</t>
  </si>
  <si>
    <t>D-789</t>
  </si>
  <si>
    <t>Кольцо (манжет) гильзы уплотнительное мотоблока 175N (7Hp) (Ø75,00) "DIGGER"</t>
  </si>
  <si>
    <t>https://b2beez.ru/images/detailed/160/orig_0uze-gw.jpg</t>
  </si>
  <si>
    <t>D-790</t>
  </si>
  <si>
    <t>Кольцо уплотнительное гильзы мотоблока 180N (9Hp) (Ø80,00) "MO ZHI FU"</t>
  </si>
  <si>
    <t>https://b2beez.ru/images/detailed/160/orig_nldv-8w.jpg</t>
  </si>
  <si>
    <t>D-792</t>
  </si>
  <si>
    <t>Распредвал мотоблока 175N/180N (7/9Hp)"DIGGER"</t>
  </si>
  <si>
    <t>https://b2beez.ru/images/detailed/160/orig_54qp-8o.jpg</t>
  </si>
  <si>
    <t>D-793</t>
  </si>
  <si>
    <t>Шестерня коленвала распределительная мотоблока 180N (9Hp) (Z-24)"DIGGER"</t>
  </si>
  <si>
    <t>https://b2beez.ru/images/detailed/160/orig_ptl6-2p.jpg</t>
  </si>
  <si>
    <t>D-797</t>
  </si>
  <si>
    <t>Толкатели штанг ГРМ (пара) мотоблока 175N/180N (7/9Hp) "DIGGER"</t>
  </si>
  <si>
    <t>https://b2beez.ru/images/detailed/160/orig_l97x-rn.jpg</t>
  </si>
  <si>
    <t>D-802</t>
  </si>
  <si>
    <t>Распылитель форсунки мотоблока 175N/180N (7/9Hp) "MO ZHI FU"</t>
  </si>
  <si>
    <t>https://b2beez.ru/images/detailed/160/orig_fy7e-4n.jpg</t>
  </si>
  <si>
    <t>D-816</t>
  </si>
  <si>
    <t>Венец маховика мотоблока 175N/180N (7/9Hp, 135 зубов)"DIGGER"</t>
  </si>
  <si>
    <t>https://b2beez.ru/images/detailed/160/6144150507.jpg</t>
  </si>
  <si>
    <t>D-858</t>
  </si>
  <si>
    <t>Вал кик-стартера мотоблока 190N/195N (12/15Hp) "DIGGER"</t>
  </si>
  <si>
    <t>https://b2beez.ru/images/detailed/160/orig_w9t2-wi.jpg</t>
  </si>
  <si>
    <t>D-883</t>
  </si>
  <si>
    <t>Крышка головки цилиндра мотоблока 195N (12Hp) (1GZ90) "DIGGER" (mod:A)</t>
  </si>
  <si>
    <t>https://b2beez.ru/images/detailed/160/6144150722.jpg</t>
  </si>
  <si>
    <t>D-888</t>
  </si>
  <si>
    <t>Кольцо уплотнительное гильзы мотоблока (2шт) 195N (12Hp) (Ø95,00) "MO ZHI FU"</t>
  </si>
  <si>
    <t>https://b2beez.ru/images/detailed/160/orig_ibty-qp.jpg</t>
  </si>
  <si>
    <t>D-898</t>
  </si>
  <si>
    <t>Распылитель форсунки мотоблока 190N/195N (12/15Hp) (1GZ)</t>
  </si>
  <si>
    <t>https://b2beez.ru/images/detailed/160/orig_p3n2-ur.jpg</t>
  </si>
  <si>
    <t>D-901</t>
  </si>
  <si>
    <t>Шестерня распредвала мотоблока 195N (12Hp) "DIGGER"</t>
  </si>
  <si>
    <t>D-911</t>
  </si>
  <si>
    <t>Шланги топливные низкого давления (обратка) мотоблока 190N/195 N (12/15Hp) (пара) "DIGGER"</t>
  </si>
  <si>
    <t>https://b2beez.ru/images/detailed/160/orig_t8ms-ug.jpg</t>
  </si>
  <si>
    <t>D-926</t>
  </si>
  <si>
    <t>Шестерня пускового механизма ведомая мотоблока 195N (12Hp) "DIGGER"</t>
  </si>
  <si>
    <t>https://b2beez.ru/images/detailed/160/6144151158.jpg</t>
  </si>
  <si>
    <t>D-927</t>
  </si>
  <si>
    <t>Шестерня пускового механизма ведущая мотоблока 195N (12Hp) (Z-21) "DIGGER"</t>
  </si>
  <si>
    <t>D-936</t>
  </si>
  <si>
    <t>Вал понижающей/повышающей шестерни КПП мотоблока 180N/195N (9Hp/12Hp) "DIGGER"</t>
  </si>
  <si>
    <t>https://b2beez.ru/images/detailed/160/6144150506.jpg</t>
  </si>
  <si>
    <t>D-937</t>
  </si>
  <si>
    <t>Вал шестерни задней передачи мотоблока 195N (12Hp) "DIGGER"</t>
  </si>
  <si>
    <t>https://b2beez.ru/images/detailed/160/6144150520.jpg</t>
  </si>
  <si>
    <t>D-956</t>
  </si>
  <si>
    <t>Ось вилки понижающей передачи мотоблока 180N/195N (9Hp/12Hp) "DIGGER"</t>
  </si>
  <si>
    <t>https://b2beez.ru/images/detailed/160/orig_osfo-gu.jpg</t>
  </si>
  <si>
    <t>D-961</t>
  </si>
  <si>
    <t>Рычаг управления оборотами двигателя мотоблока 190N (12Hp) "MO ZHI FU"</t>
  </si>
  <si>
    <t>https://b2beez.ru/images/detailed/160/orig_c9cq-fb.jpg</t>
  </si>
  <si>
    <t>D-968</t>
  </si>
  <si>
    <t>Шестерня ведомая 3 передачи КПП мотоблока 180N/195N (9Hp/12Hp) (6 шлицов, Z-31) "MO ZHI FU"</t>
  </si>
  <si>
    <t>https://b2beez.ru/images/detailed/160/orig_90nq-q8.jpg</t>
  </si>
  <si>
    <t>D-971</t>
  </si>
  <si>
    <t>Шестерня ведущая 1/зад передачи КПП мотоблока 180N/195N (9Hp/12Hp) "DIGGER" (6 шлицов, Z-17)</t>
  </si>
  <si>
    <t>https://b2beez.ru/images/detailed/160/6144151129.jpg</t>
  </si>
  <si>
    <t>D-973</t>
  </si>
  <si>
    <t>Шестерня ведущая понижающая КПП мотоблока 180N/195N (9Hp/12Hp) (6 шлицов, Z-17) "DIGGER"</t>
  </si>
  <si>
    <t>https://b2beez.ru/images/detailed/160/6144151071.jpg</t>
  </si>
  <si>
    <t>K-1250</t>
  </si>
  <si>
    <t>Кран топливный бензогенератора (гайка Ø18mm, штуцер 90*, резерв) "BEEZMOTO"</t>
  </si>
  <si>
    <t>https://b2beez.ru/images/detailed/166/orig_ie0c-mm.jpg</t>
  </si>
  <si>
    <t>K-2918</t>
  </si>
  <si>
    <t>Карбюратор мотоблока 152F "GP"</t>
  </si>
  <si>
    <t>https://b2beez.ru/images/detailed/166/orig_kd76-r9.jpg</t>
  </si>
  <si>
    <t>R-2052</t>
  </si>
  <si>
    <t>Ремень мотоблока A1180 (1180*13mm) "SUNDY"</t>
  </si>
  <si>
    <t>https://b2beez.ru/images/detailed/176/6836401772.jpg</t>
  </si>
  <si>
    <t>R-2058</t>
  </si>
  <si>
    <t>Ремень мотоблока A1900 (1900*13mm) "DIESEL"</t>
  </si>
  <si>
    <t>https://b2beez.ru/images/detailed/176/orig_qg34-8a.jpg</t>
  </si>
  <si>
    <t>R-2060</t>
  </si>
  <si>
    <t>Ремень мотоблока A2000 (2000*13mm) "DIESEL"</t>
  </si>
  <si>
    <t>https://b2beez.ru/images/detailed/176/orig_vrce-a9.jpg</t>
  </si>
  <si>
    <t>S-4905</t>
  </si>
  <si>
    <t>Подшипник коленвала мотоблока 6311 55*120*29 (190N/195N) "KOMATCU" (mod.A)</t>
  </si>
  <si>
    <t>https://b2beez.ru/images/detailed/181/6144150886.jpg</t>
  </si>
  <si>
    <t>S-2734</t>
  </si>
  <si>
    <t>Подшипник редуктора мотоблока 6307-2RS 35*80*21 (редуктора фрезы 178/186F) "HRB"</t>
  </si>
  <si>
    <t>https://b2beez.ru/images/detailed/179/orig_l3pp-mc.jpg</t>
  </si>
  <si>
    <t>S-2898</t>
  </si>
  <si>
    <t>Подшипник КПП мотоблока 6009-2RS 45*75*16 (мотоблок ZUBR 178F, ATV-300) "QUEST"</t>
  </si>
  <si>
    <t>https://b2beez.ru/images/detailed/179/orig_fxur-nt.jpg</t>
  </si>
  <si>
    <t>S-3177</t>
  </si>
  <si>
    <t>Подшипник КПП мотоблока 6009-2RS 45*75*16 (мотоблок ZUBR 178F, ATV-300) (Япония) "SKF"</t>
  </si>
  <si>
    <t>https://b2beez.ru/images/detailed/180/6144150902.jpg</t>
  </si>
  <si>
    <t>S-3188</t>
  </si>
  <si>
    <t>Подшипник редуктора мотоблока 6307-ZZ 35*80*21 (редуктора фрезы 178/186F) (Япония) "KOY"</t>
  </si>
  <si>
    <t>https://b2beez.ru/images/detailed/180/6320884867.jpg</t>
  </si>
  <si>
    <t>S-3189</t>
  </si>
  <si>
    <t>Подшипник коленвала мотоблока 6308-ZZ 40*90*23 (186F) (Япония) "KOY"</t>
  </si>
  <si>
    <t>https://b2beez.ru/images/detailed/180/6144150819_kvsm-gk.jpg</t>
  </si>
  <si>
    <t>S-2899</t>
  </si>
  <si>
    <t>Подшипник КПП мотоблока 6009-2RS 45*75*16 (мотоблок ZUBR 178F, ATV-300) "SK"</t>
  </si>
  <si>
    <t>https://b2beez.ru/images/detailed/179/orig_x62b-nw.jpg</t>
  </si>
  <si>
    <t>S-2919</t>
  </si>
  <si>
    <t>Подшипник коленвала мотоблока 6210-2RS 50*90*20 (175N/180N) "QUEST"</t>
  </si>
  <si>
    <t>https://b2beez.ru/images/detailed/179/orig_y9g5-pg.jpg</t>
  </si>
  <si>
    <t>S-2920</t>
  </si>
  <si>
    <t>Подшипник коленвала мотоблока 6210-2RS 50*90*20 (175N/180N) "SK"</t>
  </si>
  <si>
    <t>https://b2beez.ru/images/detailed/179/6144150790_0sll-cm.jpg</t>
  </si>
  <si>
    <t>S-2940</t>
  </si>
  <si>
    <t>Подшипник редуктора мотоблока 6307-2RS 35*80*21 (редуктора фрезы 178/186F) "QUEST"</t>
  </si>
  <si>
    <t>https://b2beez.ru/images/detailed/179/6144150895.jpg</t>
  </si>
  <si>
    <t>S-2941</t>
  </si>
  <si>
    <t>Подшипник редуктора мотоблока 6307-2RS 35*80*21 (редуктора фрезы 178/186F) "SK"</t>
  </si>
  <si>
    <t>https://b2beez.ru/images/detailed/179/orig_973x-jb.jpg</t>
  </si>
  <si>
    <t>S-2943</t>
  </si>
  <si>
    <t>Подшипник коленвала мотоблока 6308-2RS 40*90*23 (186F) "QUEST"</t>
  </si>
  <si>
    <t>https://b2beez.ru/images/detailed/179/orig_pccm-wg.jpg</t>
  </si>
  <si>
    <t>S-2944</t>
  </si>
  <si>
    <t>Подшипник коленвала мотоблока 6308-2RS 40*90*23 (186F) "SK"</t>
  </si>
  <si>
    <t>https://b2beez.ru/images/detailed/179/orig_wkl7-dx.jpg</t>
  </si>
  <si>
    <t>S-3032</t>
  </si>
  <si>
    <t>Подшипник коленвала мотоблока 6210-2RS 50*90*20 (175N/180N) "TRDA"</t>
  </si>
  <si>
    <t>https://b2beez.ru/images/detailed/180/6320862129.jpg</t>
  </si>
  <si>
    <t>S-3047</t>
  </si>
  <si>
    <t>Подшипник коленвала мотоблока 6307 35*80*21 (178F) "TRDA"</t>
  </si>
  <si>
    <t>https://b2beez.ru/images/detailed/180/orig_z5b8-r6.jpg</t>
  </si>
  <si>
    <t>S-3048</t>
  </si>
  <si>
    <t>Подшипник коленвала мотоблока 6308 40*90*23 (186F) "TRDA"</t>
  </si>
  <si>
    <t>https://b2beez.ru/images/detailed/180/6144150793_igf0-x0.jpg</t>
  </si>
  <si>
    <t>D-2846</t>
  </si>
  <si>
    <t>Коленвал мотоблока 175N (7Hp) (голый) (посадочные места подшипников 45/50mm)</t>
  </si>
  <si>
    <t>https://b2beez.ru/images/detailed/158/orig_an4y-5k.jpg</t>
  </si>
  <si>
    <t>12.01.007.000</t>
  </si>
  <si>
    <t>Ремень мотоблока A670 (670*13mm) клиновой "BRAIT"</t>
  </si>
  <si>
    <t>https://b2beez.ru/images/detailed/48/orig_sut5-yu.jpg</t>
  </si>
  <si>
    <t>D-2930</t>
  </si>
  <si>
    <t>Прокладки редуктора (набор) мотоблока 175N/180N (7/9Hp) "XING"</t>
  </si>
  <si>
    <t>https://b2beez.ru/images/detailed/158/orig_i6dv-wm.jpg</t>
  </si>
  <si>
    <t>D-1849</t>
  </si>
  <si>
    <t>Элемент воздушного фильтра мотоблока 168/170F (GX160/GX200) (6.5/7Hp) "SUNDY"</t>
  </si>
  <si>
    <t>https://b2beez.ru/images/detailed/157/orig_f1tl-x7.jpg</t>
  </si>
  <si>
    <t>D-1847</t>
  </si>
  <si>
    <t>Фильтр воздушный (в сборе) мотоблока 168F/170F (GX160, GX200) "ZS"</t>
  </si>
  <si>
    <t>https://b2beez.ru/images/detailed/157/orig_ej8w-bk.jpg</t>
  </si>
  <si>
    <t>D-2873</t>
  </si>
  <si>
    <t>Фильтр масляный мотоблока 175N/180N (7/9 Hp) "XING"</t>
  </si>
  <si>
    <t>https://b2beez.ru/images/detailed/158/orig_9zoj-48.jpg</t>
  </si>
  <si>
    <t>На роторные косилоки мотоблока</t>
  </si>
  <si>
    <t>Для мотопомп</t>
  </si>
  <si>
    <t>N-1921</t>
  </si>
  <si>
    <t>Фланец выпускной мотопомпы 2" "DIGGER"</t>
  </si>
  <si>
    <t>https://b2beez.ru/images/detailed/170/6459282098.jpg</t>
  </si>
  <si>
    <t>N-1922</t>
  </si>
  <si>
    <t>Фланец выпускной мотопомпы 3" "DIGGER"</t>
  </si>
  <si>
    <t>https://b2beez.ru/images/detailed/170/6459282097.jpg</t>
  </si>
  <si>
    <t>N-1931</t>
  </si>
  <si>
    <t>Сальник улитки мотопомпы (D¹-45.5mm, D²-35mm, d-21.5mm) "GP"</t>
  </si>
  <si>
    <t>https://b2beez.ru/images/detailed/170/6459282033.jpg</t>
  </si>
  <si>
    <t>N-1932</t>
  </si>
  <si>
    <t>Сальник крышки корпуса мотопомпы 2" (D¹-45.5mm, D²-35mm, d-21.5mm) "GP"</t>
  </si>
  <si>
    <t>https://b2beez.ru/images/detailed/170/6459282064.jpg</t>
  </si>
  <si>
    <t>N-1933</t>
  </si>
  <si>
    <t>Сальник крышки корпуса мотопомпы 3" (D-38mm, d-21.5mm) "DIGGER"</t>
  </si>
  <si>
    <t>https://b2beez.ru/images/detailed/170/6459282064_6bp9-g6.jpg</t>
  </si>
  <si>
    <t>N-1936</t>
  </si>
  <si>
    <t>Крыльчатка мотопомпы 2" (под вал 20mm) "DIGGER"</t>
  </si>
  <si>
    <t>https://b2beez.ru/images/detailed/170/6459663219.jpg</t>
  </si>
  <si>
    <t>N-1938</t>
  </si>
  <si>
    <t>Пробка заливная мотопомпы "DIGGER"</t>
  </si>
  <si>
    <t>https://b2beez.ru/images/detailed/170/6459663309.jpg</t>
  </si>
  <si>
    <t>N-1941</t>
  </si>
  <si>
    <t>Обратный клапан мотопомпы 3" "DIGGER"</t>
  </si>
  <si>
    <t>https://b2beez.ru/images/detailed/170/orig_yevv-1n.jpg</t>
  </si>
  <si>
    <t>N-1945</t>
  </si>
  <si>
    <t>Прокладка фланца выпускного мотопомпы 2"</t>
  </si>
  <si>
    <t>https://b2beez.ru/images/detailed/170/6459282084.jpg</t>
  </si>
  <si>
    <t>N-1946</t>
  </si>
  <si>
    <t>Прокладка фланца выпускного мотопомпы 3" "DIGGER"</t>
  </si>
  <si>
    <t>https://b2beez.ru/images/detailed/170/6459282084_9oc4-th.jpg</t>
  </si>
  <si>
    <t>Для моторных лодок</t>
  </si>
  <si>
    <t>Лодочный мотор</t>
  </si>
  <si>
    <t>Для мототехники</t>
  </si>
  <si>
    <t>K-4473</t>
  </si>
  <si>
    <t>Коробка передач (в сборе) 4T 125сс (153FMI, 154FMI, TTR125) "Xuan Koo"</t>
  </si>
  <si>
    <t>https://b2beez.ru/images/detailed/167/7050620834_pxg1-fb.jpg</t>
  </si>
  <si>
    <t>C-2414</t>
  </si>
  <si>
    <t>Демпфер заднего колеса Alpha, Delta (+звезда 428-36T, подшипник, сальник) "BEEZMOTO"</t>
  </si>
  <si>
    <t>https://b2beez.ru/images/detailed/156/7154186951.jpg</t>
  </si>
  <si>
    <t>Z-0473</t>
  </si>
  <si>
    <t>Звезда трансмиссии (задняя) Delta 428-36T "BEEZMOTO"</t>
  </si>
  <si>
    <t>https://b2beez.ru/images/detailed/188/7154036614.jpg</t>
  </si>
  <si>
    <t>K-6232</t>
  </si>
  <si>
    <t>Колодки тормозные (диск) Yamaha JOG SA04 (черные) "BEEZMOTO"</t>
  </si>
  <si>
    <t>https://b2beez.ru/images/detailed/168/7173105958.jpg</t>
  </si>
  <si>
    <t>K-2521</t>
  </si>
  <si>
    <t>Колодки тормозные (диск) Yamaha JOG SA16 (черные) "BEEZMOTO"</t>
  </si>
  <si>
    <t>https://b2beez.ru/images/detailed/166/7173108841.jpg</t>
  </si>
  <si>
    <t>K-0524</t>
  </si>
  <si>
    <t>Сепаратор верхней головки шатуна (14*18*16.5) Yamaha BWS 100 "BEEZMOTO"</t>
  </si>
  <si>
    <t>https://b2beez.ru/images/detailed/166/7175050140.jpg</t>
  </si>
  <si>
    <t>R-3703</t>
  </si>
  <si>
    <t>Кожух троса газа (домик газа) KAYO, IRBIS TTR 125 "BEEZMOTO"</t>
  </si>
  <si>
    <t>https://b2beez.ru/images/detailed/177/7181139285.jpg</t>
  </si>
  <si>
    <t>K-9886</t>
  </si>
  <si>
    <t>Катушка зажигания 4T GY6 125/150 (+насвечник) "BEEZMOTO"</t>
  </si>
  <si>
    <t>https://b2beez.ru/images/detailed/169/orig_gk83-15.jpg</t>
  </si>
  <si>
    <t>O-2420</t>
  </si>
  <si>
    <t>Фара (голая) Suzuki Sepia 1 "BEEZMOTO"</t>
  </si>
  <si>
    <t>https://b2beez.ru/images/detailed/172/orig_5mhm-hu.jpg</t>
  </si>
  <si>
    <t>E-87</t>
  </si>
  <si>
    <t>Электростартер 172MM VIPER TORNADO, JONWAY RANGER 250 "KOMATCU"</t>
  </si>
  <si>
    <t>https://b2beez.ru/images/detailed/90/6243585953.jpg</t>
  </si>
  <si>
    <t>G-1539</t>
  </si>
  <si>
    <t>Глушитель (тюнинг) L-458*100 mm, креп. Ø78mm (нержавейка, квадраты, без креплений, mod:41)</t>
  </si>
  <si>
    <t>https://b2beez.ru/images/detailed/90/orig_d51q-o3.jpg</t>
  </si>
  <si>
    <t>G-1636</t>
  </si>
  <si>
    <t>Глушитель (тюнинг) L-530*100mm, креп. Ø78mm (нержавейка, пламя, радуга, прямоток, mod:1)</t>
  </si>
  <si>
    <t>https://b2beez.ru/images/detailed/102/orig_2f0j-wg.jpg</t>
  </si>
  <si>
    <t>G-1658</t>
  </si>
  <si>
    <t>Глушитель (тюнинг) L-365*80 mm, креп. Ø48mm (нержавейка, овал, фиолетово-синий, прямоток, mod:5)</t>
  </si>
  <si>
    <t>https://b2beez.ru/images/detailed/90/6123209034.jpg</t>
  </si>
  <si>
    <t>G-1969</t>
  </si>
  <si>
    <t>Глушитель (тюнинг) L-345*105 mm (нержавейка, овал, хром, прямоток) 118</t>
  </si>
  <si>
    <t>https://b2beez.ru/images/detailed/90/6123209137.jpg</t>
  </si>
  <si>
    <t>G-1989</t>
  </si>
  <si>
    <t>Глушитель (тюнинг) L-435*110 mm (нержавейка, три-овал, серебро, прямоток) "118"</t>
  </si>
  <si>
    <t>https://b2beez.ru/images/detailed/90/6123209216_lrwy-z4.jpg</t>
  </si>
  <si>
    <t>C-0972</t>
  </si>
  <si>
    <t>Карбюратор К65В ВОСХОД "SDTW"</t>
  </si>
  <si>
    <t>https://b2beez.ru/images/detailed/204/1_hv01-b5.jpg</t>
  </si>
  <si>
    <t>C-1153</t>
  </si>
  <si>
    <t>Звезда трансмиссии ведущая (передняя) 428-14T, 20мм, TTR 250, CB/CG 125-250 (+стопорная шайба) "BEEZMOTO"</t>
  </si>
  <si>
    <t>https://b2beez.ru/images/detailed/205/1_r4lh-cg.jpg</t>
  </si>
  <si>
    <t>Универсальные</t>
  </si>
  <si>
    <t>Амортизаторы</t>
  </si>
  <si>
    <t>A-978</t>
  </si>
  <si>
    <t>Амортизаторы (пара) универсальные 260mm, газомасляные (красные, +ключ, втулки) "NDT"</t>
  </si>
  <si>
    <t>https://b2beez.ru/images/detailed/154/orig_ww58-qs.jpg</t>
  </si>
  <si>
    <t>S-7661</t>
  </si>
  <si>
    <t>Втулки амортизатора (пара) (Ø=15/12mm, L=21mm) "NDT"</t>
  </si>
  <si>
    <t>https://b2beez.ru/images/detailed/204/S-7661-2_54dn-ds.jpg</t>
  </si>
  <si>
    <t>A-979</t>
  </si>
  <si>
    <t>Амортизаторы (пара) универсальные 280mm, газомасляные (черные) "NDT"</t>
  </si>
  <si>
    <t>https://b2beez.ru/images/detailed/154/orig_ruiw-tk.jpg</t>
  </si>
  <si>
    <t>A-963</t>
  </si>
  <si>
    <t>Амортизаторы (пара) универсальные 320mm, газомасляные (красные, +ключ, втулки) "NDT"</t>
  </si>
  <si>
    <t>https://b2beez.ru/images/detailed/154/orig_7dh0-nc.jpg</t>
  </si>
  <si>
    <t>A-982</t>
  </si>
  <si>
    <t>Амортизаторы (пара) универсальные 280mm, газомасляные (красные, +ключ, втулки) "NDT"</t>
  </si>
  <si>
    <t>https://b2beez.ru/images/detailed/154/orig_1p8c-m3.jpg</t>
  </si>
  <si>
    <t>Глушители/резонаторы/системы отвода газов</t>
  </si>
  <si>
    <t>G-2360</t>
  </si>
  <si>
    <t>Заглушка глушителя (резиновая, Ø17.5-34mm красная)</t>
  </si>
  <si>
    <t>https://b2beez.ru/images/detailed/162/orig_c77w-5j.jpg</t>
  </si>
  <si>
    <t>G-2371</t>
  </si>
  <si>
    <t>Заглушка глушителя (резиновая, Ø17.5-34mm синяя)</t>
  </si>
  <si>
    <t>https://b2beez.ru/images/detailed/162/orig_dik0-nm.jpg</t>
  </si>
  <si>
    <t>G-2354</t>
  </si>
  <si>
    <t>Заглушка глушителя (резиновая, Ø17.5-34mm черная)</t>
  </si>
  <si>
    <t>https://b2beez.ru/images/detailed/162/orig_o2tn-3y.jpg</t>
  </si>
  <si>
    <t>P-3802</t>
  </si>
  <si>
    <t>Прокладка глушителя (кольцо) D-32.5mm, d-25mm "BEEZMOTO" (mod:B)</t>
  </si>
  <si>
    <t>https://b2beez.ru/images/detailed/173/orig_cddn-l8.jpg</t>
  </si>
  <si>
    <t>P-2056</t>
  </si>
  <si>
    <t>Прокладка глушителя паронитовая Ø34.5/27mm (бронза) x 10шт "BEEZMOTO"</t>
  </si>
  <si>
    <t>https://b2beez.ru/images/detailed/173/6960015156.jpg</t>
  </si>
  <si>
    <t>P-2058</t>
  </si>
  <si>
    <t>Прокладка глушителя (кольцо) D-30mm, d-22mm  "BEEZMOTO" (mod:B)</t>
  </si>
  <si>
    <t>https://b2beez.ru/images/detailed/173/orig_klkj-td.jpg</t>
  </si>
  <si>
    <t>P-2060</t>
  </si>
  <si>
    <t>Прокладка глушителя паронитовая Ø40mm "SHANGZHI" (mod:A)</t>
  </si>
  <si>
    <t>https://b2beez.ru/images/detailed/173/6272440593.jpg</t>
  </si>
  <si>
    <t>P-2061</t>
  </si>
  <si>
    <t>Прокладка глушителя (кольцо) D-30mm, d-22mm  "BEEZMOTO" (mod:A)</t>
  </si>
  <si>
    <t>https://b2beez.ru/images/detailed/173/orig_cbpc-6n.jpg</t>
  </si>
  <si>
    <t>G-1597</t>
  </si>
  <si>
    <t>Глушитель (тюнинг) L-400*90 mm, креп. Ø48mm (нержавейка, радуга, перфорированный, mod:1)</t>
  </si>
  <si>
    <t>https://b2beez.ru/images/detailed/161/6123208969.jpg</t>
  </si>
  <si>
    <t>G-1601</t>
  </si>
  <si>
    <t>Глушитель (тюнинг) L-509*100mm, креп. Ø78mm (нержавейка, зебра, цветной, прямоток, mod:6)</t>
  </si>
  <si>
    <t>https://b2beez.ru/images/detailed/161/6123208986.jpg</t>
  </si>
  <si>
    <t>G-1626</t>
  </si>
  <si>
    <t>Глушитель (тюнинг) L-510*100 mm, креп. Ø78mm (нержавейка, пламя, красный, прямоток, mod:3)</t>
  </si>
  <si>
    <t>https://b2beez.ru/images/detailed/161/6123209013.jpg</t>
  </si>
  <si>
    <t>G-3192</t>
  </si>
  <si>
    <t>Резонатор глушителя "118"</t>
  </si>
  <si>
    <t>https://b2beez.ru/images/detailed/162/6272440601.jpg</t>
  </si>
  <si>
    <t>S-2970</t>
  </si>
  <si>
    <t>Система отвода картерных газов (стайлинг) (хром) "MONSTER"</t>
  </si>
  <si>
    <t>https://b2beez.ru/images/detailed/179/6272440603.jpg</t>
  </si>
  <si>
    <t>S-2971</t>
  </si>
  <si>
    <t>Система отвода картерных газов (стайлинг) (плазма) "MONSTER"</t>
  </si>
  <si>
    <t>https://b2beez.ru/images/detailed/179/6272440587.jpg</t>
  </si>
  <si>
    <t>S-3599</t>
  </si>
  <si>
    <t>Система отвода картерных газов (стайлинг) 190*80mm (зеленая) "118"</t>
  </si>
  <si>
    <t>https://b2beez.ru/images/detailed/180/6272440600.jpg</t>
  </si>
  <si>
    <t>G-227</t>
  </si>
  <si>
    <t>Глушитель (тюнинг) L-525*100 mm, креп. Ø78mm (нержавейка, квадраты, синий)</t>
  </si>
  <si>
    <t>https://b2beez.ru/images/detailed/162/orig_zl6j-z7.jpg</t>
  </si>
  <si>
    <t>P-2084</t>
  </si>
  <si>
    <t>Прокладка глушителя (кольцо) D-32mm, d-26mm "BEEZMOTO" (mod:A)</t>
  </si>
  <si>
    <t>https://b2beez.ru/images/detailed/173/orig_qnb8-ci.jpg</t>
  </si>
  <si>
    <t>Гофры вилки</t>
  </si>
  <si>
    <t>P-2537</t>
  </si>
  <si>
    <t>Гофры передней вилки (пара) STELS Delta 200, TTR250 L-190mm, d-30mm, D-45mm (черные) "MZK"</t>
  </si>
  <si>
    <t>https://b2beez.ru/images/detailed/173/orig_2t33-tm.jpg</t>
  </si>
  <si>
    <t>P-2531</t>
  </si>
  <si>
    <t>Гофры передней вилки (пара) универсальные L-250mm, d-30mm, D-50mm (черные) "MZK"</t>
  </si>
  <si>
    <t>https://b2beez.ru/images/detailed/173/orig_i2pq-m7.jpg</t>
  </si>
  <si>
    <t>Зеркала</t>
  </si>
  <si>
    <t>Z-8942</t>
  </si>
  <si>
    <t>Зеркала для мотоцикла 10мм, универсальные CBT "BEEZMOTO"</t>
  </si>
  <si>
    <t>https://b2beez.ru/images/detailed/204/Z-8942-3.jpg</t>
  </si>
  <si>
    <t>Z-0734</t>
  </si>
  <si>
    <t>Зеркала TTR125,TTR250 (M10) (правая резьба) "BEEZMOTO"</t>
  </si>
  <si>
    <t>https://b2beez.ru/images/detailed/188/orig_fakt-kz.jpg</t>
  </si>
  <si>
    <t>Z-0368</t>
  </si>
  <si>
    <t>Зеркала для мотоцикла 10мм, хром, универсальные GN125 "BEEZMOTO"</t>
  </si>
  <si>
    <t>https://b2beez.ru/images/detailed/188/6741710090.jpg</t>
  </si>
  <si>
    <t>Z-0841</t>
  </si>
  <si>
    <t>Зеркала TTR125,TTR250 (M8) (пятиугольные, черные, правая резьба) "BEEZMOTO"</t>
  </si>
  <si>
    <t>https://b2beez.ru/images/detailed/188/orig_ukff-7l.jpg</t>
  </si>
  <si>
    <t>Z-3016</t>
  </si>
  <si>
    <t>Зеркала для мотоцикла 10мм, хром, универсальные ZB125 "BEEZMOTO"</t>
  </si>
  <si>
    <t>https://b2beez.ru/images/detailed/204/Z-3016-2.jpg</t>
  </si>
  <si>
    <t>C-0131</t>
  </si>
  <si>
    <t>Зеркала XF125[ZF001-46] (chrome plating,metal shell) (M10) "BEEZMOTO"</t>
  </si>
  <si>
    <t>https://b2beez.ru/images/detailed/154/7066103479.jpg</t>
  </si>
  <si>
    <t>Z-498-U1</t>
  </si>
  <si>
    <t>Зеркала многоугольные mod:234, 8/10mm (синие) "WATER PAUL" (Повреждения)</t>
  </si>
  <si>
    <t>Z-1231</t>
  </si>
  <si>
    <t>Зеркала Honda LEAD AF48 (M8) (правая резьба) "BEEZMOTO"</t>
  </si>
  <si>
    <t>https://b2beez.ru/images/detailed/188/orig_r0kt-vc.jpg</t>
  </si>
  <si>
    <t>Z-0913</t>
  </si>
  <si>
    <t>Зеркала Yamaha JOG, DIO (M8) (правая резьба) "BEEZMOTO"</t>
  </si>
  <si>
    <t>https://b2beez.ru/images/detailed/188/orig_bn3i-ho.jpg</t>
  </si>
  <si>
    <t>Z-0913-U1</t>
  </si>
  <si>
    <t>Зеркала Yamaha JOG, DIO (M8) (правая резьба) "BEEZMOTO"(Не комплект)</t>
  </si>
  <si>
    <t>C-1317-U1</t>
  </si>
  <si>
    <t>Зеркала Honda DIO (M8) "BEEZMOTO" (Только правое)</t>
  </si>
  <si>
    <t>https://b2beez.ru/images/detailed/204/C-1317-U1.jpg</t>
  </si>
  <si>
    <t>Z-292-U1</t>
  </si>
  <si>
    <t>Зеркала многоугольные mod:201, 8/10mm (серебро) "RED" (Правое)</t>
  </si>
  <si>
    <t>https://b2beez.ru/images/detailed/204/Z-292-U1-2.jpg</t>
  </si>
  <si>
    <t>Z-492-U1</t>
  </si>
  <si>
    <t>Зеркала многоугольные mod:200, 8/10mm (серебро) "SUACO" (Правое)</t>
  </si>
  <si>
    <t>https://b2beez.ru/images/detailed/204/Z-492-U1-3.jpg</t>
  </si>
  <si>
    <t>Z-869</t>
  </si>
  <si>
    <t>Зеркала Delta (M10, круглые, черные, правая резьба) "BEEZMOTO"</t>
  </si>
  <si>
    <t>https://b2beez.ru/images/detailed/204/Z-869-3_bxvb-9l.jpg</t>
  </si>
  <si>
    <t>Z-292</t>
  </si>
  <si>
    <t>Зеркала для мотоцикла 8мм, 10мм, серебро, многоугольные, mod:201 "RED"</t>
  </si>
  <si>
    <t>https://b2beez.ru/images/detailed/204/Z-292.jpg</t>
  </si>
  <si>
    <t>Z-492</t>
  </si>
  <si>
    <t>Зеркала для мотоцикла 8мм, 10мм, серебро, многоугольные "SUACO"</t>
  </si>
  <si>
    <t>https://b2beez.ru/images/detailed/204/Z-492-2.jpg</t>
  </si>
  <si>
    <t>Z-494</t>
  </si>
  <si>
    <t>Зеркала для мотоцикла 8мм, 10мм, синий, многоугольные "SUACO"</t>
  </si>
  <si>
    <t>https://b2beez.ru/images/detailed/204/Z-494.jpg</t>
  </si>
  <si>
    <t>Z-758</t>
  </si>
  <si>
    <t>Зеркала (зеленые, треугольные, алюм., антиблик, переход., инструм.) "REAR MIRROR"</t>
  </si>
  <si>
    <t>C-1306</t>
  </si>
  <si>
    <t>Зеркала Yamaha JOG, DIO (M10) "TMMP"</t>
  </si>
  <si>
    <t>https://b2beez.ru/images/detailed/155/6243586322.jpg</t>
  </si>
  <si>
    <t>C-1315</t>
  </si>
  <si>
    <t>Зеркала BAJAJ-B (M10) (овал, правая резьба) "BEEZMOTO"</t>
  </si>
  <si>
    <t>https://b2beez.ru/images/detailed/155/orig_88xc-k4.jpg</t>
  </si>
  <si>
    <t>C-1317</t>
  </si>
  <si>
    <t>Зеркала Honda DIO (M8) (правая резьба) "BEEZMOTO"</t>
  </si>
  <si>
    <t>https://b2beez.ru/images/detailed/155/orig_o4vg-cu.jpg</t>
  </si>
  <si>
    <t>C-1315-U1</t>
  </si>
  <si>
    <t>Зеркала BAJAJ-B (овал) M10 "TMMP" (Левое)</t>
  </si>
  <si>
    <t>C-1306-U1</t>
  </si>
  <si>
    <t>Зеркала Yamaha JOG, DIO (M10) "TMMP" (Скол)</t>
  </si>
  <si>
    <t>Крепёж и метизы</t>
  </si>
  <si>
    <t>R-3808</t>
  </si>
  <si>
    <t>Крепление фары Alpha, Delta (хром) "BEEZMOTO"</t>
  </si>
  <si>
    <t>https://b2beez.ru/images/detailed/177/orig_yvij-82.jpg</t>
  </si>
  <si>
    <t>J-10</t>
  </si>
  <si>
    <t>Крючок для сумки (зеленый) "RIDE IT"</t>
  </si>
  <si>
    <t>https://b2beez.ru/images/detailed/165/6286959061.jpg</t>
  </si>
  <si>
    <t>J-11</t>
  </si>
  <si>
    <t>Крючок для сумки (желтый) "RIDE IT"</t>
  </si>
  <si>
    <t>https://b2beez.ru/images/detailed/165/orig_xyxq-il.jpg</t>
  </si>
  <si>
    <t>R-1656</t>
  </si>
  <si>
    <t>Крючок для сумки (красный) "GJCT"</t>
  </si>
  <si>
    <t>https://b2beez.ru/images/detailed/176/6286959059.jpg</t>
  </si>
  <si>
    <t>R-2124</t>
  </si>
  <si>
    <t>Крючок для сумки (желтый) "GJCT"</t>
  </si>
  <si>
    <t>https://b2beez.ru/images/detailed/176/6277599196.jpg</t>
  </si>
  <si>
    <t>M-426</t>
  </si>
  <si>
    <t>Шайба металл (10*20*2mm) "GUANG" (50шт)</t>
  </si>
  <si>
    <t>https://b2beez.ru/images/detailed/169/6458498247.jpg</t>
  </si>
  <si>
    <t>M-427</t>
  </si>
  <si>
    <t>Шайба металл (12*24*2mm) "GUANG" (50шт)</t>
  </si>
  <si>
    <t>https://b2beez.ru/images/detailed/169/6458499149.jpg</t>
  </si>
  <si>
    <t>M-498</t>
  </si>
  <si>
    <t>Ремонтная резьбовая вставка (футорка) для внутренней резьбы M6*1,00 (10шт) "KOMATCU"</t>
  </si>
  <si>
    <t>https://b2beez.ru/images/detailed/169/6474467532.jpg</t>
  </si>
  <si>
    <t>M-424</t>
  </si>
  <si>
    <t>Шайба металл (6*12*1.5mm) "GUANG" (50шт)</t>
  </si>
  <si>
    <t>https://b2beez.ru/images/detailed/169/6458500111.jpg</t>
  </si>
  <si>
    <t>M-425</t>
  </si>
  <si>
    <t>Шайба металл (8*16*1.5mm) "GUANG" (50шт)</t>
  </si>
  <si>
    <t>https://b2beez.ru/images/detailed/169/6458501374.jpg</t>
  </si>
  <si>
    <t>Насвечники/бронепровода</t>
  </si>
  <si>
    <t>N-1991</t>
  </si>
  <si>
    <t>Насвечник мото 180* (прямой) (текстолитовый, черный) "BEEZMOTO"</t>
  </si>
  <si>
    <t>https://b2beez.ru/images/detailed/170/6717477589.jpg</t>
  </si>
  <si>
    <t>B-177</t>
  </si>
  <si>
    <t>Бронепровод 6.5x5000mm (синий) "DM"</t>
  </si>
  <si>
    <t>https://b2beez.ru/images/detailed/154/orig_itob-45.jpg</t>
  </si>
  <si>
    <t>N-425</t>
  </si>
  <si>
    <t>Насвечник мото 45* (135*) (черный) "BEEZMOTO"</t>
  </si>
  <si>
    <t>https://b2beez.ru/images/detailed/171/orig_l60o-xk.jpg</t>
  </si>
  <si>
    <t>B-176</t>
  </si>
  <si>
    <t>Бронепровод 6.5x5000mm (красный, силикон) "DM"</t>
  </si>
  <si>
    <t>https://b2beez.ru/images/detailed/154/orig_zvhy-d4.jpg</t>
  </si>
  <si>
    <t>N-114</t>
  </si>
  <si>
    <t>Насвечник мото (тюнинг) 90*, Т- образный (оранжевый) "МРМ"</t>
  </si>
  <si>
    <t>https://b2beez.ru/images/detailed/170/6243586922.jpg</t>
  </si>
  <si>
    <t>N-221</t>
  </si>
  <si>
    <t>Насвечник мото (тюнинг) 90*, Т- образный (желтый) "МРМ"</t>
  </si>
  <si>
    <t>https://b2beez.ru/images/detailed/170/6243586723.jpg</t>
  </si>
  <si>
    <t>N-223</t>
  </si>
  <si>
    <t>Насвечник мото 90*, Т- образный (черный)</t>
  </si>
  <si>
    <t>https://b2beez.ru/images/detailed/170/6243586759.jpg</t>
  </si>
  <si>
    <t>N-224</t>
  </si>
  <si>
    <t>Насвечник мото 90*, Т- образный (красный) "DM"</t>
  </si>
  <si>
    <t>https://b2beez.ru/images/detailed/170/orig_i45e-s1.jpg</t>
  </si>
  <si>
    <t>N-225</t>
  </si>
  <si>
    <t>Насвечник мото 90*, Т- образный (синий) "DM"</t>
  </si>
  <si>
    <t>https://b2beez.ru/images/detailed/170/6243586852.jpg</t>
  </si>
  <si>
    <t>N-2339</t>
  </si>
  <si>
    <t>Насвечник мото 90*, Г- образный (длинный, черный, с юбкой) "BEEZMOTO"</t>
  </si>
  <si>
    <t>https://b2beez.ru/images/detailed/170/orig_yp5x-zj.jpg</t>
  </si>
  <si>
    <t>N-325</t>
  </si>
  <si>
    <t>Насвечник мото 90*, (черный, с юбкой, мини) "JS"</t>
  </si>
  <si>
    <t>https://b2beez.ru/images/detailed/171/6243586651.jpg</t>
  </si>
  <si>
    <t>N-428</t>
  </si>
  <si>
    <t>Насвечник мото 90*, Т- образный (желтый) "DM"</t>
  </si>
  <si>
    <t>https://b2beez.ru/images/detailed/171/6243586617.jpg</t>
  </si>
  <si>
    <t>N-112</t>
  </si>
  <si>
    <t>Насвечник мото (тюнинг) 90*, Т- образный (зеленый) "МРМ"</t>
  </si>
  <si>
    <t>https://b2beez.ru/images/detailed/170/6243586895.jpg</t>
  </si>
  <si>
    <t>N-115</t>
  </si>
  <si>
    <t>Насвечник мото (тюнинг) 90*, Т- образный (серый) "МРМ"</t>
  </si>
  <si>
    <t>https://b2beez.ru/images/detailed/170/6243586692.jpg</t>
  </si>
  <si>
    <t>N-1152</t>
  </si>
  <si>
    <t>Насвечник мото (тюнинг) 90*, Т- образный (зеленый) "NJK"</t>
  </si>
  <si>
    <t>https://b2beez.ru/images/detailed/170/6243586571.jpg</t>
  </si>
  <si>
    <t>N-1155</t>
  </si>
  <si>
    <t>Насвечник мото (тюнинг) 90*, Т- образный (серый) "NJK"</t>
  </si>
  <si>
    <t>https://b2beez.ru/images/detailed/170/6243586855.jpg</t>
  </si>
  <si>
    <t>Обтекатели</t>
  </si>
  <si>
    <t>Повороты</t>
  </si>
  <si>
    <t>Подшипники</t>
  </si>
  <si>
    <t>N-896</t>
  </si>
  <si>
    <t>Подшипник коленвала 6304-2RS 20*52*15 (Delta, ред-р 4T CH250) "SK"</t>
  </si>
  <si>
    <t>https://b2beez.ru/images/detailed/171/6144150896_sntk-ot.jpg</t>
  </si>
  <si>
    <t>R-2096</t>
  </si>
  <si>
    <t>Подшипник КПП (открытый) 21*28*10 (HK212810, CG 200) "KOMATCU"</t>
  </si>
  <si>
    <t>https://b2beez.ru/images/detailed/176/6243587110.jpg</t>
  </si>
  <si>
    <t>S-1814</t>
  </si>
  <si>
    <t>Подшипник коленвала 6304-ZZ 20*52*15 (Delta, ред-р 4T CH250) (Япония) "KOY"</t>
  </si>
  <si>
    <t>https://b2beez.ru/images/detailed/179/6224781837_50ol-za.jpg</t>
  </si>
  <si>
    <t>S-1817</t>
  </si>
  <si>
    <t>Подшипник КПП 6001-ZZ 12*28*8 (Delta, 4T CG200) "KOY"</t>
  </si>
  <si>
    <t>https://b2beez.ru/images/detailed/179/6243587111.jpg</t>
  </si>
  <si>
    <t>S-1836</t>
  </si>
  <si>
    <t>Подшипник редуктора 62/22 22*50*14 (4T CH250) (Япония) "NT"</t>
  </si>
  <si>
    <t>https://b2beez.ru/images/detailed/179/6224781790_eq5l-qv.jpg</t>
  </si>
  <si>
    <t>S-3187</t>
  </si>
  <si>
    <t>Подшипник коленвала 6306 30*72*19 (ЯВА 634 6V, 4T CG200/250) (Япония) "KOY"</t>
  </si>
  <si>
    <t>https://b2beez.ru/images/detailed/180/6320884487.jpg</t>
  </si>
  <si>
    <t>N-889</t>
  </si>
  <si>
    <t>Подшипник редуктора 62/22 22*50*14 (4T CH250) "QUEST"</t>
  </si>
  <si>
    <t>https://b2beez.ru/images/detailed/171/6243586924.jpg</t>
  </si>
  <si>
    <t>N-890</t>
  </si>
  <si>
    <t>Подшипник редуктора 62/22 22*50*14 (4T CH250) "SK"</t>
  </si>
  <si>
    <t>https://b2beez.ru/images/detailed/171/6224781821.jpg</t>
  </si>
  <si>
    <t>S-2013</t>
  </si>
  <si>
    <t>Подшипник редуктора 62/22 22*50*14 (4T CH250) (Китай) "NT"</t>
  </si>
  <si>
    <t>https://b2beez.ru/images/detailed/179/6224781790_mqb7-7i.jpg</t>
  </si>
  <si>
    <t>S-2107</t>
  </si>
  <si>
    <t>Подшипник коленвала 6306-2RS 30*72*19 (ЯВА 634 6V, 4T CG200/250) "HRB"</t>
  </si>
  <si>
    <t>https://b2beez.ru/images/detailed/179/6243586727.jpg</t>
  </si>
  <si>
    <t>S-2934</t>
  </si>
  <si>
    <t>Подшипник вала дифференциала мотоблока 6305-2RS 25*62*17 "QUEST"</t>
  </si>
  <si>
    <t>https://b2beez.ru/images/detailed/179/6243586844.jpg</t>
  </si>
  <si>
    <t>S-2935</t>
  </si>
  <si>
    <t>Подшипник вала дифференциала мотоблока 6305-2RS 25*62*17 "SK"</t>
  </si>
  <si>
    <t>https://b2beez.ru/images/detailed/179/orig_xj28-e9.jpg</t>
  </si>
  <si>
    <t>S-2937</t>
  </si>
  <si>
    <t>Подшипник коленвала 6306-2RS 30*72*19 (ЯВА 634 6V, 4T CG200/250) "QUEST"</t>
  </si>
  <si>
    <t>https://b2beez.ru/images/detailed/179/6243586905.jpg</t>
  </si>
  <si>
    <t>S-2938</t>
  </si>
  <si>
    <t>Подшипник коленвала 6306-2RS 30*72*19 (ЯВА 634 6V, 4T CG200/250) "SK"</t>
  </si>
  <si>
    <t>https://b2beez.ru/images/detailed/179/6144150896_p0ji-zk.jpg</t>
  </si>
  <si>
    <t>S-3152</t>
  </si>
  <si>
    <t>Подшипники коленвала (пара) 4T CW125 (+сальники) "KOSO"</t>
  </si>
  <si>
    <t>https://b2beez.ru/images/detailed/180/6243587066.jpg</t>
  </si>
  <si>
    <t>Рамка номера</t>
  </si>
  <si>
    <t>Руль/ручки руля/газа/отбойники/грипсы/круиз контр</t>
  </si>
  <si>
    <t>R-1643</t>
  </si>
  <si>
    <t>Ручки руля (желтые) "PROTAPER"</t>
  </si>
  <si>
    <t>https://b2beez.ru/images/detailed/176/6693069558.jpg</t>
  </si>
  <si>
    <t>R-1639</t>
  </si>
  <si>
    <t>Ручки руля (зеленые) "PROTAPER"</t>
  </si>
  <si>
    <t>https://b2beez.ru/images/detailed/176/orig_zjpd-fu.jpg</t>
  </si>
  <si>
    <t>R-1647</t>
  </si>
  <si>
    <t>Ручки руля (синие) "PROTAPER"</t>
  </si>
  <si>
    <t>https://b2beez.ru/images/detailed/176/orig_5sj7-25.jpg</t>
  </si>
  <si>
    <t>R-1641</t>
  </si>
  <si>
    <t>Ручки руля (красные) "PROTAPER"</t>
  </si>
  <si>
    <t>https://b2beez.ru/images/detailed/176/orig_1o56-3p.jpg</t>
  </si>
  <si>
    <t>R-1640</t>
  </si>
  <si>
    <t>Ручки руля (черные) "PROTAPER"</t>
  </si>
  <si>
    <t>https://b2beez.ru/images/detailed/176/orig_wg1q-ga.jpg</t>
  </si>
  <si>
    <t>R-1644</t>
  </si>
  <si>
    <t>Ручки руля (черно-оранжевые) "KTM"</t>
  </si>
  <si>
    <t>https://b2beez.ru/images/detailed/176/orig_vzop-l3.jpg</t>
  </si>
  <si>
    <t>R-1893</t>
  </si>
  <si>
    <t>Ручки руля (желтые) "FOX"</t>
  </si>
  <si>
    <t>https://b2beez.ru/images/detailed/176/orig_xed8-oi.jpg</t>
  </si>
  <si>
    <t>R-1889</t>
  </si>
  <si>
    <t>Ручки руля (черные) "FOX"</t>
  </si>
  <si>
    <t>https://b2beez.ru/images/detailed/176/orig_i4h4-46.jpg</t>
  </si>
  <si>
    <t>R-1617</t>
  </si>
  <si>
    <t>Ручки руля (черные-зеленые) "PROTAPER"</t>
  </si>
  <si>
    <t>https://b2beez.ru/images/detailed/176/6545699961.jpg</t>
  </si>
  <si>
    <t>G-1745</t>
  </si>
  <si>
    <t>Распорка руля универсальная (золотая) "CZ"</t>
  </si>
  <si>
    <t>https://b2beez.ru/images/detailed/161/orig_i7ki-ox.jpg</t>
  </si>
  <si>
    <t>G-1750</t>
  </si>
  <si>
    <t>Распорка руля универсальная (серебряная) "AR"</t>
  </si>
  <si>
    <t>https://b2beez.ru/images/detailed/161/orig_8ac8-8p.jpg</t>
  </si>
  <si>
    <t>G-2390</t>
  </si>
  <si>
    <t>Отбойники руля (пара) ATV (универсальные, синии) "RIDE IT"</t>
  </si>
  <si>
    <t>https://b2beez.ru/images/detailed/162/orig_r325-rd.jpg</t>
  </si>
  <si>
    <t>R-3802</t>
  </si>
  <si>
    <t>Ручки руля велосипедные с рогами (резиновые, анатомические, черные) 130мм "BEEZMOTO"</t>
  </si>
  <si>
    <t>https://b2beez.ru/images/detailed/177/orig_x3nv-t4.jpg</t>
  </si>
  <si>
    <t>R-3803</t>
  </si>
  <si>
    <t>Ручки руля велосипедные с рогами (резиновые, анатомические, красный) 130мм "BEEZMOTO"</t>
  </si>
  <si>
    <t>https://b2beez.ru/images/detailed/204/R-3803-3_jwrb-x9.jpg</t>
  </si>
  <si>
    <t>R-3805</t>
  </si>
  <si>
    <t>Ручки руля велосипедные (синий, алюминий) 130мм "BEEZMOTO"</t>
  </si>
  <si>
    <t>https://b2beez.ru/images/detailed/177/6979184461.jpg</t>
  </si>
  <si>
    <t>R-3806</t>
  </si>
  <si>
    <t>Ручки руля велосипедные с рогами (резиновые, анатомические, синий) 130мм "BEEZMOTO"</t>
  </si>
  <si>
    <t>https://b2beez.ru/images/detailed/177/6979186657.jpg</t>
  </si>
  <si>
    <t>R-1615</t>
  </si>
  <si>
    <t>Ручки руля (черно-зеленые) "MONSTER ENERGY"</t>
  </si>
  <si>
    <t>https://b2beez.ru/images/detailed/176/orig_gi7f-bb.jpg</t>
  </si>
  <si>
    <t>R-1616</t>
  </si>
  <si>
    <t>Ручки руля (черные-синие)"PROTAPER"</t>
  </si>
  <si>
    <t>https://b2beez.ru/images/detailed/176/orig_hwao-vi.jpg</t>
  </si>
  <si>
    <t>R-1095-U2</t>
  </si>
  <si>
    <t>Ручка газа короткоходная (тюнинг) (серебристая) "RIDE IT" (нет стекла )</t>
  </si>
  <si>
    <t>R-1095-U1</t>
  </si>
  <si>
    <t>Ручка газа короткоходная (тюнинг) (серебристая) "RIDE IT" (Трещина)</t>
  </si>
  <si>
    <t>R-1216</t>
  </si>
  <si>
    <t>Ручки руля (черно-красные) "MONSTER ENERGY"</t>
  </si>
  <si>
    <t>https://b2beez.ru/images/detailed/176/orig_yk6u-on.jpg</t>
  </si>
  <si>
    <t>R-1975</t>
  </si>
  <si>
    <t>Рычаг круиз контроля ручки газа "MONSTER ENERGY" (универсальный, желтый) "XJB"</t>
  </si>
  <si>
    <t>https://b2beez.ru/images/detailed/176/6243587093.jpg</t>
  </si>
  <si>
    <t>R-1976</t>
  </si>
  <si>
    <t>Рычаг круиз контроля ручки газа "MONSTER ENERGY" (универсальный, зеленый) "XJB"</t>
  </si>
  <si>
    <t>https://b2beez.ru/images/detailed/176/6243587195.jpg</t>
  </si>
  <si>
    <t>R-1977</t>
  </si>
  <si>
    <t>Рычаг круиз контроля ручки газа "MONSTER ENERGY" (универсальный, красный) "XJB"</t>
  </si>
  <si>
    <t>https://b2beez.ru/images/detailed/176/orig_h0b0-2k.jpg</t>
  </si>
  <si>
    <t>R-1978</t>
  </si>
  <si>
    <t>Рычаг круиз контроля ручки газа "MONSTER ENERGY" (универсальный, синий) "XJB"</t>
  </si>
  <si>
    <t>https://b2beez.ru/images/detailed/176/6243587161.jpg</t>
  </si>
  <si>
    <t>G-1113</t>
  </si>
  <si>
    <t>Отбойники руля (пара) (mod:1, синие)"RIDE IT"</t>
  </si>
  <si>
    <t>https://b2beez.ru/images/detailed/161/6243586913.jpg</t>
  </si>
  <si>
    <t>G-1122</t>
  </si>
  <si>
    <t>Отбойники руля (пара) (mod:2, желтые)"RIDE IT"</t>
  </si>
  <si>
    <t>https://b2beez.ru/images/detailed/161/6243587078.jpg</t>
  </si>
  <si>
    <t>G-1125</t>
  </si>
  <si>
    <t>Отбойники руля (пара)с креплениями под защиту рук (синие) "RIDE IT"</t>
  </si>
  <si>
    <t>https://b2beez.ru/images/detailed/161/6243586967.jpg</t>
  </si>
  <si>
    <t>G-1126</t>
  </si>
  <si>
    <t>Отбойники руля (пара)с креплениями под защиту рук (красные)"RIDE IT"</t>
  </si>
  <si>
    <t>https://b2beez.ru/images/detailed/161/6243586971.jpg</t>
  </si>
  <si>
    <t>G-1127</t>
  </si>
  <si>
    <t>Отбойники руля (пара)с креплениями под защиту рук (зеленые) "RIDE IT"</t>
  </si>
  <si>
    <t>https://b2beez.ru/images/detailed/161/6243587112.jpg</t>
  </si>
  <si>
    <t>G-1128</t>
  </si>
  <si>
    <t>Отбойники руля (пара)с креплениями под защиту рук (желтые) "RIDE IT"</t>
  </si>
  <si>
    <t>https://b2beez.ru/images/detailed/161/6243587046.jpg</t>
  </si>
  <si>
    <t>G-1129</t>
  </si>
  <si>
    <t>Отбойники руля (пара)с креплениями под защиту рук (черные) "RIDE IT"</t>
  </si>
  <si>
    <t>https://b2beez.ru/images/detailed/161/6243587079.jpg</t>
  </si>
  <si>
    <t>G-1130</t>
  </si>
  <si>
    <t>Отбойники руля (пара)с креплениями под защиту рук (серебристые) "RIDE IT"</t>
  </si>
  <si>
    <t>https://b2beez.ru/images/detailed/161/6243586873.jpg</t>
  </si>
  <si>
    <t>P-3035</t>
  </si>
  <si>
    <t>Защита рук на руль (mod:1, MONSTER ENERGY, желтые) "XJB"</t>
  </si>
  <si>
    <t>https://b2beez.ru/images/detailed/173/6161152925.jpg</t>
  </si>
  <si>
    <t>R-1095</t>
  </si>
  <si>
    <t>Ручка газа короткоходная (тюнинг) (серебристая) "RIDE IT"</t>
  </si>
  <si>
    <t>https://b2beez.ru/images/detailed/176/6243586983.jpg</t>
  </si>
  <si>
    <t>R-1096</t>
  </si>
  <si>
    <t>Ручка газа короткоходная (универсальная) "BEEZMOTO"</t>
  </si>
  <si>
    <t>https://b2beez.ru/images/detailed/176/orig_rjub-so.jpg</t>
  </si>
  <si>
    <t>R-1670</t>
  </si>
  <si>
    <t>Ручки руля с алюм. отбойником (черные) (mod:Suzuki) "GJCT"</t>
  </si>
  <si>
    <t>https://b2beez.ru/images/detailed/176/6243586984.jpg</t>
  </si>
  <si>
    <t>R-1673</t>
  </si>
  <si>
    <t>Ручки руля с алюм. отбойником (бронзовые) (mod:Suzuki) "GJCT"</t>
  </si>
  <si>
    <t>https://b2beez.ru/images/detailed/176/6243587106.jpg</t>
  </si>
  <si>
    <t>R-1674</t>
  </si>
  <si>
    <t>Ручки руля с алюм. отбойником (желтые) (mod:Suzuki) "GJCT"</t>
  </si>
  <si>
    <t>https://b2beez.ru/images/detailed/176/6243586901.jpg</t>
  </si>
  <si>
    <t>R-1678</t>
  </si>
  <si>
    <t>Ручки руля с алюм. отбойником (синие) (mod:Yamaha) "GJCT"</t>
  </si>
  <si>
    <t>https://b2beez.ru/images/detailed/176/6243587116.jpg</t>
  </si>
  <si>
    <t>R-2102</t>
  </si>
  <si>
    <t>Ручки руля (mod:1, сине-красные) "DBS" (#YMBT)</t>
  </si>
  <si>
    <t>https://b2beez.ru/images/detailed/176/6243586946.jpg</t>
  </si>
  <si>
    <t>R-2103</t>
  </si>
  <si>
    <t>Ручки руля (черно-зеленые) "YMH"</t>
  </si>
  <si>
    <t>https://b2beez.ru/images/detailed/176/6243587071.jpg</t>
  </si>
  <si>
    <t>G-1725</t>
  </si>
  <si>
    <t>Распорка руля универсальная (красная) "AR"</t>
  </si>
  <si>
    <t>https://b2beez.ru/images/detailed/161/orig_d2ab-mm.jpg</t>
  </si>
  <si>
    <t>G-1726</t>
  </si>
  <si>
    <t>Распорка руля универсальная (синяя) "AR"</t>
  </si>
  <si>
    <t>https://b2beez.ru/images/detailed/161/orig_pt0m-fx.jpg</t>
  </si>
  <si>
    <t>N-560</t>
  </si>
  <si>
    <t>Грипсы (накладки на рычаги руля) (поролон, желтые) "KOMATCU"</t>
  </si>
  <si>
    <t>https://b2beez.ru/images/detailed/171/orig_3a6d-v3.jpg</t>
  </si>
  <si>
    <t>N-561</t>
  </si>
  <si>
    <t>Грипсы (накладки на рычаги руля) (поролон, красные) "KOMATCU"</t>
  </si>
  <si>
    <t>https://b2beez.ru/images/detailed/171/orig_0ryn-u5.jpg</t>
  </si>
  <si>
    <t>N-562</t>
  </si>
  <si>
    <t>Грипсы (накладки на рычаги руля) (поролон, зеленые) "KOMATCU"</t>
  </si>
  <si>
    <t>https://b2beez.ru/images/detailed/171/orig_youe-qj.jpg</t>
  </si>
  <si>
    <t>N-563</t>
  </si>
  <si>
    <t>Грипсы (накладки на рычаги руля) (поролон, синии) "KOMATCU"</t>
  </si>
  <si>
    <t>https://b2beez.ru/images/detailed/171/orig_zens-ne.jpg</t>
  </si>
  <si>
    <t>P-3039</t>
  </si>
  <si>
    <t>Защита рук на руль (mod:2, GLOVES, синие) "XJB"</t>
  </si>
  <si>
    <t>https://b2beez.ru/images/detailed/173/6161240760.jpg</t>
  </si>
  <si>
    <t>P-3041</t>
  </si>
  <si>
    <t>Защита рук на руль (mod:2, GLOVES, белые) "XJB"</t>
  </si>
  <si>
    <t>https://b2beez.ru/images/detailed/173/6161240580.jpg</t>
  </si>
  <si>
    <t>P-3042</t>
  </si>
  <si>
    <t>Защита рук на руль (mod:2, GLOVES, красные) "XJB"</t>
  </si>
  <si>
    <t>https://b2beez.ru/images/detailed/173/6161240670.jpg</t>
  </si>
  <si>
    <t>P-3044</t>
  </si>
  <si>
    <t>Защита рук на руль (mod:3, MONSTER ENERGY, зеленые) "XJB"</t>
  </si>
  <si>
    <t>https://b2beez.ru/images/detailed/173/6161240702.jpg</t>
  </si>
  <si>
    <t>P-3045</t>
  </si>
  <si>
    <t>Защита рук на руль (mod:3, MONSTER ENERGY, желтые) "XJB"</t>
  </si>
  <si>
    <t>https://b2beez.ru/images/detailed/173/orig_zyia-j4.jpg</t>
  </si>
  <si>
    <t>P-3049</t>
  </si>
  <si>
    <t>Защита рук на руль (mod:4, GLOVES, желтые) "XJB"</t>
  </si>
  <si>
    <t>https://b2beez.ru/images/detailed/173/orig_hklt-ot.jpg</t>
  </si>
  <si>
    <t>P-3050</t>
  </si>
  <si>
    <t>Защита рук на руль (mod:4, GLOVES, красные) "XJB"</t>
  </si>
  <si>
    <t>https://b2beez.ru/images/detailed/173/6161240709.jpg</t>
  </si>
  <si>
    <t>P-3051</t>
  </si>
  <si>
    <t>Защита рук на руль (mod:4, GLOVES, зеленые) "XJB"</t>
  </si>
  <si>
    <t>https://b2beez.ru/images/detailed/173/6161240754.jpg</t>
  </si>
  <si>
    <t>P-3052</t>
  </si>
  <si>
    <t>Защита рук на руль (mod:2, GLOVES, зеленые) "XJB"</t>
  </si>
  <si>
    <t>https://b2beez.ru/images/detailed/173/6161240640.jpg</t>
  </si>
  <si>
    <t>P-3053</t>
  </si>
  <si>
    <t>Защита рук на руль (mod:2, GLOVES, желтые)"XJB"</t>
  </si>
  <si>
    <t>https://b2beez.ru/images/detailed/173/6161240694.jpg</t>
  </si>
  <si>
    <t>R-1609</t>
  </si>
  <si>
    <t>Ручки руля (синие) "DY"</t>
  </si>
  <si>
    <t>https://b2beez.ru/images/detailed/176/6243587075.jpg</t>
  </si>
  <si>
    <t>R-1620</t>
  </si>
  <si>
    <t>Ручки руля (mod:1, зеленые) "MOTOGRIP"</t>
  </si>
  <si>
    <t>https://b2beez.ru/images/detailed/176/6243586995.jpg</t>
  </si>
  <si>
    <t>R-1624</t>
  </si>
  <si>
    <t>Ручки руля (mod:2, синие) "MOTOGRIP"</t>
  </si>
  <si>
    <t>https://b2beez.ru/images/detailed/176/6243586950.jpg</t>
  </si>
  <si>
    <t>R-1626</t>
  </si>
  <si>
    <t>Ручки руля (mod:2, оранжевые) "MOTOGRIP"</t>
  </si>
  <si>
    <t>https://b2beez.ru/images/detailed/176/6243586938.jpg</t>
  </si>
  <si>
    <t>R-1627</t>
  </si>
  <si>
    <t>Ручки руля (mod:2, зеленые) "MOTOGRIP"</t>
  </si>
  <si>
    <t>https://b2beez.ru/images/detailed/176/6243587122.jpg</t>
  </si>
  <si>
    <t>R-1856</t>
  </si>
  <si>
    <t>Ручки руля карбон с алюм. отбойником (белые) "RIZOMA"</t>
  </si>
  <si>
    <t>https://b2beez.ru/images/detailed/176/orig_tafl-ze.jpg</t>
  </si>
  <si>
    <t>R-1857</t>
  </si>
  <si>
    <t>Ручки руля карбон с алюм. отбойником (синие) "RIZOMA"</t>
  </si>
  <si>
    <t>https://b2beez.ru/images/detailed/176/6243586899.jpg</t>
  </si>
  <si>
    <t>R-1858</t>
  </si>
  <si>
    <t>Ручки руля карбон с алюм. отбойником (красные) "RIZOMA"</t>
  </si>
  <si>
    <t>https://b2beez.ru/images/detailed/176/orig_hfpt-0p.jpg</t>
  </si>
  <si>
    <t>R-1859</t>
  </si>
  <si>
    <t>Ручки руля карбон с алюм. отбойником (оранжевые) "RIZOMA"</t>
  </si>
  <si>
    <t>https://b2beez.ru/images/detailed/176/6243587367.jpg</t>
  </si>
  <si>
    <t>R-1860</t>
  </si>
  <si>
    <t>Ручки руля карбон с алюм. отбойником (желтые) "RIZOMA"</t>
  </si>
  <si>
    <t>https://b2beez.ru/images/detailed/176/6243586954.jpg</t>
  </si>
  <si>
    <t>Сайлентблоки</t>
  </si>
  <si>
    <t>S-7552</t>
  </si>
  <si>
    <t>Сайлентблоки (пара) 30*19/22-10 (маятника JOG, под квадрат) "KOMATCU"</t>
  </si>
  <si>
    <t>https://b2beez.ru/images/detailed/182/6923473832.jpg</t>
  </si>
  <si>
    <t>S-756</t>
  </si>
  <si>
    <t>Сайлентблок амортизатора d-12mm (черный) "KOMATCU"</t>
  </si>
  <si>
    <t>https://b2beez.ru/images/detailed/182/6986148984.jpg</t>
  </si>
  <si>
    <t>S-3514</t>
  </si>
  <si>
    <t>Сайлентблок 30*30*10 (D*L*d) (внутри квадрат) "KTO"</t>
  </si>
  <si>
    <t>https://b2beez.ru/images/detailed/180/6243587323.jpg</t>
  </si>
  <si>
    <t>S-3952</t>
  </si>
  <si>
    <t>Сайлентблок амортизатора силиконовый d-10mm (зеленый) "KOMATCU"</t>
  </si>
  <si>
    <t>https://b2beez.ru/images/detailed/181/6243587218.jpg</t>
  </si>
  <si>
    <t>S-3954</t>
  </si>
  <si>
    <t>Сайлентблок амортизатора силиконовый d-10mm (желтый) "KOMATCU"</t>
  </si>
  <si>
    <t>https://b2beez.ru/images/detailed/181/6986150995.jpg</t>
  </si>
  <si>
    <t>S-3955</t>
  </si>
  <si>
    <t>Сайлентблок амортизатора силиконовый d-10mm (розовый) "KOMATCU"</t>
  </si>
  <si>
    <t>https://b2beez.ru/images/detailed/181/6243587103.jpg</t>
  </si>
  <si>
    <t>Тормозная система</t>
  </si>
  <si>
    <t>G-1895</t>
  </si>
  <si>
    <t>Машинка тормозная (ГТЦ) универсальная (заднего тормоза) (mod:8, с выносным бачком) "GRBD"</t>
  </si>
  <si>
    <t>https://b2beez.ru/images/detailed/161/orig_4kmh-5v.jpg</t>
  </si>
  <si>
    <t>G-1893</t>
  </si>
  <si>
    <t>Машинка тормозная (ГТЦ) универсальная (заднего тормоза) (mod:9, с выносным бачком) "GRBD"</t>
  </si>
  <si>
    <t>https://b2beez.ru/images/detailed/161/6243587207.jpg</t>
  </si>
  <si>
    <t>G-1894</t>
  </si>
  <si>
    <t>Машинка тормозная (ГТЦ) универсальная (заднего тормоза) (mod:7, с выносным бачком) "GRBD"</t>
  </si>
  <si>
    <t>https://b2beez.ru/images/detailed/161/orig_o060-k0.jpg</t>
  </si>
  <si>
    <t>S-2361</t>
  </si>
  <si>
    <t>Болт тормозной системы M8 (банджо) "GUANG"</t>
  </si>
  <si>
    <t>https://b2beez.ru/images/detailed/179/6243587203.jpg</t>
  </si>
  <si>
    <t>Фильтра</t>
  </si>
  <si>
    <t>F-508</t>
  </si>
  <si>
    <t>Фильтр топливного насоса Yamaha R1 R6 FZ8 FZ6 2003-2016</t>
  </si>
  <si>
    <t>https://b2beez.ru/images/detailed/160/orig_pu2e-1b.jpg</t>
  </si>
  <si>
    <t>T-966</t>
  </si>
  <si>
    <t>Фильтр топливный прямоугольный с сетчатым элементам (№ 007) (+магнит) "BEEZMOTO"</t>
  </si>
  <si>
    <t>https://b2beez.ru/images/detailed/183/orig_ua39-wq.jpg</t>
  </si>
  <si>
    <t>T-619</t>
  </si>
  <si>
    <t>Фильтр топливный цилиндрический с бумажным элементом (№102) x 10шт "BEEZMOTO"</t>
  </si>
  <si>
    <t>https://b2beez.ru/images/detailed/183/7178325477.jpg</t>
  </si>
  <si>
    <t>T-623</t>
  </si>
  <si>
    <t>Фильтр топливный цилиндрический с бумажным элементом (№106) x 10шт "BEEZMOTO"</t>
  </si>
  <si>
    <t>https://b2beez.ru/images/detailed/183/7173313685.jpg</t>
  </si>
  <si>
    <t>V-286</t>
  </si>
  <si>
    <t>Фильтр воздушный Honda CBR1000RR CBR1000 Fireblade 2004 05 06 07 "BEEZMOTO"</t>
  </si>
  <si>
    <t>https://b2beez.ru/images/detailed/187/orig_842n-ol.jpg</t>
  </si>
  <si>
    <t>V-1170</t>
  </si>
  <si>
    <t>Элемент воздушного фильтра Yamaha R1 YZF 2007 2008 "BEEZMOTO"</t>
  </si>
  <si>
    <t>https://b2beez.ru/images/detailed/184/orig_vtfi-w9.jpg</t>
  </si>
  <si>
    <t>F-510</t>
  </si>
  <si>
    <t>Фильтр топливного насоса Yamaha YXM700 YFM550 700</t>
  </si>
  <si>
    <t>https://b2beez.ru/images/detailed/160/orig_3si5-rl.jpg</t>
  </si>
  <si>
    <t>V-596</t>
  </si>
  <si>
    <t>Элемент воздушного фильтра Honda CBR600RR F5 (2003-04-05-06год) "BEEZMOTO"</t>
  </si>
  <si>
    <t>https://b2beez.ru/images/detailed/187/orig_9z4x-i6.jpg</t>
  </si>
  <si>
    <t>N-3178</t>
  </si>
  <si>
    <t>Фильтр масляный для Yamaha, Racing Motorcycle, ATV (Ø38, h-45) (HF 142) "AHL"</t>
  </si>
  <si>
    <t>https://b2beez.ru/images/detailed/171/orig_8oe7-hs.jpg</t>
  </si>
  <si>
    <t>F-57</t>
  </si>
  <si>
    <t>Фильтр воздушный (нулевик) Ø42mm, 90*, "пуля" (красный)</t>
  </si>
  <si>
    <t>https://b2beez.ru/images/detailed/160/6243587385.jpg</t>
  </si>
  <si>
    <t>F-58</t>
  </si>
  <si>
    <t>Фильтр воздушный (нулевик) Ø42mm, 90*, "пуля" (серебро)</t>
  </si>
  <si>
    <t>https://b2beez.ru/images/detailed/160/6243587150.jpg</t>
  </si>
  <si>
    <t>T-399</t>
  </si>
  <si>
    <t>Фильтр топливный цилиндрический (разборной, красный)</t>
  </si>
  <si>
    <t>https://b2beez.ru/images/detailed/183/orig_imbg-ml.jpg</t>
  </si>
  <si>
    <t>T-401</t>
  </si>
  <si>
    <t>Фильтр топливный цилиндрический (разборной, желтый)</t>
  </si>
  <si>
    <t>https://b2beez.ru/images/detailed/183/orig_048x-og.jpg</t>
  </si>
  <si>
    <t>T-827</t>
  </si>
  <si>
    <t>Фильтр топливный цилиндрический с бумажным элементом (№004) "XKS"</t>
  </si>
  <si>
    <t>T-829</t>
  </si>
  <si>
    <t>Фильтр топливный цилиндрический с бумажным элементом (№103) (+магнит, желтый) x 10шт "BEEZMOTO"</t>
  </si>
  <si>
    <t>https://b2beez.ru/images/detailed/183/7173079562.jpg</t>
  </si>
  <si>
    <t>F-17</t>
  </si>
  <si>
    <t>Фильтр воздушный (нулевик) Ø35mm, 45*, "пуля" (золото)</t>
  </si>
  <si>
    <t>https://b2beez.ru/images/detailed/160/orig_jo71-nu.jpg</t>
  </si>
  <si>
    <t>F-52</t>
  </si>
  <si>
    <t>Фильтр воздушный HONDA CRM250 XR250R 250L 350 400 440 600 "BEEZMOTO"</t>
  </si>
  <si>
    <t>https://b2beez.ru/images/detailed/160/orig_mceq-1i.jpg</t>
  </si>
  <si>
    <t>M-474</t>
  </si>
  <si>
    <t>Фильтр масляный Suzuki (d-44mm, OEM#16510-05240) "BEEZMOTO"</t>
  </si>
  <si>
    <t>https://b2beez.ru/images/detailed/169/orig.png</t>
  </si>
  <si>
    <t>T-524</t>
  </si>
  <si>
    <t>Фильтр топливный цилиндрический с бумажным элементом (№002) x 10шт "BEEZMOTO"</t>
  </si>
  <si>
    <t>https://b2beez.ru/images/detailed/183/orig_a788-hg.jpg</t>
  </si>
  <si>
    <t>N-3127</t>
  </si>
  <si>
    <t>Фильтр масляный KTM SX SXF SXS EXC (желтый) HF652</t>
  </si>
  <si>
    <t>https://b2beez.ru/images/detailed/171/orig_oiev-g9.jpg</t>
  </si>
  <si>
    <t>N-3140</t>
  </si>
  <si>
    <t>Фильтр масляный CFMOTO 450 550 800 X8 U8 Z8 (желтый) HF152</t>
  </si>
  <si>
    <t>https://b2beez.ru/images/detailed/171/orig_d9rv-j2.jpg</t>
  </si>
  <si>
    <t>C-1379</t>
  </si>
  <si>
    <t>Фильтр топливный цилиндрический с бумажным элементом (№001) (+ магнит) "BEEZMOTO"</t>
  </si>
  <si>
    <t>https://b2beez.ru/images/detailed/155/orig_s1w3-45.jpg</t>
  </si>
  <si>
    <t>C-1381</t>
  </si>
  <si>
    <t>Фильтр топливный цилиндрический с бумажным элементом (№002) "BEEZMOTO"</t>
  </si>
  <si>
    <t>https://b2beez.ru/images/detailed/155/orig_dnwb-0g.jpg</t>
  </si>
  <si>
    <t>021723</t>
  </si>
  <si>
    <t>Щупы для регулировки зазоров клапанов мотоцикла (0.02-1.00) "BEEZMOTO"</t>
  </si>
  <si>
    <t>https://b2beez.ru/images/detailed/47/6400992279.jpg</t>
  </si>
  <si>
    <t>Цепи/замки/натяжители</t>
  </si>
  <si>
    <t>C-1476</t>
  </si>
  <si>
    <t>Цепь трансмиссии 428HV-102L сальниковая, GOLD "DID"</t>
  </si>
  <si>
    <t>https://b2beez.ru/images/detailed/155/6243587143.jpg</t>
  </si>
  <si>
    <t>C-1477</t>
  </si>
  <si>
    <t>Цепь трансмиссии 428HV-104L сальниковая, GOLD "DID"</t>
  </si>
  <si>
    <t>https://b2beez.ru/images/detailed/155/6243587208.jpg</t>
  </si>
  <si>
    <t>C-1482</t>
  </si>
  <si>
    <t>Цепь трансмиссии 530H-110L усиленная "DID"</t>
  </si>
  <si>
    <t>https://b2beez.ru/images/detailed/155/6632420650.jpg</t>
  </si>
  <si>
    <t>C-5835</t>
  </si>
  <si>
    <t>Цепь трансмиссии 428-112L МИНСК, ВЕРХОВИНА, КАРПАТЫ "DID"</t>
  </si>
  <si>
    <t>https://b2beez.ru/images/detailed/156/6243587242.jpg</t>
  </si>
  <si>
    <t>021094</t>
  </si>
  <si>
    <t>Замок цепи 525HV сальниковый, GOLD "DID"</t>
  </si>
  <si>
    <t>https://b2beez.ru/images/detailed/47/6392026874_ne1l-83.jpg</t>
  </si>
  <si>
    <t>C-907</t>
  </si>
  <si>
    <t>Замок цепи 520 (1шт) "KOMATCU"</t>
  </si>
  <si>
    <t>https://b2beez.ru/images/detailed/156/orig_8r70-3x.jpg</t>
  </si>
  <si>
    <t>C-2902</t>
  </si>
  <si>
    <t>Цепь трансмиссии 428H-118L Honda CG150, Yamaha YBR125/RD/RDZ125 (Усиленная) GOLD "DID"</t>
  </si>
  <si>
    <t>https://b2beez.ru/images/detailed/156/orig_hf90-ab.jpg</t>
  </si>
  <si>
    <t>017927</t>
  </si>
  <si>
    <t>Замок цепи 520HV (сальниковый, GOLD) "DID"</t>
  </si>
  <si>
    <t>https://b2beez.ru/images/detailed/47/6392026801.jpg</t>
  </si>
  <si>
    <t>024500</t>
  </si>
  <si>
    <t>Замок цепи 525H</t>
  </si>
  <si>
    <t>https://b2beez.ru/images/detailed/48/6392026931.jpg</t>
  </si>
  <si>
    <t>C-3257</t>
  </si>
  <si>
    <t>Цепь трансмиссии 420-128L CB/CG/GY6 125-150, Карапаты, Верховина "DID"</t>
  </si>
  <si>
    <t>https://b2beez.ru/images/detailed/156/6243587167.jpg</t>
  </si>
  <si>
    <t>C-3258</t>
  </si>
  <si>
    <t>Цепь трансмиссии 420-96L Alpha, Delta "DID"</t>
  </si>
  <si>
    <t>https://b2beez.ru/images/detailed/156/orig_b2o3-2j.jpg</t>
  </si>
  <si>
    <t>C-2961</t>
  </si>
  <si>
    <t>Цепь трансмиссии 420-98H Alpha, Delta "TMMP"</t>
  </si>
  <si>
    <t>https://b2beez.ru/images/detailed/156/6243587131.jpg</t>
  </si>
  <si>
    <t>C-3208</t>
  </si>
  <si>
    <t>Цепь трансмиссии 420-98H Delta, Alpha (CHOHO) ST</t>
  </si>
  <si>
    <t>https://b2beez.ru/images/detailed/156/orig_yz4t-2k.jpg</t>
  </si>
  <si>
    <t>C-3086</t>
  </si>
  <si>
    <t>Цепь трансмиссии 420-98L Alpha, Delta "DID"</t>
  </si>
  <si>
    <t>https://b2beez.ru/images/detailed/156/6243587211.jpg</t>
  </si>
  <si>
    <t>C-2031</t>
  </si>
  <si>
    <t>Цепь трансмиссии 428-102L Alpha, Honda CG125/ML125, Yamaha TT125/RX125 "DID"</t>
  </si>
  <si>
    <t>https://b2beez.ru/images/detailed/155/orig_pnyd-eo.jpg</t>
  </si>
  <si>
    <t>C-3226</t>
  </si>
  <si>
    <t>Цепь трансмиссии 428-110L Honda CG/ML125/Turuna, Irbis TTR 125 "DID"</t>
  </si>
  <si>
    <t>https://b2beez.ru/images/detailed/156/6243587162.jpg</t>
  </si>
  <si>
    <t>C-3229</t>
  </si>
  <si>
    <t>Цепь трансмиссии 428-136 Zongshen ZS200GS "DID"</t>
  </si>
  <si>
    <t>https://b2beez.ru/images/detailed/156/6243587196.jpg</t>
  </si>
  <si>
    <t>C-649</t>
  </si>
  <si>
    <t>Цепь трансмиссии 428-96L Delta, Alpha, ZUBR "DID"</t>
  </si>
  <si>
    <t>https://b2beez.ru/images/detailed/156/orig_f2cb-ce.jpg</t>
  </si>
  <si>
    <t>C-2732</t>
  </si>
  <si>
    <t>Цепь трансмиссии 428-98L Alpha, Delta Zongshen ZUBR "DID"</t>
  </si>
  <si>
    <t>https://b2beez.ru/images/detailed/156/orig_azzg-u7.jpg</t>
  </si>
  <si>
    <t>C-2431</t>
  </si>
  <si>
    <t>Цепь трансмиссии 520-104H Yamaha, Lifan, ИЖ, Муравей GOLD "DID"</t>
  </si>
  <si>
    <t>https://b2beez.ru/images/detailed/156/6326699794.jpg</t>
  </si>
  <si>
    <t>C-3263</t>
  </si>
  <si>
    <t>Цепь трансмиссии 530-114H Suzuki GSX-R, Yamaha R6, Kawasaki EX-4 (GOLD) "DID"</t>
  </si>
  <si>
    <t>https://b2beez.ru/images/detailed/156/6326699698.jpg</t>
  </si>
  <si>
    <t>C-3246</t>
  </si>
  <si>
    <t>Цепь трансмиссии 525HV-120L сальниковая, GOLD "DID"</t>
  </si>
  <si>
    <t>https://b2beez.ru/images/detailed/203/1_3fp5-ig.jpg</t>
  </si>
  <si>
    <t>C-1541</t>
  </si>
  <si>
    <t>Цепь трансмиссии 428-100L Alpha, Delta, Honda, CB/ CG125, Yamaha TT125, ZUBR "DID"</t>
  </si>
  <si>
    <t>https://b2beez.ru/images/detailed/155/orig_ok84-zz.jpg</t>
  </si>
  <si>
    <t>C-1544</t>
  </si>
  <si>
    <t>Цепь трансмиссии 428-114L Honda CB/CG125, Viper SPORT, ZS125J/A, M1NSK C4 "DID"</t>
  </si>
  <si>
    <t>https://b2beez.ru/images/detailed/155/orig_r6j5-yb.jpg</t>
  </si>
  <si>
    <t>C-3241</t>
  </si>
  <si>
    <t>Цепь трансмиссии 428HD-136L Zongshen ZS200GS (Усиленная) GOLD "DID"</t>
  </si>
  <si>
    <t>https://b2beez.ru/images/detailed/156/orig_m5eq-di.jpg</t>
  </si>
  <si>
    <t>C-1513</t>
  </si>
  <si>
    <t>Цепь трансмиссии 420-106L Delta, Active "SENTONF"</t>
  </si>
  <si>
    <t>https://b2beez.ru/images/detailed/155/6243587105.jpg</t>
  </si>
  <si>
    <t>C-1516</t>
  </si>
  <si>
    <t>Цепь трансмиссии 420-94L Delta, Alpha, Zongshen ZUBR "DID"</t>
  </si>
  <si>
    <t>https://b2beez.ru/images/detailed/155/6243587105_l7g1-2y.jpg</t>
  </si>
  <si>
    <t>017928</t>
  </si>
  <si>
    <t>Замок цепи 530HV сальниковый, GOLD "DID"</t>
  </si>
  <si>
    <t>https://b2beez.ru/images/detailed/47/6392026928.jpg</t>
  </si>
  <si>
    <t>Шланги</t>
  </si>
  <si>
    <t>S-4608</t>
  </si>
  <si>
    <t>Шланг топливный Ø4mm, 1 метр (желтый, + фильтр) "BEEZMOTO"</t>
  </si>
  <si>
    <t>https://b2beez.ru/images/detailed/181/orig_2ttg-el.jpg</t>
  </si>
  <si>
    <t>S-4662</t>
  </si>
  <si>
    <t>Шланг топливный Ø4mm, 1 метр (синий, + фильтр) "BEEZMOTO"</t>
  </si>
  <si>
    <t>https://b2beez.ru/images/detailed/181/orig_wqdg-1f.jpg</t>
  </si>
  <si>
    <t>S-2666</t>
  </si>
  <si>
    <t>Шланг топливный Ø4mm, 1 метр (зеленый, + фильтр) "BEEZMOTO"</t>
  </si>
  <si>
    <t>https://b2beez.ru/images/detailed/179/orig_swi0-o3.jpg</t>
  </si>
  <si>
    <t>S-4668</t>
  </si>
  <si>
    <t>Шланг топливный Ø4mm, 1 метр (оранжевый, + фильтр) "BEEZMOTO"</t>
  </si>
  <si>
    <t>https://b2beez.ru/images/detailed/181/orig_d4n6-l9.jpg</t>
  </si>
  <si>
    <t>S-3513</t>
  </si>
  <si>
    <t>Шланг топливный Ø4mm, 20 метров (силиконовый, желтый) "BEEZMOTO"</t>
  </si>
  <si>
    <t>https://b2beez.ru/images/detailed/180/orig_miov-pe.jpg</t>
  </si>
  <si>
    <t>S-2669</t>
  </si>
  <si>
    <t>Шланг топливный Ø4mm, 20 метров (силиконовый, оранжевый) "BEEZMOTO"</t>
  </si>
  <si>
    <t>https://b2beez.ru/images/detailed/179/orig_odng-6k.jpg</t>
  </si>
  <si>
    <t>S-1438</t>
  </si>
  <si>
    <t>Шланг тормозной гидравлический 1200mm"CAOKO"</t>
  </si>
  <si>
    <t>https://b2beez.ru/images/detailed/178/orig_8jkp-rc.jpg</t>
  </si>
  <si>
    <t>S-2661</t>
  </si>
  <si>
    <t>Шланг тормозной гидравлический 1500mm "BEEZMOTO"</t>
  </si>
  <si>
    <t>https://b2beez.ru/images/detailed/179/orig_dn8w-6h.jpg</t>
  </si>
  <si>
    <t>S-2668</t>
  </si>
  <si>
    <t>Шланг топливный Ø4mm, 20 метров (силиконовый, зеленый) "BEEZMOTO"</t>
  </si>
  <si>
    <t>https://b2beez.ru/images/detailed/179/orig_89qt-x0.jpg</t>
  </si>
  <si>
    <t>S-1440</t>
  </si>
  <si>
    <t>Шланг тормозной гидравлический 850mm "CAOKO"</t>
  </si>
  <si>
    <t>https://b2beez.ru/images/detailed/178/orig_5g12-e6.jpg</t>
  </si>
  <si>
    <t>S-2662</t>
  </si>
  <si>
    <t>Шланг тормозной гидравлический 1950mm "BEEZMOTO"</t>
  </si>
  <si>
    <t>https://b2beez.ru/images/detailed/179/orig_02p0-9q.jpg</t>
  </si>
  <si>
    <t>S-2663</t>
  </si>
  <si>
    <t>Шланг тормозной гидравлический 2100mm "BEEZMOTO"</t>
  </si>
  <si>
    <t>https://b2beez.ru/images/detailed/179/6545700391.jpg</t>
  </si>
  <si>
    <t>S-3510</t>
  </si>
  <si>
    <t>Шланг топливный Ø4mm, 20 метров (силиконовый, прозрачный) "BEEZMOTO"</t>
  </si>
  <si>
    <t>https://b2beez.ru/images/detailed/180/orig_k5un-q8.jpg</t>
  </si>
  <si>
    <t>S-4261</t>
  </si>
  <si>
    <t>Шланг силиконовый, Ø3mm, 490 метров (желтый) "BEST"</t>
  </si>
  <si>
    <t>https://b2beez.ru/images/detailed/181/orig_h8eq-6l.jpg</t>
  </si>
  <si>
    <t>S-6461</t>
  </si>
  <si>
    <t>Шланг топливный Ø4mm, 1 метр (черный, + фильтр) "BEEZMOTO"</t>
  </si>
  <si>
    <t>https://b2beez.ru/images/detailed/182/orig_tfmv-j0.jpg</t>
  </si>
  <si>
    <t>Щуп масла</t>
  </si>
  <si>
    <t>D-229</t>
  </si>
  <si>
    <t>Лампа диодная автомобильная S25 (пара) (12V синяя, 8 кристалов,1 контакт) "TYPE-R"</t>
  </si>
  <si>
    <t>https://b2beez.ru/images/detailed/158/6244232565.jpg</t>
  </si>
  <si>
    <t>S-3003</t>
  </si>
  <si>
    <t>Дневные ходовые огни (L-100mm, сверхяркие 9 диодов 12V, влагозащищенные с активным охлаждением)"IZE"</t>
  </si>
  <si>
    <t>https://b2beez.ru/images/detailed/179/6244232490.jpg</t>
  </si>
  <si>
    <t>P-3174</t>
  </si>
  <si>
    <t>Разъем (6 контактов, папа, +провода) "KOMATCU"</t>
  </si>
  <si>
    <t>https://b2beez.ru/images/detailed/173/orig_cd2g-a8.jpg</t>
  </si>
  <si>
    <t>PBS-02</t>
  </si>
  <si>
    <t>Разъем PBS-1x02 (PBS-02) шаг 2.54 мм (50 шт)</t>
  </si>
  <si>
    <t>https://b2beez.ru/images/detailed/175/orig_l1jj-8e.jpg</t>
  </si>
  <si>
    <t>S-3744</t>
  </si>
  <si>
    <t>Подсветка номера мотоцикла, мопеда, авто (2шт, красный) "JCAA"</t>
  </si>
  <si>
    <t>https://b2beez.ru/images/detailed/180/orig_omeb-36.jpg</t>
  </si>
  <si>
    <t>K-3494</t>
  </si>
  <si>
    <t>Коннектор 5 контактов (папа, +провод) XJB</t>
  </si>
  <si>
    <t>https://b2beez.ru/images/detailed/167/6244232564.jpg</t>
  </si>
  <si>
    <t>S-2755</t>
  </si>
  <si>
    <t>Лампа S25 (двухконтактная) 12V 21W/5W (стоп, габарит) EVO</t>
  </si>
  <si>
    <t>https://b2beez.ru/images/detailed/179/7067092192.jpg</t>
  </si>
  <si>
    <t>G-3471</t>
  </si>
  <si>
    <t>Лампа диодная S25 (поворот, габарит) (одноконтактная, 10 диодов, белая) "GJCT"</t>
  </si>
  <si>
    <t>https://b2beez.ru/images/detailed/162/6474467544.jpg</t>
  </si>
  <si>
    <t>B-435</t>
  </si>
  <si>
    <t>Блок кнопок руля (правый, универсальный) (A0002) KOMATCU</t>
  </si>
  <si>
    <t>https://b2beez.ru/images/detailed/154/orig_egoi-rw.jpg</t>
  </si>
  <si>
    <t>D-0192</t>
  </si>
  <si>
    <t>Фонарь задний (в сборе) велосипедный (диодный) "DS" (mod:3)</t>
  </si>
  <si>
    <t>https://b2beez.ru/images/detailed/157/6244232803.jpg</t>
  </si>
  <si>
    <t>B-100</t>
  </si>
  <si>
    <t>Лампа BA20D (2 уса) 12V 50W/50W (белая) "BEST" (mod:B)</t>
  </si>
  <si>
    <t>https://b2beez.ru/images/detailed/154/orig_l275-yu.jpg</t>
  </si>
  <si>
    <t>B-200</t>
  </si>
  <si>
    <t>Лампа BA20D (2 уса) 12V 35W/35W (супер белая, со стержнем) "BEST"</t>
  </si>
  <si>
    <t>https://b2beez.ru/images/detailed/154/orig_ykhl-bp.jpg</t>
  </si>
  <si>
    <t>B-328</t>
  </si>
  <si>
    <t>Лампа BA20D (2 уса) 12V 35W/35W (белая) "BEST"</t>
  </si>
  <si>
    <t>https://b2beez.ru/images/detailed/154/6244232539.jpg</t>
  </si>
  <si>
    <t>B-99</t>
  </si>
  <si>
    <t>Лампа BA20D (2 уса) 12V 50W/50W (белая) "BEST" (mod:A)</t>
  </si>
  <si>
    <t>https://b2beez.ru/images/detailed/154/6244232503_zlra-li.jpg</t>
  </si>
  <si>
    <t>D-1010</t>
  </si>
  <si>
    <t>Лампа диодная универсальная с переходниками (12V 18W, три кристалла) (аналог ксенона) "IZEN"</t>
  </si>
  <si>
    <t>https://b2beez.ru/images/detailed/157/6244232677.jpg</t>
  </si>
  <si>
    <t>D-1275</t>
  </si>
  <si>
    <t>Лампа диодная универсальная с переходниками (12V, 6 кристаллов) "GJCT"</t>
  </si>
  <si>
    <t>https://b2beez.ru/images/detailed/157/6244232589.jpg</t>
  </si>
  <si>
    <t>D-1276</t>
  </si>
  <si>
    <t>Лампа диодная S25 (двухконтактная, 33 диода, белые) "GJCT"</t>
  </si>
  <si>
    <t>https://b2beez.ru/images/detailed/157/6244232712.jpg</t>
  </si>
  <si>
    <t>D-1282</t>
  </si>
  <si>
    <t>Лампа диодная S25 (стоп, габарит) (22 кристалла) "GJCT"</t>
  </si>
  <si>
    <t>https://b2beez.ru/images/detailed/157/6244232758.jpg</t>
  </si>
  <si>
    <t>D-2137</t>
  </si>
  <si>
    <t>Лампа S25 (двухконтактная, диодная) 12V 5W (стоп, габарит) (синяя, mod:JC-716) "JCAA"</t>
  </si>
  <si>
    <t>https://b2beez.ru/images/detailed/157/6244597273.jpg</t>
  </si>
  <si>
    <t>D-2141</t>
  </si>
  <si>
    <t>Лампа диодная S25 (белая, 18 кристаллов) (mod:JC-714) "JCAA"</t>
  </si>
  <si>
    <t>https://b2beez.ru/images/detailed/157/6244232604.jpg</t>
  </si>
  <si>
    <t>D-2143</t>
  </si>
  <si>
    <t>Лампа диодная S25 (синяя, 18 кристаллов) (mod:JC-714) "JCAA"</t>
  </si>
  <si>
    <t>https://b2beez.ru/images/detailed/157/6244232521.jpg</t>
  </si>
  <si>
    <t>D-2146</t>
  </si>
  <si>
    <t>Лампа диодная S25 (белая, 24 кристалла) (синий, mod:JC-717) "JCAA"</t>
  </si>
  <si>
    <t>https://b2beez.ru/images/detailed/157/6244232726.jpg</t>
  </si>
  <si>
    <t>D-4483</t>
  </si>
  <si>
    <t>Лампы диодные автомобильные (12V-24V, 4000 LUMENS, TEMPERATURE: 6000K, POWER:36W)</t>
  </si>
  <si>
    <t>https://b2beez.ru/images/detailed/159/6244597260.jpg</t>
  </si>
  <si>
    <t>D-4484</t>
  </si>
  <si>
    <t>Лампы диодные автомобильные (12V, 3000 LUMENS, POWER:30W)</t>
  </si>
  <si>
    <t>https://b2beez.ru/images/detailed/159/6244597264.jpg</t>
  </si>
  <si>
    <t>D-522</t>
  </si>
  <si>
    <t>Лента декоративная самоклеющаяся 1см*10м (красная)</t>
  </si>
  <si>
    <t>https://b2beez.ru/images/detailed/159/6244232710.jpg</t>
  </si>
  <si>
    <t>G-1915</t>
  </si>
  <si>
    <t>Лампа диодная S25 (поворот, габарит) (одноконтактная, 10 диодов, зеленая) "GJCT"</t>
  </si>
  <si>
    <t>https://b2beez.ru/images/detailed/161/6446885085.jpg</t>
  </si>
  <si>
    <t>L-185</t>
  </si>
  <si>
    <t>Лампа BA20D (2 уса) 12V 35W/35W (белая) "YWL"</t>
  </si>
  <si>
    <t>https://b2beez.ru/images/detailed/169/6244232486.jpg</t>
  </si>
  <si>
    <t>L-187</t>
  </si>
  <si>
    <t>Лампа BA20D (2 уса) 12V 35W/35W (хамелеон радужный) "YWL"</t>
  </si>
  <si>
    <t>https://b2beez.ru/images/detailed/169/orig_rwaz-5q.jpg</t>
  </si>
  <si>
    <t>L-190</t>
  </si>
  <si>
    <t>Лампа BA20D (2 уса) 12V 50W/50W (хамелеон радужный) "YWL"</t>
  </si>
  <si>
    <t>https://b2beez.ru/images/detailed/169/orig_5o3m-pu.jpg</t>
  </si>
  <si>
    <t>L-218</t>
  </si>
  <si>
    <t>Лампа P15D-25-1 (1 ус) 12V 50W/50W (хамелеон радужный) "YWL"</t>
  </si>
  <si>
    <t>https://b2beez.ru/images/detailed/169/6244232519.jpg</t>
  </si>
  <si>
    <t>L-223</t>
  </si>
  <si>
    <t>Лампа P15D-25-3 (3 уса) 12V 18W/18W (хамелеон розовый) "YWL"</t>
  </si>
  <si>
    <t>https://b2beez.ru/images/detailed/169/6244232728.jpg</t>
  </si>
  <si>
    <t>L-230</t>
  </si>
  <si>
    <t>Лампа P15D-25-3 (3 уса) 12V 50W/50W (хамелеон радужный) "YWL"</t>
  </si>
  <si>
    <t>https://b2beez.ru/images/detailed/169/6244232517.jpg</t>
  </si>
  <si>
    <t>O-1917</t>
  </si>
  <si>
    <t>Стоп-сигнал диодный с поворотами (в сборе) универсальный (29 LED, красно-синий-зелено-белый) (mod:JC-609) "BRAKE LAMP"</t>
  </si>
  <si>
    <t>https://b2beez.ru/images/detailed/171/6244232716.jpg</t>
  </si>
  <si>
    <t>O-1925</t>
  </si>
  <si>
    <t>Стоп-сигнал диодный с поворотами (в сборе) универсальный (21 LED, зеленые) (MONSTER ENERGY, mod:JC-605) "BRAKE LAMP"</t>
  </si>
  <si>
    <t>https://b2beez.ru/images/detailed/171/6244232788.jpg</t>
  </si>
  <si>
    <t>O-1927</t>
  </si>
  <si>
    <t>Стоп-сигнал диодный с поворотами (в сборе) универсальный (28 LED, красно-синий-зелено-белый) (LOVE, mod:JC-607) "BRAKE LAMP"</t>
  </si>
  <si>
    <t>https://b2beez.ru/images/detailed/171/6244232778.jpg</t>
  </si>
  <si>
    <t>O-1932</t>
  </si>
  <si>
    <t>Стоп-сигнал диодный (в сборе) универсальный (белый, mod:JC-608) "JCAA"</t>
  </si>
  <si>
    <t>https://b2beez.ru/images/detailed/171/6244232651.jpg</t>
  </si>
  <si>
    <t>P-3176</t>
  </si>
  <si>
    <t>Разъем (6 контактов, мама, +провода) "KOMATCU"</t>
  </si>
  <si>
    <t>https://b2beez.ru/images/detailed/173/orig_cbri-bc.jpg</t>
  </si>
  <si>
    <t>P-685</t>
  </si>
  <si>
    <t>Лампа P15D-25-3 (3 уса) 12V 18W/18W (хамелеон розовый) (блистер) "TAKAWA" (mod:A)</t>
  </si>
  <si>
    <t>https://b2beez.ru/images/detailed/175/6244232581.jpg</t>
  </si>
  <si>
    <t>P-702</t>
  </si>
  <si>
    <t>Лампа P15D-25-3 (3 уса) 12V 50W/50W (белая) (блистер) (S-head) "REV RIDER" (mod:B)</t>
  </si>
  <si>
    <t>https://b2beez.ru/images/detailed/175/6244232644_yfd7-7r.jpg</t>
  </si>
  <si>
    <t>P-706</t>
  </si>
  <si>
    <t>Лампа P15D-25-3 (3 уса) 12V 50W/50W (хамелеон радужный) (блистер) "TAKAWA" (mod:A)</t>
  </si>
  <si>
    <t>https://b2beez.ru/images/detailed/175/6244232562_iqt6-qu.jpg</t>
  </si>
  <si>
    <t>P-707</t>
  </si>
  <si>
    <t>Лампа P15D-25-3 (3 уса) 12V 50W/50W (хамелеон радужный) "BEST" (mod:A)</t>
  </si>
  <si>
    <t>https://b2beez.ru/images/detailed/175/6244232502_fuy8-8n.jpg</t>
  </si>
  <si>
    <t>S-2643</t>
  </si>
  <si>
    <t>Подсветка номера мотоцикла, мопеда, авто (2шт, 6мм) "GJCT"</t>
  </si>
  <si>
    <t>https://b2beez.ru/images/detailed/179/orig_jq61-va.jpg</t>
  </si>
  <si>
    <t>S-2646</t>
  </si>
  <si>
    <t>Накладка светодиодная (трансформер, mod:HY558) "GJCT"</t>
  </si>
  <si>
    <t>https://b2beez.ru/images/detailed/179/6244232767.jpg</t>
  </si>
  <si>
    <t>S-2948</t>
  </si>
  <si>
    <t>Дневной ходовой огонь,стробоскоп,12V (сине-красный,под саморез) "KML"</t>
  </si>
  <si>
    <t>https://b2beez.ru/images/detailed/179/orig_b42p-5i.png</t>
  </si>
  <si>
    <t>S-3001</t>
  </si>
  <si>
    <t>Дневные ходовые огни (L-170mm, сверхяркие 6 диодов 12V, влагозащищенные с активным охлаждением) "IZE</t>
  </si>
  <si>
    <t>https://b2beez.ru/images/detailed/179/orig_aagv-6n.jpg</t>
  </si>
  <si>
    <t>S-3002</t>
  </si>
  <si>
    <t>Дневные ходовые огни (D-100mm, сверхяркие 8 диодов 12V, влагозащищенные с активным охлаждением) "IZE</t>
  </si>
  <si>
    <t>https://b2beez.ru/images/detailed/179/6244232465.jpg</t>
  </si>
  <si>
    <t>S-3552</t>
  </si>
  <si>
    <t>Лента светодиодная (белая) "GJCT"</t>
  </si>
  <si>
    <t>https://b2beez.ru/images/detailed/180/6244232704.jpg</t>
  </si>
  <si>
    <t>S-3559</t>
  </si>
  <si>
    <t>Лента светодиодная (синяя) "GJCT"</t>
  </si>
  <si>
    <t>https://b2beez.ru/images/detailed/180/6244232669.jpg</t>
  </si>
  <si>
    <t>S-3653</t>
  </si>
  <si>
    <t>Сигнал (улитка) электрический двухтональный (синий) "SUV"</t>
  </si>
  <si>
    <t>https://b2beez.ru/images/detailed/180/6244232727.jpg</t>
  </si>
  <si>
    <t>S-3658</t>
  </si>
  <si>
    <t>Сигнал 12V (черно-красный, черно-коричневый) "JCAA"</t>
  </si>
  <si>
    <t>https://b2beez.ru/images/detailed/180/6244232773.jpg</t>
  </si>
  <si>
    <t>S-3714</t>
  </si>
  <si>
    <t>Дневные ходовые огни, стробоскоп (9 диодов,красные,200мм,+кронштейн)  (mod:JC-115) "JCAA"</t>
  </si>
  <si>
    <t>https://b2beez.ru/images/detailed/180/6244232614.jpg</t>
  </si>
  <si>
    <t>S-3721</t>
  </si>
  <si>
    <t>Дневные ходовые огни, стобоскоп (6 диодов,синине,160мм,под винт)  (mod:JC-115) "JCAA"</t>
  </si>
  <si>
    <t>https://b2beez.ru/images/detailed/180/6244232504.jpg</t>
  </si>
  <si>
    <t>S-3729</t>
  </si>
  <si>
    <t>Стробоскоп диодный (2шт) POLICE, 12 диодов (белый) (mod:JC-709) "JCAA"</t>
  </si>
  <si>
    <t>https://b2beez.ru/images/detailed/180/6244232752.jpg</t>
  </si>
  <si>
    <t>S-3730</t>
  </si>
  <si>
    <t>Стробоскоп диодный (2шт) POLICE, 12 диодов (красный) (mod:JC-709) "JCAA"</t>
  </si>
  <si>
    <t>https://b2beez.ru/images/detailed/180/orig_v2eq-oz.jpg</t>
  </si>
  <si>
    <t>S-3735</t>
  </si>
  <si>
    <t>Стробоскоп диодный (2шт, круглые) (линза) (красный, mod:JC-928) "JCAA"</t>
  </si>
  <si>
    <t>https://b2beez.ru/images/detailed/180/orig_msem-f8.jpg</t>
  </si>
  <si>
    <t>S-3737</t>
  </si>
  <si>
    <t>Стробоскоп диодный (2шт, круглые) (линза) (белый, mod:JC-928) "JCAA"</t>
  </si>
  <si>
    <t>https://b2beez.ru/images/detailed/180/orig_upnr-ve.jpg</t>
  </si>
  <si>
    <t>S-3743</t>
  </si>
  <si>
    <t>Подсветка номера мотоцикла, мопеда, авто (2шт, белый) "JCAA"</t>
  </si>
  <si>
    <t>https://b2beez.ru/images/detailed/180/orig_pg93-b1.jpg</t>
  </si>
  <si>
    <t>S-3749</t>
  </si>
  <si>
    <t>Стробоскоп диодный(1шт, круглые) (синяя, mod:JC-302) "JCAA"</t>
  </si>
  <si>
    <t>https://b2beez.ru/images/detailed/180/6244232781.jpg</t>
  </si>
  <si>
    <t>S-3758</t>
  </si>
  <si>
    <t>Стробоскоп диодный (2шт, прямоугольные) 4 диодов (синий, mod:JC-702) "JCAA"</t>
  </si>
  <si>
    <t>https://b2beez.ru/images/detailed/180/6244232715_tn0b-qu.jpg</t>
  </si>
  <si>
    <t>S-3765</t>
  </si>
  <si>
    <t>Стробоскоп диодный (2шт, овальный) 6 диодов (белый, mod:JC-508) "JCAA"</t>
  </si>
  <si>
    <t>https://b2beez.ru/images/detailed/180/6244232764.jpg</t>
  </si>
  <si>
    <t>S-3768</t>
  </si>
  <si>
    <t>Стробоскоп диодный (2шт, овальный) 4 диода (белый, mod:JC-509) "JCAA"</t>
  </si>
  <si>
    <t>https://b2beez.ru/images/detailed/180/6244232731.jpg</t>
  </si>
  <si>
    <t>S-3773</t>
  </si>
  <si>
    <t>Стробоскоп диодный (2шт, овальный) 6 диодов (синий, mod:JC-507) "JCAA"</t>
  </si>
  <si>
    <t>https://b2beez.ru/images/detailed/180/6244232647_7xu6-lu.jpg</t>
  </si>
  <si>
    <t>S-3782</t>
  </si>
  <si>
    <t>Стробоскоп диодный (2шт) POLICE, 6 диодов (зеленый) (mod:JC-706) "JCAA"</t>
  </si>
  <si>
    <t>https://b2beez.ru/images/detailed/180/6244597270.jpg</t>
  </si>
  <si>
    <t>X-114</t>
  </si>
  <si>
    <t>Биксенон (мото) H6 AC 6000K slim (арт:114)</t>
  </si>
  <si>
    <t>https://b2beez.ru/images/detailed/187/6244232596.jpg</t>
  </si>
  <si>
    <t>X-118</t>
  </si>
  <si>
    <t>Биксенон (мото) H6 DC 6000K slim (арт:118)</t>
  </si>
  <si>
    <t>https://b2beez.ru/images/detailed/187/6244232487_usoc-ui.jpg</t>
  </si>
  <si>
    <t>B-198</t>
  </si>
  <si>
    <t>Лампа BA20D (2 уса) 12V 35W/35W (супер белая, двухколбовая) "BEST"</t>
  </si>
  <si>
    <t>https://b2beez.ru/images/detailed/154/orig_5jpt-ng.jpg</t>
  </si>
  <si>
    <t>B-93</t>
  </si>
  <si>
    <t>Лампа BA20D (2 уса) 12V 35W/35W (хамелеон радужный) (блистер) "TAKAWA" (mod:A)</t>
  </si>
  <si>
    <t>https://b2beez.ru/images/detailed/154/orig_9esz-1r.jpg</t>
  </si>
  <si>
    <t>D-1000</t>
  </si>
  <si>
    <t>Лампа диодная универсальная с переходниками (12V 8W/18W) (mod:3) "WOYE"</t>
  </si>
  <si>
    <t>https://b2beez.ru/images/detailed/157/6244232796.jpg</t>
  </si>
  <si>
    <t>D-1005</t>
  </si>
  <si>
    <t>Лампа диодная универсальная с переходниками (12V 8W/16W, 2 кристалла) (mod:5) "WOYE"</t>
  </si>
  <si>
    <t>https://b2beez.ru/images/detailed/157/6244232625.jpg</t>
  </si>
  <si>
    <t>D-1007</t>
  </si>
  <si>
    <t>Лампы диодные автомобильные H1 (пара) (два кристалла, принуд. охлаждение) (аналог ксенона) "IZEN"</t>
  </si>
  <si>
    <t>https://b2beez.ru/images/detailed/157/6247096355.jpg</t>
  </si>
  <si>
    <t>D-1008</t>
  </si>
  <si>
    <t>Лампы диодные автомобильные H3 (пара) (два кристалла, принуд. охлаждение) (аналог ксенона) "IZEN"</t>
  </si>
  <si>
    <t>https://b2beez.ru/images/detailed/157/6244232763.jpg</t>
  </si>
  <si>
    <t>D-1009</t>
  </si>
  <si>
    <t>Лампы диодные автомобильные H4 (пара) (12V 3600 LUMENS, три кристалла, принуд. охлаждение) (аналог к</t>
  </si>
  <si>
    <t>https://b2beez.ru/images/detailed/157/6244597269.jpg</t>
  </si>
  <si>
    <t>D-1013</t>
  </si>
  <si>
    <t>Лампы диодные автомобильные H4 (пара) (12V 3600 LUMENS, два кристалла) (аналог ксенона)"IZEN"</t>
  </si>
  <si>
    <t>https://b2beez.ru/images/detailed/157/6244232682.jpg</t>
  </si>
  <si>
    <t>D-1280</t>
  </si>
  <si>
    <t>Лампа диодная T10 (пара, 6диодов)"GJCT"</t>
  </si>
  <si>
    <t>https://b2beez.ru/images/detailed/157/6244232687.jpg</t>
  </si>
  <si>
    <t>D-233</t>
  </si>
  <si>
    <t>Лампа диодная T10 (пара) (синяя, 10 кристаллов) "TYPE-R"</t>
  </si>
  <si>
    <t>https://b2beez.ru/images/detailed/158/6244232524.jpg</t>
  </si>
  <si>
    <t>D-236</t>
  </si>
  <si>
    <t>Лампа диодная T5 (пара) (синяя, 1 кристалл) "TYPE-R"</t>
  </si>
  <si>
    <t>https://b2beez.ru/images/detailed/158/6244232612.jpg</t>
  </si>
  <si>
    <t>D-237</t>
  </si>
  <si>
    <t>Лампа диодная T5 (пара) (красная, 1 кристалл) "TYPE-R"</t>
  </si>
  <si>
    <t>https://b2beez.ru/images/detailed/158/6244232619.jpg</t>
  </si>
  <si>
    <t>D-238</t>
  </si>
  <si>
    <t>Лампа диодная T10 (пара) (белая, 12 кристаллов) "TYPE-R"</t>
  </si>
  <si>
    <t>https://b2beez.ru/images/detailed/158/orig_xd9l-e9.jpg</t>
  </si>
  <si>
    <t>D-239</t>
  </si>
  <si>
    <t>Лампа диодная ВA9S (пара) (белая, 5 кристаллов) "TYPE-R"</t>
  </si>
  <si>
    <t>https://b2beez.ru/images/detailed/158/6244232679.jpg</t>
  </si>
  <si>
    <t>D-240</t>
  </si>
  <si>
    <t>Лампа диодная ВA9S (пара) (синяя, 5 кристаллов) "TYPE-R"</t>
  </si>
  <si>
    <t>https://b2beez.ru/images/detailed/158/6244232630.jpg</t>
  </si>
  <si>
    <t>D-241</t>
  </si>
  <si>
    <t>Лампа диодная ВA9S (пара) (белая, 4 кристалла) "TYPE-R"</t>
  </si>
  <si>
    <t>https://b2beez.ru/images/detailed/158/6244232610.jpg</t>
  </si>
  <si>
    <t>D-242</t>
  </si>
  <si>
    <t>Лампа диодная ВA9S (пара) (синяя, 4 кристалла) "TYPE-R"</t>
  </si>
  <si>
    <t>https://b2beez.ru/images/detailed/158/6244232681.jpg</t>
  </si>
  <si>
    <t>D-243</t>
  </si>
  <si>
    <t>Лампа диодная T10 (пара) (белая, 9 кристаллов) "TYPE-R"</t>
  </si>
  <si>
    <t>https://b2beez.ru/images/detailed/158/6244597262.jpg</t>
  </si>
  <si>
    <t>D-245</t>
  </si>
  <si>
    <t>Лампа диодная SV8.5-8 (белая, 9 кристаллов) "TYPE-R"</t>
  </si>
  <si>
    <t>https://b2beez.ru/images/detailed/158/6244232547.jpg</t>
  </si>
  <si>
    <t>D-246</t>
  </si>
  <si>
    <t>Лампа диодная SV8.5-8 (синяя, 9 кристаллов) "TYPE-R"</t>
  </si>
  <si>
    <t>https://b2beez.ru/images/detailed/158/6244232613.jpg</t>
  </si>
  <si>
    <t>D-247</t>
  </si>
  <si>
    <t>Лампа диодная SV8.5-8 (белая, 6 кристаллов) "TYPE-R"</t>
  </si>
  <si>
    <t>https://b2beez.ru/images/detailed/158/6244232526.jpg</t>
  </si>
  <si>
    <t>D-508</t>
  </si>
  <si>
    <t>Лампа диодная BA20D (12V 5W) "TOPFIRE"</t>
  </si>
  <si>
    <t>https://b2beez.ru/images/detailed/159/6244232769.jpg</t>
  </si>
  <si>
    <t>D-523</t>
  </si>
  <si>
    <t>Лента декоративная самоклеющаяся 1см*10м (черная)</t>
  </si>
  <si>
    <t>https://b2beez.ru/images/detailed/159/6244232760.jpg</t>
  </si>
  <si>
    <t>D-524</t>
  </si>
  <si>
    <t>Лента декоративная самоклеющаяся 1см*10м (зеленая)</t>
  </si>
  <si>
    <t>https://b2beez.ru/images/detailed/159/6244232652.jpg</t>
  </si>
  <si>
    <t>G-1567</t>
  </si>
  <si>
    <t>Лампа G18 (поворот, габарит) 12V 10W (зеленая) (10шт) "ORANGE BOX"</t>
  </si>
  <si>
    <t>https://b2beez.ru/images/detailed/161/6244232508.jpg</t>
  </si>
  <si>
    <t>G-1568</t>
  </si>
  <si>
    <t>Лампа G18 (поворот, габарит) 12V 10W (синяя) (10шт) "ORANGE BOX"</t>
  </si>
  <si>
    <t>https://b2beez.ru/images/detailed/161/6244232448.jpg</t>
  </si>
  <si>
    <t>H-486</t>
  </si>
  <si>
    <t>Лампы диодные автомобильные H4 (пара) (12V 3600 LUMENS, четыре кристалла) (аналог ксенона) "IZEN" (m</t>
  </si>
  <si>
    <t>https://b2beez.ru/images/detailed/164/6244232783.jpg</t>
  </si>
  <si>
    <t>H-487</t>
  </si>
  <si>
    <t>Лампы диодные автомобильные H4 (пара) (12V 3600-LUMENS, четыре кристалла) (аналог ксенона) "IZEN"</t>
  </si>
  <si>
    <t>https://b2beez.ru/images/detailed/164/6244232673.jpg</t>
  </si>
  <si>
    <t>K-2004</t>
  </si>
  <si>
    <t>Биксенон (мото) H6 DC 5000K (арт:K-2004)</t>
  </si>
  <si>
    <t>https://b2beez.ru/images/detailed/166/6244232629.jpg</t>
  </si>
  <si>
    <t>K-2417</t>
  </si>
  <si>
    <t>Биксенон (мото) H6 DC 8000K slim "KTO"</t>
  </si>
  <si>
    <t>https://b2beez.ru/images/detailed/166/6244232605.jpg</t>
  </si>
  <si>
    <t>L-193</t>
  </si>
  <si>
    <t>Лампа G18 (поворот, габарит) 12V 10W (зеленая) "YWL"</t>
  </si>
  <si>
    <t>https://b2beez.ru/images/detailed/169/6249132304.jpg</t>
  </si>
  <si>
    <t>L-234</t>
  </si>
  <si>
    <t>Лампа S25 (двухконтактная) 12V 10W/5W (стоп, габарит) (зеленая) "YWL"</t>
  </si>
  <si>
    <t>https://b2beez.ru/images/detailed/169/6244232574.jpg</t>
  </si>
  <si>
    <t>L-236</t>
  </si>
  <si>
    <t>Лампа S25 (двухконтактная) 12V 10W/5W (стоп, габарит) (синяя) "YWL"</t>
  </si>
  <si>
    <t>https://b2beez.ru/images/detailed/169/6244232774.jpg</t>
  </si>
  <si>
    <t>L-241</t>
  </si>
  <si>
    <t>Лампа S25 (двухконтактная) 12V 21W/5W (стоп, габарит) (синяя) (10шт) "YWL"</t>
  </si>
  <si>
    <t>https://b2beez.ru/images/detailed/169/6244232567.jpg</t>
  </si>
  <si>
    <t>L-257</t>
  </si>
  <si>
    <t>Лампа Т15 (безцокольная) 12V 10W (поворот, зеленая) (10шт)"YWL"</t>
  </si>
  <si>
    <t>https://b2beez.ru/images/detailed/169/6244232694.jpg</t>
  </si>
  <si>
    <t>L-259</t>
  </si>
  <si>
    <t>Лампа Т15 (безцокольная) 12V 10W (поворот, синяя) (10шт) "YWL"</t>
  </si>
  <si>
    <t>https://b2beez.ru/images/detailed/169/6246875054.jpg</t>
  </si>
  <si>
    <t>O-1892</t>
  </si>
  <si>
    <t>Фары светодиодные противотуманные для мото (оранжевые с серым) "JCAA"</t>
  </si>
  <si>
    <t>https://b2beez.ru/images/detailed/171/orig_lvrq-u2.jpg</t>
  </si>
  <si>
    <t>O-1895</t>
  </si>
  <si>
    <t>Фары светодиодные противотуманные для мото (золотые с коричневым) "JCAA"</t>
  </si>
  <si>
    <t>https://b2beez.ru/images/detailed/171/orig_v3ad-ni.jpg</t>
  </si>
  <si>
    <t>O-523</t>
  </si>
  <si>
    <t>Фара прямоугольная безкорпусная (крепеж 165mm, красная подсветка, косое стекло) "Feili"</t>
  </si>
  <si>
    <t>https://b2beez.ru/images/detailed/172/6244232653.jpg</t>
  </si>
  <si>
    <t>P-683</t>
  </si>
  <si>
    <t>Лампа P15D-25-3 (3 уса) 12V 18W/18W (хамелеон радужный) (блистер) "TAKAWA" (mod:A)</t>
  </si>
  <si>
    <t>https://b2beez.ru/images/detailed/175/6244232562.jpg</t>
  </si>
  <si>
    <t>P-701</t>
  </si>
  <si>
    <t>Лампа P15D-25-3 (3 уса) 12V 50W/50W (белая) "BEST" (mod:A)</t>
  </si>
  <si>
    <t>https://b2beez.ru/images/detailed/175/6244232748.jpg</t>
  </si>
  <si>
    <t>S-1064</t>
  </si>
  <si>
    <t>Сигналы (пара) "улитка", 12V, крепление (черные) "WEISHINE"</t>
  </si>
  <si>
    <t>https://b2beez.ru/images/detailed/178/6244232743.jpg</t>
  </si>
  <si>
    <t>S-1980</t>
  </si>
  <si>
    <t>Лампа S25 (двухконтактная) 12V 21W/5W (стоп, габарит) (синяя) (10шт) "ORANGE BOX"</t>
  </si>
  <si>
    <t>https://b2beez.ru/images/detailed/179/6244232695.jpg</t>
  </si>
  <si>
    <t>S-2647</t>
  </si>
  <si>
    <t>Накладка светодиодная (трансформер, mod:HD-020) "GJCT"</t>
  </si>
  <si>
    <t>https://b2beez.ru/images/detailed/179/6244232538.jpg</t>
  </si>
  <si>
    <t>S-2873</t>
  </si>
  <si>
    <t>Лампа S25 (двухконтактная) 12V 21W/5W (стоп, габарит) (зеленая) (10шт) "ORANGE BOX"</t>
  </si>
  <si>
    <t>https://b2beez.ru/images/detailed/179/6244232761.jpg</t>
  </si>
  <si>
    <t>S-2875</t>
  </si>
  <si>
    <t>Лампа S25 (двухконтактная) 12V 10W/5W (стоп, габарит) (зеленая) (10шт) "ORANGE BOX"</t>
  </si>
  <si>
    <t>https://b2beez.ru/images/detailed/179/6377756878.jpg</t>
  </si>
  <si>
    <t>S-2876</t>
  </si>
  <si>
    <t>Лампа S25 (двухконтактная) 12V 10W/5W (стоп, габарит) (синяя) (10шт) "ORANGE BOX"</t>
  </si>
  <si>
    <t>https://b2beez.ru/images/detailed/179/6244232598.jpg</t>
  </si>
  <si>
    <t>S-3551</t>
  </si>
  <si>
    <t>Лента светодиодная "MONSTER ENERGY" "GJCT"</t>
  </si>
  <si>
    <t>https://b2beez.ru/images/detailed/180/6244597268.jpg</t>
  </si>
  <si>
    <t>S-3553</t>
  </si>
  <si>
    <t>Светодиодная подсветка логотипа "MONSTER ENERGY"</t>
  </si>
  <si>
    <t>https://b2beez.ru/images/detailed/180/6244232664.jpg</t>
  </si>
  <si>
    <t>S-3554</t>
  </si>
  <si>
    <t>Светодиодная подсветка логотипа "BATMAN"</t>
  </si>
  <si>
    <t>https://b2beez.ru/images/detailed/180/6244597281.jpg</t>
  </si>
  <si>
    <t>S-3555</t>
  </si>
  <si>
    <t>Светодиодная подсветка логотипа "CHOPPER"</t>
  </si>
  <si>
    <t>https://b2beez.ru/images/detailed/180/6244232664_z7d2-lg.jpg</t>
  </si>
  <si>
    <t>S-3557</t>
  </si>
  <si>
    <t>Подсветка номера мотоцикла, мопеда, авто (1шт, 6мм) "JCAA"</t>
  </si>
  <si>
    <t>https://b2beez.ru/images/detailed/180/6244597266.jpg</t>
  </si>
  <si>
    <t>S-3558</t>
  </si>
  <si>
    <t>Лента светодиодная (желтая) "GJCT"</t>
  </si>
  <si>
    <t>https://b2beez.ru/images/detailed/180/6244232658.jpg</t>
  </si>
  <si>
    <t>S-3560</t>
  </si>
  <si>
    <t>Лента светодиодная (красная) "GJCT"</t>
  </si>
  <si>
    <t>https://b2beez.ru/images/detailed/180/6244232561.jpg</t>
  </si>
  <si>
    <t>S-3644</t>
  </si>
  <si>
    <t>Сигнал (улитка) электрический двухтональный (белый) (пара) "SUV"</t>
  </si>
  <si>
    <t>https://b2beez.ru/images/detailed/180/6244232792.jpg</t>
  </si>
  <si>
    <t>S-3645</t>
  </si>
  <si>
    <t>Сигнал (улитка) электрический двухтональный (розовый) (пара) "SUV"</t>
  </si>
  <si>
    <t>https://b2beez.ru/images/detailed/180/6248636262.jpg</t>
  </si>
  <si>
    <t>S-3650</t>
  </si>
  <si>
    <t>Сигнал (улитка) электрический двухтональный (розовый) "SUV"</t>
  </si>
  <si>
    <t>https://b2beez.ru/images/detailed/180/6244232795.jpg</t>
  </si>
  <si>
    <t>S-3712</t>
  </si>
  <si>
    <t>Подсветка номера мотоцикла, мопеда, авто (2шт, синие, 2диода, 6мм) "JCAA"</t>
  </si>
  <si>
    <t>https://b2beez.ru/images/detailed/180/orig_85fh-e6.jpg</t>
  </si>
  <si>
    <t>S-3713</t>
  </si>
  <si>
    <t>Дневные ходовые огни, стобоскоп (9 диодов,белые,200мм,+кронштейн)  mod:JC-115) "JCAA"</t>
  </si>
  <si>
    <t>https://b2beez.ru/images/detailed/180/6244232449.jpg</t>
  </si>
  <si>
    <t>S-3716</t>
  </si>
  <si>
    <t>Дневные ходовые огни (9 диодов) (зеленые, mod:JC-115) "JCAA"</t>
  </si>
  <si>
    <t>https://b2beez.ru/images/detailed/180/6244597280.jpg</t>
  </si>
  <si>
    <t>S-3720</t>
  </si>
  <si>
    <t>Дневные ходовые огни, стобоскоп (6 диодов,красные,160мм,под винт) ( mod:JC-115) "JCAA"</t>
  </si>
  <si>
    <t>https://b2beez.ru/images/detailed/180/6244232463.jpg</t>
  </si>
  <si>
    <t>S-3727</t>
  </si>
  <si>
    <t>Накладка светодиодная (круглая) 25 диодов (красно-синий-зеленый, 1 режим) (mod:JC-2137) "JCAA"</t>
  </si>
  <si>
    <t>https://b2beez.ru/images/detailed/180/orig_f9im-98.jpg</t>
  </si>
  <si>
    <t>S-3733</t>
  </si>
  <si>
    <t>Стробоскоп диодный (2шт, круглые) POLICE, 6 диодов (красный, mod:JC-503) "JCAA"</t>
  </si>
  <si>
    <t>https://b2beez.ru/images/detailed/180/6244232746.jpg</t>
  </si>
  <si>
    <t>S-3734</t>
  </si>
  <si>
    <t>Стробоскоп диодный (2шт, круглые) POLICE, 6 диодов (синй, mod:JC-503) "JCAA"</t>
  </si>
  <si>
    <t>https://b2beez.ru/images/detailed/180/6244232766.jpg</t>
  </si>
  <si>
    <t>S-3740</t>
  </si>
  <si>
    <t>https://b2beez.ru/images/detailed/180/orig_atuf-zd.jpg</t>
  </si>
  <si>
    <t>S-3741</t>
  </si>
  <si>
    <t>Подсветка номера мотоцикла, мопеда, авто (2шт, зеленый) "JCAA"</t>
  </si>
  <si>
    <t>https://b2beez.ru/images/detailed/180/orig_ir2u-sd.jpg</t>
  </si>
  <si>
    <t>S-3742</t>
  </si>
  <si>
    <t>Подсветка номера мотоцикла, мопеда, авто (2шт, синий) "YS"</t>
  </si>
  <si>
    <t>https://b2beez.ru/images/detailed/180/orig_9tb6-x9.jpg</t>
  </si>
  <si>
    <t>S-3745</t>
  </si>
  <si>
    <t>Подсветка номера мотоцикла, мопеда, авто (2шт, фиолетовый) "JCAA"</t>
  </si>
  <si>
    <t>https://b2beez.ru/images/detailed/180/orig_uaat-ei.jpg</t>
  </si>
  <si>
    <t>S-3750</t>
  </si>
  <si>
    <t>Стробоскоп диодный (2шт, круглые) (белая, mod:JC-302) "JCAA"</t>
  </si>
  <si>
    <t>https://b2beez.ru/images/detailed/180/6244232751.jpg</t>
  </si>
  <si>
    <t>S-3752</t>
  </si>
  <si>
    <t>https://b2beez.ru/images/detailed/180/orig_qtkw-2c.jpg</t>
  </si>
  <si>
    <t>S-3757</t>
  </si>
  <si>
    <t>Стробоскоп диодный (2шт, прямоугольные) 4 диодов (красный, mod:JC-702) "JCAA"</t>
  </si>
  <si>
    <t>S-3763</t>
  </si>
  <si>
    <t>Стробоскоп диодный (овальный) 6 диодов (красно-сини-белый, + 2 режима) (mod:JC-701) "JCAA"</t>
  </si>
  <si>
    <t>https://b2beez.ru/images/detailed/180/orig_ng20-uq.jpg</t>
  </si>
  <si>
    <t>S-3769</t>
  </si>
  <si>
    <t>Стробоскоп диодный (2шт, овальный) 4 диода (красный, mod:JC-509) "JCAA"</t>
  </si>
  <si>
    <t>https://b2beez.ru/images/detailed/180/6244232713.jpg</t>
  </si>
  <si>
    <t>S-3776</t>
  </si>
  <si>
    <t>Стробоскоп диодный (2шт, круглые) 6 диодов (синий, mod:JC-606) "JCAA"</t>
  </si>
  <si>
    <t>https://b2beez.ru/images/detailed/180/6244232665_rf86-0h.jpg</t>
  </si>
  <si>
    <t>S-3777</t>
  </si>
  <si>
    <t>Стробоскоп диодный (2шт, круглые) 6 диодов (желтый, mod:JC-606) "JCAA"</t>
  </si>
  <si>
    <t>https://b2beez.ru/images/detailed/180/6244232762.jpg</t>
  </si>
  <si>
    <t>S-3778</t>
  </si>
  <si>
    <t>Стробоскоп диодный (2шт, круглые) 6 диодов (зеленый, mod:JC-606) "JCAA"</t>
  </si>
  <si>
    <t>https://b2beez.ru/images/detailed/180/6244232665_nzzz-pz.jpg</t>
  </si>
  <si>
    <t>T-583</t>
  </si>
  <si>
    <t>Лампа Т15 (безцокольная) 12V 10W (поворот, красная) (10шт) "FL"</t>
  </si>
  <si>
    <t>https://b2beez.ru/images/detailed/183/6244232639.jpg</t>
  </si>
  <si>
    <t>T-584</t>
  </si>
  <si>
    <t>Лампа Т15 (безцокольная) 12V 10W (поворот, зеленая) (10шт) "FL"</t>
  </si>
  <si>
    <t>https://b2beez.ru/images/detailed/183/6244232663.jpg</t>
  </si>
  <si>
    <t>T-585</t>
  </si>
  <si>
    <t>Лампа Т15 (безцокольная) 12V 10W (поворот, синяя) (10шт) "FL"</t>
  </si>
  <si>
    <t>https://b2beez.ru/images/detailed/183/6260708942.jpg</t>
  </si>
  <si>
    <t>X-113</t>
  </si>
  <si>
    <t>Биксенон (мото) H6 AC 6000K (арт:X-113)</t>
  </si>
  <si>
    <t>https://b2beez.ru/images/detailed/187/6244232456.jpg</t>
  </si>
  <si>
    <t>X-115</t>
  </si>
  <si>
    <t>Биксенон (мото) H6 AC 8000K (арт:X-115)</t>
  </si>
  <si>
    <t>https://b2beez.ru/images/detailed/187/6244232456_fp40-z6.jpg</t>
  </si>
  <si>
    <t>X-116</t>
  </si>
  <si>
    <t>Биксенон (мото) H6 AC 8000K slim (арт:X-116)</t>
  </si>
  <si>
    <t>https://b2beez.ru/images/detailed/187/6244232487.jpg</t>
  </si>
  <si>
    <t>X-117</t>
  </si>
  <si>
    <t>Биксенон (мото) H6 DC 6000K (арт:117)</t>
  </si>
  <si>
    <t>https://b2beez.ru/images/detailed/187/6244232456_f9ah-u5.jpg</t>
  </si>
  <si>
    <t>X-119</t>
  </si>
  <si>
    <t>Биксенон (мото) H6 DC 8000K (арт:X-119)</t>
  </si>
  <si>
    <t>https://b2beez.ru/images/detailed/187/6244232536.jpg</t>
  </si>
  <si>
    <t>Ножки/подножки/накладки</t>
  </si>
  <si>
    <t>R-3102</t>
  </si>
  <si>
    <t>Подножки водителя KAYO, TTR 125-140 (пара) "BEEZMOTO"</t>
  </si>
  <si>
    <t>https://b2beez.ru/images/detailed/177/orig_dkpg-zz.jpg</t>
  </si>
  <si>
    <t>R-1970</t>
  </si>
  <si>
    <t>Резинка заводной ножки "MONSTER ENERGY" (универсальная, желтая) "XJB"</t>
  </si>
  <si>
    <t>https://b2beez.ru/images/detailed/176/6243586622.jpg</t>
  </si>
  <si>
    <t>R-1971</t>
  </si>
  <si>
    <t>Резинка заводной ножки "MONSTER ENERGY" (универсальная, зеленая) "XJB"</t>
  </si>
  <si>
    <t>https://b2beez.ru/images/detailed/176/6243586862.jpg</t>
  </si>
  <si>
    <t>R-1972</t>
  </si>
  <si>
    <t>Резинка заводной ножки "MONSTER ENERGY" (универсальная, красная) "XJB"</t>
  </si>
  <si>
    <t>https://b2beez.ru/images/detailed/176/6243586646.jpg</t>
  </si>
  <si>
    <t>R-1973</t>
  </si>
  <si>
    <t>Резинка заводной ножки "MONSTER ENERGY" (универсальная, синяя) "XJB"</t>
  </si>
  <si>
    <t>https://b2beez.ru/images/detailed/176/6243586937.jpg</t>
  </si>
  <si>
    <t>R-2140</t>
  </si>
  <si>
    <t>Подножка стояночная боковая (серая, универсальная) "KOMATCU"</t>
  </si>
  <si>
    <t>https://b2beez.ru/images/detailed/176/orig_s8ru-mk.jpg</t>
  </si>
  <si>
    <t>R-2142</t>
  </si>
  <si>
    <t>Подножка стояночная боковая (красная, универсальная) "KOMATCU"</t>
  </si>
  <si>
    <t>https://b2beez.ru/images/detailed/176/orig_m0f0-2y.jpg</t>
  </si>
  <si>
    <t>R-2141</t>
  </si>
  <si>
    <t>Подножка стояночная боковая (синяя, универсальная) "KOMATCU"</t>
  </si>
  <si>
    <t>https://b2beez.ru/images/detailed/176/6243586624.jpg</t>
  </si>
  <si>
    <t>Свечи/гужоны</t>
  </si>
  <si>
    <t>Свеча А11-1 "Russia" 2T (MOQ 10шт)</t>
  </si>
  <si>
    <t>https://b2beez.ru/images/detailed/48/orig_r6gp-bh.jpg</t>
  </si>
  <si>
    <t>S-923</t>
  </si>
  <si>
    <t>Свеча бензопильная L7T M14*1,25 9,5mm "GL"</t>
  </si>
  <si>
    <t>https://b2beez.ru/images/detailed/182/orig_xqnv-q3.jpg</t>
  </si>
  <si>
    <t>S-1546</t>
  </si>
  <si>
    <t>Свеча 3-х электродная A7TJC M10*1,00 12,7mm (4T GY6 50, Delta) "BSC" (MOQ 10шт)</t>
  </si>
  <si>
    <t>https://b2beez.ru/images/detailed/178/7154797481.jpg</t>
  </si>
  <si>
    <t>S-1547</t>
  </si>
  <si>
    <t>Свеча 3-х электродная E6TJC M14*1,25 12,7mm (2T 50-150cc) "BSC" (MOQ 10шт)</t>
  </si>
  <si>
    <t>https://b2beez.ru/images/detailed/178/7154794614.jpg</t>
  </si>
  <si>
    <t>S-1549</t>
  </si>
  <si>
    <t>Свеча 3-х электродная A7TJC M10*1,00 12,7mm (4T GY6 50, Delta) "CHAMP" (MOQ 10шт)</t>
  </si>
  <si>
    <t>https://b2beez.ru/images/detailed/178/6247207009.jpg</t>
  </si>
  <si>
    <t>S-1550</t>
  </si>
  <si>
    <t>Свеча 3-х электродная E6TJC M14*1,25 12,7mm (2T 50-150cc) "CHAMP" (MOQ 10шт)</t>
  </si>
  <si>
    <t>https://b2beez.ru/images/detailed/178/orig_t28a-82.jpg</t>
  </si>
  <si>
    <t>S-1829</t>
  </si>
  <si>
    <t>Свеча A7TCI M10*1,00 12,7mm "IRIDIUM" (4T скутеры и мопеды, до 14 атмосфер) "CHAMP" (MOQ 2шт)</t>
  </si>
  <si>
    <t>https://b2beez.ru/images/detailed/179/6247207007.jpg</t>
  </si>
  <si>
    <t>S-1830</t>
  </si>
  <si>
    <t>Свеча A7TCI M10*1,00 12,7mm "IRIDIUM" (4T скутеры и мопеды, до 14 атмосфер) "NG" (MOQ 2шт)</t>
  </si>
  <si>
    <t>https://b2beez.ru/images/detailed/179/orig_62qu-lw.jpg</t>
  </si>
  <si>
    <t>S-1831</t>
  </si>
  <si>
    <t>Свеча A7TCI M10*1,00 12,7mm "IRIDIUM" (4T скутеры и мопеды, до 14 атмосфер) "SEE" (MOQ 2шт)</t>
  </si>
  <si>
    <t>https://b2beez.ru/images/detailed/179/6247206967.jpg</t>
  </si>
  <si>
    <t>S-1833</t>
  </si>
  <si>
    <t>Свеча E6TCI M14*1,25 12,7mm "IRIDIUM" (2T скутеры 50-125сс, до 14 атмосфер) "CHAMP" (MOQ 2шт)</t>
  </si>
  <si>
    <t>https://b2beez.ru/images/detailed/179/6247206968.jpg</t>
  </si>
  <si>
    <t>S-3565</t>
  </si>
  <si>
    <t>Свеча E6TC M14*1,25 12,7mm (2T скутеры 50-125сс) "MACRO" (MOQ 10шт)</t>
  </si>
  <si>
    <t>https://b2beez.ru/images/detailed/180/6247206997.jpg</t>
  </si>
  <si>
    <t>S-3566</t>
  </si>
  <si>
    <t>Свеча A7TC M10*1,00 12,7mm (4T GY6 50, Delta) "MACRO" (MOQ 10шт)</t>
  </si>
  <si>
    <t>https://b2beez.ru/images/detailed/180/orig_bovp-pa.jpg</t>
  </si>
  <si>
    <t>S-3569</t>
  </si>
  <si>
    <t>Свеча A7TC M10*1,00 12,7mm (4T GY6 50, Delta) "DUCATI" (MOQ 10шт)</t>
  </si>
  <si>
    <t>https://b2beez.ru/images/detailed/180/orig_po7f-yb.jpg</t>
  </si>
  <si>
    <t>S-895</t>
  </si>
  <si>
    <t>Свеча B7TC M10*1,00 19,0mm (4T 125\600cc) "BSC" (MOQ 10шт)</t>
  </si>
  <si>
    <t>https://b2beez.ru/images/detailed/204/S-895-2_l8fs-ni.jpg</t>
  </si>
  <si>
    <t>S-896</t>
  </si>
  <si>
    <t>Свеча D8TC M12*1,25 19,0mm (4T 125-600cc) "BSC" (MOQ 10шт)</t>
  </si>
  <si>
    <t>https://b2beez.ru/images/detailed/204/S-896-2_9b8d-16.jpg</t>
  </si>
  <si>
    <t>S-897</t>
  </si>
  <si>
    <t>Свеча E6TC M14*1,25 12,7mm (2T скутеры 50-125сс) "CHAMP" (MOQ 10шт)</t>
  </si>
  <si>
    <t>https://b2beez.ru/images/detailed/182/orig_c0ra-my.jpg</t>
  </si>
  <si>
    <t>S-898</t>
  </si>
  <si>
    <t>Свеча A7TC M10*1,00 12,7mm (4T GY6 50, Delta) "CHAMP" (MOQ 10шт)</t>
  </si>
  <si>
    <t>https://b2beez.ru/images/detailed/182/orig_wgtn-i3.jpg</t>
  </si>
  <si>
    <t>S-899</t>
  </si>
  <si>
    <t>Свеча B7TC M10*1,00 19,0mm (4T 125\600cc) "CHAMP" (MOQ 10шт)</t>
  </si>
  <si>
    <t>https://b2beez.ru/images/detailed/182/orig_yz33-hl.jpg</t>
  </si>
  <si>
    <t>S-900</t>
  </si>
  <si>
    <t>Свеча D8TC M12*1,25 19,0mm (4T 125-600cc) "CHAMP" (MOQ 10шт)</t>
  </si>
  <si>
    <t>https://b2beez.ru/images/detailed/182/orig_6pqf-es.jpg</t>
  </si>
  <si>
    <t>S-908</t>
  </si>
  <si>
    <t>Свеча E6TC M14*1,25 12,7mm (2T скутеры 50-125сс) "DNS" (MOQ 10шт)</t>
  </si>
  <si>
    <t>https://b2beez.ru/images/detailed/182/6247206969.jpg</t>
  </si>
  <si>
    <t>S-911</t>
  </si>
  <si>
    <t>Свеча B7TC M10*1,00 19,0mm (4T 125\600cc) "DNS" (MOQ 10шт)</t>
  </si>
  <si>
    <t>https://b2beez.ru/images/detailed/182/orig_s6wg-gp.jpg</t>
  </si>
  <si>
    <t>S-912</t>
  </si>
  <si>
    <t>Свеча D8TC M12*1,25 19,0mm (4T 125-600cc) "DNS" (MOQ 10шт)</t>
  </si>
  <si>
    <t>https://b2beez.ru/images/detailed/182/6247206946.jpg</t>
  </si>
  <si>
    <t>S-915</t>
  </si>
  <si>
    <t>Свеча B7TC M10*1,00 19,0mm (4T 125\600cc) "MILLIE" (MOQ 10шт)</t>
  </si>
  <si>
    <t>https://b2beez.ru/images/detailed/182/orig_4p2k-lp.jpg</t>
  </si>
  <si>
    <t>S-921</t>
  </si>
  <si>
    <t>Свеча B7TC M10*1,00 19,0mm (4T 125\600cc) "NG" (MOQ 10шт)</t>
  </si>
  <si>
    <t>https://b2beez.ru/images/detailed/182/7150351433.jpg</t>
  </si>
  <si>
    <t>S-925</t>
  </si>
  <si>
    <t>Свеча B7TC M10*1,00 19,0mm (4T 125\600cc) "NPS 1818" (MOQ 10шт)</t>
  </si>
  <si>
    <t>https://b2beez.ru/images/detailed/182/6247207014.jpg</t>
  </si>
  <si>
    <t>S-928</t>
  </si>
  <si>
    <t>Свеча A7TC M10*1,00 12,7mm (4T GY6 50, Delta) "ORN" (MOQ 10шт)</t>
  </si>
  <si>
    <t>https://b2beez.ru/images/detailed/182/6247207026.jpg</t>
  </si>
  <si>
    <t>S-929</t>
  </si>
  <si>
    <t>Свеча B7TC M10*1,00 19,0mm (4T 125\600cc) "ORN" (MOQ 10шт)</t>
  </si>
  <si>
    <t>https://b2beez.ru/images/detailed/182/orig_6067-tn.jpg</t>
  </si>
  <si>
    <t>S-930</t>
  </si>
  <si>
    <t>Свеча D8TC M12*1,25 19,0mm (4T 125-600cc) "ORN" (MOQ 10шт)</t>
  </si>
  <si>
    <t>https://b2beez.ru/images/detailed/182/orig_jyhf-lj.jpg</t>
  </si>
  <si>
    <t>S-933</t>
  </si>
  <si>
    <t>Свеча B7TC M10*1,00 19,0mm (4T 125\600cc) "PLATINUM" (MOQ 10шт)</t>
  </si>
  <si>
    <t>https://b2beez.ru/images/detailed/182/6247206996.jpg</t>
  </si>
  <si>
    <t>S-941</t>
  </si>
  <si>
    <t>Свеча B7TC M10*1,00 19,0mm (4T 125\600cc) "SEE" (MOQ 10шт)</t>
  </si>
  <si>
    <t>https://b2beez.ru/images/detailed/182/6247206964.jpg</t>
  </si>
  <si>
    <t>S-947</t>
  </si>
  <si>
    <t>Свеча А23B "Уфа" (2T, #SINO) (MOQ 10шт)</t>
  </si>
  <si>
    <t>https://b2beez.ru/images/detailed/182/6247207031.jpg</t>
  </si>
  <si>
    <t>S-952</t>
  </si>
  <si>
    <t>Свеча E6TC M14*1,25 12,7mm (2T скутеры 50-125сс) "STL" (MOQ 10шт)</t>
  </si>
  <si>
    <t>https://b2beez.ru/images/detailed/182/orig_s93t-61.jpg</t>
  </si>
  <si>
    <t>S-965</t>
  </si>
  <si>
    <t>Свеча А23В "Уфа" 2T (MOQ 10шт)</t>
  </si>
  <si>
    <t>https://b2beez.ru/images/detailed/182/orig_9h74-bo.jpg</t>
  </si>
  <si>
    <t>S-961</t>
  </si>
  <si>
    <t>Свеча А14В "Уфа" 2T (MOQ 10шт)</t>
  </si>
  <si>
    <t>https://b2beez.ru/images/detailed/182/orig_v729-c0.jpg</t>
  </si>
  <si>
    <t>На квадроциклы</t>
  </si>
  <si>
    <t>Фильтр воздушный ATV (универсальный) Ø42/43/44mm (красный) "BEEZMOTO"</t>
  </si>
  <si>
    <t>https://b2beez.ru/images/detailed/48/6260253244.jpg</t>
  </si>
  <si>
    <t>Ступица переднего колеса ATV 110/125 (в сборе, 3x79mm) "BEEZMOTO"</t>
  </si>
  <si>
    <t>https://b2beez.ru/images/detailed/48/orig_6vpr-mo.jpg</t>
  </si>
  <si>
    <t>B-189</t>
  </si>
  <si>
    <t>Бак топливный ATV 70-125 (пластиковый, 2,5л.) "BEEZMOTO"</t>
  </si>
  <si>
    <t>https://b2beez.ru/images/detailed/154/orig_svq2-6b.jpg</t>
  </si>
  <si>
    <t>D-9137</t>
  </si>
  <si>
    <t>Диск тормозной Active (Ø190mm, 4x70mm) "BEEZMOTO"</t>
  </si>
  <si>
    <t>https://b2beez.ru/images/detailed/204/D-9137.jpg</t>
  </si>
  <si>
    <t>Двигатель 49cc 2T детский ATV/TTR50 3,4 л.с (с редуктором, без электростартера)</t>
  </si>
  <si>
    <t>https://b2beez.ru/images/detailed/48/6313100929.jpg</t>
  </si>
  <si>
    <t>Карбюратор PIAGGIO CIAO (детский ATV, минибайк) (mod.1) KMOTO</t>
  </si>
  <si>
    <t>https://b2beez.ru/images/detailed/48/orig_a3qh-jp.jpg</t>
  </si>
  <si>
    <t>Карбюратор PIAGGIO CIAO (детский ATV, минибайк) (mod.2) "KMOTO"</t>
  </si>
  <si>
    <t>https://b2beez.ru/images/detailed/48/orig_y1c2-n4.jpg</t>
  </si>
  <si>
    <t>D-0104</t>
  </si>
  <si>
    <t>Диск колеса ATV (3*78мм) под покрышку 19x7-8 "BEEZMOTO"</t>
  </si>
  <si>
    <t>https://b2beez.ru/images/detailed/157/7129844415.jpg</t>
  </si>
  <si>
    <t>D-0105</t>
  </si>
  <si>
    <t>Диск колеса ATV (3*78мм) под покрышку 18x9.5-8 "BEEZMOTO"</t>
  </si>
  <si>
    <t>https://b2beez.ru/images/detailed/157/7129846154.jpg</t>
  </si>
  <si>
    <t>Счетчик моточасов для ATV (черный) MOTOR</t>
  </si>
  <si>
    <t>https://b2beez.ru/images/detailed/48/6490163664_6j9l-7a.jpg</t>
  </si>
  <si>
    <t>S-1034</t>
  </si>
  <si>
    <t>Шланг тормозной гидравлический (армированный) (700mm, Ø10mm) "BEEZMOTO"</t>
  </si>
  <si>
    <t>https://b2beez.ru/images/detailed/178/orig_3j3v-mt.jpg</t>
  </si>
  <si>
    <t>Кулак поворотный левый (барабанный тормоз) ATV 110-125 "BEEZMOTO"</t>
  </si>
  <si>
    <t>https://b2beez.ru/images/detailed/48/orig_awqt-s3.jpg</t>
  </si>
  <si>
    <t>Кулак поворотный правый (барабанный тормоз) ATV 110-125 "BEEZMOTO"</t>
  </si>
  <si>
    <t>https://b2beez.ru/images/detailed/48/orig_36ee-iq.jpg</t>
  </si>
  <si>
    <t>Тяга рулевая L-235mm в сборе с рулевыми наконечниками ATV 110-125 "BEEZMOTO"</t>
  </si>
  <si>
    <t>https://b2beez.ru/images/detailed/48/orig_6duz-yv.jpg</t>
  </si>
  <si>
    <t>Тяга рулевая L-220mm в сборе с рулевыми наконечниками ATV 110-125 "BEEZMOTO"</t>
  </si>
  <si>
    <t>https://b2beez.ru/images/detailed/48/orig_glbf-4q.jpg</t>
  </si>
  <si>
    <t>Тяга рулевая L-270mm в сборе с рулевыми наконечниками ATV 110-125 "BEEZMOTO"</t>
  </si>
  <si>
    <t>https://b2beez.ru/images/detailed/48/orig_7irj-k3.jpg</t>
  </si>
  <si>
    <t>Тяга рулевая L-240mm в сборе с рулевыми наконечниками ATV 110-125 "BEEZMOTO"</t>
  </si>
  <si>
    <t>https://b2beez.ru/images/detailed/48/orig_7db9-hm.jpg</t>
  </si>
  <si>
    <t>Тяга рулевая L-210mm в сборе с рулевыми наконечниками ATV 110-125 "BEEZMOTO"</t>
  </si>
  <si>
    <t>https://b2beez.ru/images/detailed/48/orig_wmhf-iw.jpg</t>
  </si>
  <si>
    <t>Тяга рулевая L-230mm в сборе с рулевыми наконечниками ATV 110-125 mod:2 "BEEZMOTO"</t>
  </si>
  <si>
    <t>https://b2beez.ru/images/detailed/48/orig_4c5g-un.jpg</t>
  </si>
  <si>
    <t>Тяга рулевая L-260mm в сборе с рулевыми наконечниками ATV 110-125 "BEEZMOTO"</t>
  </si>
  <si>
    <t>https://b2beez.ru/images/detailed/48/orig_5dqm-u2.jpg</t>
  </si>
  <si>
    <t>Крепление рулевого вала (в сборе, D-22мм) ATV 110 "BEEZMOTO"</t>
  </si>
  <si>
    <t>https://b2beez.ru/images/detailed/48/6490163740.jpg</t>
  </si>
  <si>
    <t>Машинка тормозная (ГТЦ) ATV 110-125 (заднего тормоза) "BEEZMOTO"</t>
  </si>
  <si>
    <t>https://b2beez.ru/images/detailed/48/orig_kwi4-z8.jpg</t>
  </si>
  <si>
    <t>Машинка тормозная (ГТЦ) ATV 110-125 (заднего тормоза с выносным бачком) "BEEZMOTO"</t>
  </si>
  <si>
    <t>https://b2beez.ru/images/detailed/48/orig_23yc-ad.jpg</t>
  </si>
  <si>
    <t>Колодки тормозные (диск) ATV 110-125 (несимметричные) "BEEZMOTO"</t>
  </si>
  <si>
    <t>https://b2beez.ru/images/detailed/48/orig_pj15-3s.jpg</t>
  </si>
  <si>
    <t>Трос тормоза ATV 110 (1350mm) "BEEZMOTO"</t>
  </si>
  <si>
    <t>https://b2beez.ru/images/detailed/48/6490164089_v4x1-gk.jpg</t>
  </si>
  <si>
    <t>Трос тормоза ATV 110 (1180mm) "BEEZMOTO"</t>
  </si>
  <si>
    <t>https://b2beez.ru/images/detailed/48/6490164075.jpg</t>
  </si>
  <si>
    <t>E-202</t>
  </si>
  <si>
    <t>Крышка стартера 2T ATV 50-80сс (алюминиевая, черная) (+стартер) "BEEZMOTO" mod:A</t>
  </si>
  <si>
    <t>https://b2beez.ru/images/detailed/160/orig_z6x9-mg.jpg</t>
  </si>
  <si>
    <t>E-201</t>
  </si>
  <si>
    <t>Крышка стартера 2T ATV 50-80сс (алюминиевая) (+стартер) "BEEZMOTO"</t>
  </si>
  <si>
    <t>https://b2beez.ru/images/detailed/204/1_i1wv-sh.jpg</t>
  </si>
  <si>
    <t>Защита рук на руль ATV 110/125 (желтая)</t>
  </si>
  <si>
    <t>https://b2beez.ru/images/detailed/48/6490178027.jpg</t>
  </si>
  <si>
    <t>Счетчик моточасов для ATV (синий)</t>
  </si>
  <si>
    <t>https://b2beez.ru/images/detailed/48/6490164016_6u89-ev.jpg</t>
  </si>
  <si>
    <t>Трос газа (1180мм) ATV 110-125 "BEEZMOTO"</t>
  </si>
  <si>
    <t>https://b2beez.ru/images/detailed/48/orig_3bz4-py.jpg</t>
  </si>
  <si>
    <t>Крышка бака топливного ATV 110-125 "BEEZMOTO"</t>
  </si>
  <si>
    <t>https://b2beez.ru/images/detailed/48/orig_t36r-cl.jpg</t>
  </si>
  <si>
    <t>Крышка бака топливного (пластиковая) ATV 110-125</t>
  </si>
  <si>
    <t>https://b2beez.ru/images/detailed/48/orig_vtye-kg.jpg</t>
  </si>
  <si>
    <t>Бак топливный ATV 110-125 (пластиковый, 2.5 л.)</t>
  </si>
  <si>
    <t>https://b2beez.ru/images/detailed/48/orig_lmdw-1m.jpg</t>
  </si>
  <si>
    <t>Курок газа ATV 50/125 (D-22мм, алюминий) "BEEZMOTO"</t>
  </si>
  <si>
    <t>https://b2beez.ru/images/detailed/48/orig_kvvz-0m.jpg</t>
  </si>
  <si>
    <t>Амортизатор ATV 110-125 (295 мм; Ø10/10мм, регулируемый, черно-белый) "BEEZMOTO"</t>
  </si>
  <si>
    <t>https://b2beez.ru/images/detailed/48/orig_agn1-kv.jpg</t>
  </si>
  <si>
    <t>Кулак поворотный левый (дисковый тормоз) ATV 110-125 "BEEZMOTO"</t>
  </si>
  <si>
    <t>https://b2beez.ru/images/detailed/48/orig_g9dk-qc.jpg</t>
  </si>
  <si>
    <t>Кулак поворотный правый (дисковый тормоз) ATV 110-125 "BEEZMOTO"</t>
  </si>
  <si>
    <t>https://b2beez.ru/images/detailed/48/orig_yn33-h0.jpg</t>
  </si>
  <si>
    <t>Тяга рулевая L-180mm в сборе с рулевыми наконечниками ATV 110-125 "BEEZMOTO"</t>
  </si>
  <si>
    <t>https://b2beez.ru/images/detailed/48/orig_91pr-9k.jpg</t>
  </si>
  <si>
    <t>Суппорт тормозной (дисковый) ATV 110/125 (передний однопоршневой, левый) "BEEZMOTO"</t>
  </si>
  <si>
    <t>https://b2beez.ru/images/detailed/48/orig_jyec-en.jpg</t>
  </si>
  <si>
    <t>Суппорт тормозной (дисковый) ATV 110/125 (передний однопоршневой, правый) "BEEZMOTO"</t>
  </si>
  <si>
    <t>https://b2beez.ru/images/detailed/48/orig_ha60-zq.jpg</t>
  </si>
  <si>
    <t>Ступица переднего колеса ATV 110/125 (в сборе, 3x79mm, +тормозной диск)</t>
  </si>
  <si>
    <t>https://b2beez.ru/images/detailed/48/orig_332n-xu.jpg</t>
  </si>
  <si>
    <t>Звезда трансмиссии (задняя) ATV 110-125 428-40T (+ступица) "BEEZMOTO"</t>
  </si>
  <si>
    <t>https://b2beez.ru/images/detailed/48/orig_85qd-pz.jpg</t>
  </si>
  <si>
    <t>D-8049-U1</t>
  </si>
  <si>
    <t>Двигатель ATV 125cc (АКПП, 154FMI, 1 передача вперед и 1 назад) "BEEZMOTO"(Повреждения)</t>
  </si>
  <si>
    <t>A-9131-U1</t>
  </si>
  <si>
    <t>Амортизатор ATV 110-125 (300 мм; Ø10/10мм, регулируемый, черный) "BEEZMOTO" (Повреждения)</t>
  </si>
  <si>
    <t>K-588</t>
  </si>
  <si>
    <t>Карбюратор 4T ATV, DINGO 150 (D-25мм, с отверстием под подогрев + топливный фильтр) 157QMJ "BEEZMOTO"</t>
  </si>
  <si>
    <t>https://b2beez.ru/images/detailed/168/orig_9su0-2q.jpg</t>
  </si>
  <si>
    <t>R-0702</t>
  </si>
  <si>
    <t>Реле поворотов ATV (3-х контактное) "BEEZMOTO"</t>
  </si>
  <si>
    <t>https://b2beez.ru/images/detailed/176/6916317001.jpg</t>
  </si>
  <si>
    <t>Цепь трансмиссии 428-94L ATV 110-125 "DQ"</t>
  </si>
  <si>
    <t>https://b2beez.ru/images/detailed/48/orig_mze6-bb.jpg</t>
  </si>
  <si>
    <t>Цепь трансмиссии 428-74L ATV 110-125 "DQ"</t>
  </si>
  <si>
    <t>https://b2beez.ru/images/detailed/48/orig_5ksd-u6.jpg</t>
  </si>
  <si>
    <t>01024</t>
  </si>
  <si>
    <t>Цепь трансмиссии 428-96L ATV 110-125</t>
  </si>
  <si>
    <t>https://b2beez.ru/images/detailed/47/orig_f4zl-yx.jpg</t>
  </si>
  <si>
    <t>Цепь трансмиссии 428-92L ATV 110-125</t>
  </si>
  <si>
    <t>https://b2beez.ru/images/detailed/48/orig_w7kj-sl.jpg</t>
  </si>
  <si>
    <t>Цепь трансмиссии 428-88L ATV 110-125 "DQ"</t>
  </si>
  <si>
    <t>https://b2beez.ru/images/detailed/48/orig_oyqe-pf.jpg</t>
  </si>
  <si>
    <t>Цепь трансмиссии 428-90L ATV 110-125 "DQ"</t>
  </si>
  <si>
    <t>https://b2beez.ru/images/detailed/48/orig_0m56-ut.jpg</t>
  </si>
  <si>
    <t>Цепь трансмиссии 428-72L ATV 110-125 "DQ"</t>
  </si>
  <si>
    <t>https://b2beez.ru/images/detailed/48/orig_27ke-67.jpg</t>
  </si>
  <si>
    <t>Цепь трансмиссии 428-102L ATV 110-125</t>
  </si>
  <si>
    <t>https://b2beez.ru/images/detailed/48/orig_axnv-r9.jpg</t>
  </si>
  <si>
    <t>Цепь трансмиссии 428-76L ATV 110-125 "DQ"</t>
  </si>
  <si>
    <t>https://b2beez.ru/images/detailed/48/orig_mrnr-yx.jpg</t>
  </si>
  <si>
    <t>S-1013</t>
  </si>
  <si>
    <t>Сиденье ATV 64х28 STING "BEEZMOTO"</t>
  </si>
  <si>
    <t>https://b2beez.ru/images/detailed/178/7181482950.jpg</t>
  </si>
  <si>
    <t>D-8446</t>
  </si>
  <si>
    <t>Двигатель ATV 110cc (МКПП, 152FMH-J, 1 передача вперед и 1 назад) "BEEZMOTO"</t>
  </si>
  <si>
    <t>https://b2beez.ru/images/detailed/160/6862252299.jpg</t>
  </si>
  <si>
    <t>D-8049</t>
  </si>
  <si>
    <t>Двигатель ATV 125cc (АКПП, 154FMI, 1 передача вперед и 1 назад) "BEEZMOTO"</t>
  </si>
  <si>
    <t>https://b2beez.ru/images/detailed/160/6861966554.jpg</t>
  </si>
  <si>
    <t>Повороты ATV 110-125  (пара) "BEEZMOTO"</t>
  </si>
  <si>
    <t>https://b2beez.ru/images/detailed/48/orig_32go-h0.jpg</t>
  </si>
  <si>
    <t>Реле указателей поворота ATV 110-125 (бочонок) "BEEZMOTO"</t>
  </si>
  <si>
    <t>https://b2beez.ru/images/detailed/48/6495470577.jpg</t>
  </si>
  <si>
    <t>Патрубок крышки бензобака ATV 110-125</t>
  </si>
  <si>
    <t>https://b2beez.ru/images/detailed/48/orig_pmar-no.png</t>
  </si>
  <si>
    <t>Прокладка карбюратора ATV 110-125 "BEEZMOTO"</t>
  </si>
  <si>
    <t>https://b2beez.ru/images/detailed/48/orig_ev3x-6f.jpg</t>
  </si>
  <si>
    <t>Ступица переднего колеса ATV 110/125 (в сборе, 4х88mm) 'BEEZMOTO'</t>
  </si>
  <si>
    <t>https://b2beez.ru/images/detailed/48/orig_j8lv-cb.jpg</t>
  </si>
  <si>
    <t>Ось привода задних колес ATV 110-125 (длина 650 мм)</t>
  </si>
  <si>
    <t>https://b2beez.ru/images/detailed/48/6490163842.jpg</t>
  </si>
  <si>
    <t>Ступица заднего колеса ATV 110/125 (3х78mm, 23 шлица)</t>
  </si>
  <si>
    <t>https://b2beez.ru/images/detailed/48/orig_9gsl-ah.jpg</t>
  </si>
  <si>
    <t>Ступица заднего колеса ATV 110/125 (3х78mm 17 шлицов) "BEEZMOTO"</t>
  </si>
  <si>
    <t>https://b2beez.ru/images/detailed/48/orig_fivk-es.jpg</t>
  </si>
  <si>
    <t>Ступица заднего колеса ATV 110/125 (3x69mm, 24 шлица) "BEEZMOTO"</t>
  </si>
  <si>
    <t>https://b2beez.ru/images/detailed/48/orig_3whp-gi.jpg</t>
  </si>
  <si>
    <t>Ступица тормозного диска (4x68mm) AVT 110-125 "BEEZMOTO"</t>
  </si>
  <si>
    <t>https://b2beez.ru/images/detailed/48/orig_jr28-10.jpg</t>
  </si>
  <si>
    <t>Кронштейн задней оси ATV 110-125 "BEEZMOTO" (mod:1)</t>
  </si>
  <si>
    <t>https://b2beez.ru/images/detailed/48/orig_i08a-zq.jpg</t>
  </si>
  <si>
    <t>Звезда трансмиссии (задняя) ATV 110-125 428-37Т "BEEZMOTO"</t>
  </si>
  <si>
    <t>https://b2beez.ru/images/detailed/48/orig_6xhe-wh.jpg</t>
  </si>
  <si>
    <t>Звезда трансмиссии (задняя) ATV 110-125 428-45Т "BEEZMOTO"</t>
  </si>
  <si>
    <t>https://b2beez.ru/images/detailed/92/7181154230.jpg</t>
  </si>
  <si>
    <t>Звезда трансмиссии (передняя) ATV 110-125 428-14T (+стопорная шайба) YX1P53FMI "BEEZMOTO"</t>
  </si>
  <si>
    <t>https://b2beez.ru/images/detailed/48/orig_wmro-j0.jpg</t>
  </si>
  <si>
    <t>Звезда трансмиссии (передняя) ATV 110-125 428-13T (+стопорная шайба) "BEEZMOTO" mod:1</t>
  </si>
  <si>
    <t>https://b2beez.ru/images/detailed/48/orig_hnu0-eq.jpg</t>
  </si>
  <si>
    <t>Цепь трансмиссии 428-80L ATV 110-125 "DQ"</t>
  </si>
  <si>
    <t>https://b2beez.ru/images/detailed/48/orig_upmo-pk.jpg</t>
  </si>
  <si>
    <t>A-2837</t>
  </si>
  <si>
    <t>Амортизатор ATV 110-125 (280 мм; Ø10/10мм, регулируемый, серо-красный) "BEEZMOTO"</t>
  </si>
  <si>
    <t>https://b2beez.ru/images/detailed/153/orig_of1t-9a.jpg</t>
  </si>
  <si>
    <t>A-2509</t>
  </si>
  <si>
    <t>Амортизатор ATV 110-125 (290 мм; Ø10/10мм, регулируемый, черно-белый) "BEEZMOTO"</t>
  </si>
  <si>
    <t>https://b2beez.ru/images/detailed/153/orig_cted-k6.jpg</t>
  </si>
  <si>
    <t>A-3102</t>
  </si>
  <si>
    <t>Амортизатор ATV 110-125 (325 мм; Ø10/10мм, регулируемый, черно-красный) mod:B "BEEZMOTO"</t>
  </si>
  <si>
    <t>https://b2beez.ru/images/detailed/153/orig_bp2z-am.jpg</t>
  </si>
  <si>
    <t>A-5183</t>
  </si>
  <si>
    <t>Амортизатор ATV 110-125 (300 мм; Ø10/10мм, регулируемый, черно-красный) "BEEZMOTO"</t>
  </si>
  <si>
    <t>https://b2beez.ru/images/detailed/153/orig_3rs4-54.jpg</t>
  </si>
  <si>
    <t>A-9131</t>
  </si>
  <si>
    <t>Амортизатор ATV 110-125 (300 мм; Ø10/10мм, регулируемый, черный) "BEEZMOTO"</t>
  </si>
  <si>
    <t>https://b2beez.ru/images/detailed/153/orig_tlyy-vz.jpg</t>
  </si>
  <si>
    <t>A-8575</t>
  </si>
  <si>
    <t>Амортизатор ATV 110-125 (315 мм; Ø10/10мм, регулируемый, черно-красный) "BEEZMOTO"</t>
  </si>
  <si>
    <t>https://b2beez.ru/images/detailed/153/orig_pt0o-w9.jpg</t>
  </si>
  <si>
    <t>A-3330</t>
  </si>
  <si>
    <t>Амортизатор ATV 110-125 (325 мм; Ø10/10мм, регулируемый, черно-белый) "BEEZMOTO" mod:A</t>
  </si>
  <si>
    <t>https://b2beez.ru/images/detailed/153/orig_4pxc-x2.jpg</t>
  </si>
  <si>
    <t>A-2435</t>
  </si>
  <si>
    <t>Амортизатор ATV 110-125 (335 мм; Ø10/10мм, регулируемый, черно-красный) "BEEZMOTO"</t>
  </si>
  <si>
    <t>https://b2beez.ru/images/detailed/153/orig_sjmu-j4.jpg</t>
  </si>
  <si>
    <t>A-0214</t>
  </si>
  <si>
    <t>Амортизатор ATV 110-125 (340 мм; Ø10/10мм, регулируемый, черно-красный) "BEEZMOTO"</t>
  </si>
  <si>
    <t>https://b2beez.ru/images/detailed/153/orig_56iu-t0.jpg</t>
  </si>
  <si>
    <t>Панель приборов (в сборе) ATV 110-125 тип Classic New</t>
  </si>
  <si>
    <t>https://b2beez.ru/images/detailed/48/orig_8bzl-gd.jpg</t>
  </si>
  <si>
    <t>Фонарь задний (стоп-сигнал) (LED) ATV 110-125 "BEEZMOTO"</t>
  </si>
  <si>
    <t>https://b2beez.ru/images/detailed/48/orig_x6mn-qt.jpg</t>
  </si>
  <si>
    <t>Блок переключателей (пульт) левый ATV 110-125 (1 соединительная колодка) "BEEZMOTO"</t>
  </si>
  <si>
    <t>https://b2beez.ru/images/detailed/48/orig_85ku-gg.jpg</t>
  </si>
  <si>
    <t>Чека аварийной остановки двигателя (на руль) ATV 110-125 "BEEZMOTO"</t>
  </si>
  <si>
    <t>https://b2beez.ru/images/detailed/48/orig_zm2m-cf.jpg</t>
  </si>
  <si>
    <t>D-1003</t>
  </si>
  <si>
    <t>Кран топливный ATV (один штуцер) "HY"</t>
  </si>
  <si>
    <t>https://b2beez.ru/images/detailed/157/6243586132.jpg</t>
  </si>
  <si>
    <t>D-1004</t>
  </si>
  <si>
    <t>Кран топливный ATV (два штуцера) "HY"</t>
  </si>
  <si>
    <t>https://b2beez.ru/images/detailed/157/6495850974.jpg</t>
  </si>
  <si>
    <t>K-2633</t>
  </si>
  <si>
    <t>Колодки тормозные (диск) Honda ATC 250R (красные) "YONGLI"</t>
  </si>
  <si>
    <t>https://b2beez.ru/images/detailed/166/orig_jhgw-sm.jpg</t>
  </si>
  <si>
    <t>K-2639</t>
  </si>
  <si>
    <t>Колодки тормозные (диск) Honda ATC 250R (желтые) "YONGLI PRO"</t>
  </si>
  <si>
    <t>https://b2beez.ru/images/detailed/166/orig_oji2-4s.jpg</t>
  </si>
  <si>
    <t>R-2091</t>
  </si>
  <si>
    <t>Курок газа ATV 250 ''BEEZMOTO"</t>
  </si>
  <si>
    <t>https://b2beez.ru/images/detailed/176/orig_s8s7-qu.jpg</t>
  </si>
  <si>
    <t>K-3399</t>
  </si>
  <si>
    <t>Кнопки руля (набор) ATV (4шт, +разъем) "XVP"</t>
  </si>
  <si>
    <t>https://b2beez.ru/images/detailed/167/6243585817.jpg</t>
  </si>
  <si>
    <t>C-1336</t>
  </si>
  <si>
    <t>Двигатель ATV 110 (AКПП, 3+1 передач, 152FMH, 20081525) "BEEZMOTO"</t>
  </si>
  <si>
    <t>https://b2beez.ru/images/detailed/155/orig_g4lq-3k.jpg</t>
  </si>
  <si>
    <t>Счетчик моточасов для ATV (красный)MOTOR</t>
  </si>
  <si>
    <t>https://b2beez.ru/images/detailed/48/6490164060.jpg</t>
  </si>
  <si>
    <t>N-487</t>
  </si>
  <si>
    <t>Ножка переключения передач ATV, KAYO (универсальная, синяя) "MRP"</t>
  </si>
  <si>
    <t>https://b2beez.ru/images/detailed/171/orig_0ahk-9t.jpg</t>
  </si>
  <si>
    <t>Колодки тормозные (барабан) ATV 110-125 (Ø125)</t>
  </si>
  <si>
    <t>https://b2beez.ru/images/detailed/48/orig_ijxy-bz.jpg</t>
  </si>
  <si>
    <t>Крепление руля ATV 110/125 (пара) "BEEZMOTO"</t>
  </si>
  <si>
    <t>https://b2beez.ru/images/detailed/48/orig_0467-1e.jpg</t>
  </si>
  <si>
    <t>Опора шаровая регулируемая верхняя ATV 110-125 "BEEZMOTO"</t>
  </si>
  <si>
    <t>https://b2beez.ru/images/detailed/48/orig_whm1-a4.jpg</t>
  </si>
  <si>
    <t>Пластик ATV 110-125 под фары (очки) "BEEZMOTO"</t>
  </si>
  <si>
    <t>https://b2beez.ru/images/detailed/48/6490163625.jpg</t>
  </si>
  <si>
    <t>Пластик (передний, верхний) ATV 110-125 "BEEZMOTO"</t>
  </si>
  <si>
    <t>https://b2beez.ru/images/detailed/48/6490163997.jpg</t>
  </si>
  <si>
    <t>Амортизатор ATV 110-125 (350 мм; Ø10/10мм, регулируемый, черный) "BEEZMOTO"</t>
  </si>
  <si>
    <t>https://b2beez.ru/images/detailed/48/orig_kh1e-3x.jpg</t>
  </si>
  <si>
    <t>Пластик подножки правой (с вырезом для масляной пробки) ATV 110-125 mod:2</t>
  </si>
  <si>
    <t>https://b2beez.ru/images/detailed/48/6923472541.jpg</t>
  </si>
  <si>
    <t>Пластик подножки правой (без выреза) ATV 110-125 mod:3</t>
  </si>
  <si>
    <t>https://b2beez.ru/images/detailed/48/orig_l1aa-pn.jpg</t>
  </si>
  <si>
    <t>Пластик подножки левой (с вырезом под рычаг кпп) ATV 110-125 mod:1</t>
  </si>
  <si>
    <t>https://b2beez.ru/images/detailed/48/6633831951.jpg</t>
  </si>
  <si>
    <t>Пластик подножки левой (без выреза) ATV 110-125 mod:3</t>
  </si>
  <si>
    <t>https://b2beez.ru/images/detailed/48/6633170351_qtrr-lb.jpg</t>
  </si>
  <si>
    <t>Пластик подножки левой (с вырезом под ножной рычаг кпп) ATV 110-125 mod:2</t>
  </si>
  <si>
    <t>https://b2beez.ru/images/detailed/48/orig_pil9-ue.jpg</t>
  </si>
  <si>
    <t>Сиденье ATV 110-125</t>
  </si>
  <si>
    <t>https://b2beez.ru/images/detailed/48/orig_pe2l-9w.jpg</t>
  </si>
  <si>
    <t>Амортизатор ATV 110-125 (310 мм; Ø10/10мм, регулируемый, черный) "BEEZMOTO"</t>
  </si>
  <si>
    <t>https://b2beez.ru/images/detailed/48/orig_tg37-oy.jpg</t>
  </si>
  <si>
    <t>Опора шаровая нижняя ATV 110-125 "BEEZMOTO"</t>
  </si>
  <si>
    <t>https://b2beez.ru/images/detailed/48/orig_mxin-r2.jpg</t>
  </si>
  <si>
    <t>Амортизатор ATV 110-125 (295 мм; Ø10/10мм, регулируемый, черный) "BEEZMOTO"</t>
  </si>
  <si>
    <t>https://b2beez.ru/images/detailed/48/orig_m4jq-hl.jpg</t>
  </si>
  <si>
    <t>Амортизатор ATV 110-125 (280 мм; Ø10/10мм, регулируемый, белый) "BEEZMOTO"</t>
  </si>
  <si>
    <t>https://b2beez.ru/images/detailed/48/orig_cdy5-v5.jpg</t>
  </si>
  <si>
    <t>Амортизатор ATV 110-125 (375 мм; Ø10/10мм, регулируемый, черный) "BEEZMOTO"</t>
  </si>
  <si>
    <t>https://b2beez.ru/images/detailed/48/orig_82vy-qj.jpg</t>
  </si>
  <si>
    <t>Амортизатор ATV 110-125 (315 мм; Ø10/10мм, регулируемый, черно-белый) "BEEZMOTO"</t>
  </si>
  <si>
    <t>https://b2beez.ru/images/detailed/48/orig_yh5e-gw.jpg</t>
  </si>
  <si>
    <t>Амортизатор ATV 110-125 (335 мм, Ø10/10мм, регулируемый, черно-белый) "BEEZMOTO"</t>
  </si>
  <si>
    <t>https://b2beez.ru/images/detailed/48/orig_ufx5-tk.jpg</t>
  </si>
  <si>
    <t>Руль ATV 110-125 (Ø22.3mm)</t>
  </si>
  <si>
    <t>https://b2beez.ru/images/detailed/48/orig_myzq-8n.jpg</t>
  </si>
  <si>
    <t>Поролон на перекладину руля D=45, d=22 L=190mm ATV 110/125</t>
  </si>
  <si>
    <t>https://b2beez.ru/images/detailed/48/orig_x2im-59.jpg</t>
  </si>
  <si>
    <t>F-1911</t>
  </si>
  <si>
    <t>Фильтр воздушный ATV (универсальный) Ø42mm (черный) "BEEZMOTO"</t>
  </si>
  <si>
    <t>https://b2beez.ru/images/detailed/160/orig_lpsa-f9.jpg</t>
  </si>
  <si>
    <t>Ножка переключения передач ATV 110-125</t>
  </si>
  <si>
    <t>https://b2beez.ru/images/detailed/48/orig_lwjw-ga.jpg</t>
  </si>
  <si>
    <t>Ниппель колеса для бескамерных шин (15 отверстие) ATV 110-125 (4шт) "BEEZMOTO"</t>
  </si>
  <si>
    <t>https://b2beez.ru/images/detailed/48/orig_8cp8-6x.jpg</t>
  </si>
  <si>
    <t>Ступица переднего колеса ATV 110/125 (в сборе, 4x88mm, +тормозной диск) "BEEZMOTO"</t>
  </si>
  <si>
    <t>https://b2beez.ru/images/detailed/48/orig_y8gi-14.jpg</t>
  </si>
  <si>
    <t>Ступица заднего колеса ATV 110/125 (3х77mm, 23 шлица) (компл. - 2шт) "BEEZMOTO"</t>
  </si>
  <si>
    <t>https://b2beez.ru/images/detailed/48/orig_sol2-n5.jpg</t>
  </si>
  <si>
    <t>Звезда трансмиссии (задняя) ATV 110-125 428-41Т "BEEZMOTO"</t>
  </si>
  <si>
    <t>https://b2beez.ru/images/detailed/48/orig_1j9h-51.jpg</t>
  </si>
  <si>
    <t>A-8543</t>
  </si>
  <si>
    <t>Амортизатор ATV 110-125 (315 мм; Ø10/10мм, регулируемый, черный) "BEEZMOTO"</t>
  </si>
  <si>
    <t>https://b2beez.ru/images/detailed/153/orig_sdoz-6g.jpg</t>
  </si>
  <si>
    <t>Фара (в сборе) ATV 110-125 (LED) (14 диодов) "BEEZMOTO"</t>
  </si>
  <si>
    <t>https://b2beez.ru/images/detailed/48/orig_csz3-sy.jpg</t>
  </si>
  <si>
    <t>Амортизатор ATV 110-125 (325 мм; Ø10/10мм, регулируемый, черный) "BEEZMOTO" mod:A</t>
  </si>
  <si>
    <t>https://b2beez.ru/images/detailed/48/orig_6618-ci.jpg</t>
  </si>
  <si>
    <t>На максискутеры</t>
  </si>
  <si>
    <t>P-2907</t>
  </si>
  <si>
    <t>Сальник коленвала (28*40*8) 172MM VIPER TORNADO, JONWAY RANGER 250 "KOMATCU"</t>
  </si>
  <si>
    <t>https://b2beez.ru/images/detailed/173/orig_nv28-6d.jpg</t>
  </si>
  <si>
    <t>K-3440</t>
  </si>
  <si>
    <t>Прокладка крышки вариатора 172MM VIPER TORNADO, JONWAY RANGER 250 "KOMATCU"</t>
  </si>
  <si>
    <t>https://b2beez.ru/images/detailed/167/6243585893.jpg</t>
  </si>
  <si>
    <t>K-3445</t>
  </si>
  <si>
    <t>Щуп масла 4T CH250 "KOMATCU"</t>
  </si>
  <si>
    <t>https://b2beez.ru/images/detailed/167/6243585797.jpg</t>
  </si>
  <si>
    <t>K-5547</t>
  </si>
  <si>
    <t>Кольца 0,25 (Ø72,25 p-17) 172MM VIPER TORNADO, JONWAY RANGER 250 оригинал Taiwan "SEE"</t>
  </si>
  <si>
    <t>https://b2beez.ru/images/detailed/168/orig_maeo-6m.jpg</t>
  </si>
  <si>
    <t>K-5548</t>
  </si>
  <si>
    <t>Кольца 4T CH250, TORNADO 250 0,50 (Ø72,50 p-17)оригинал Taiwan "SEE"</t>
  </si>
  <si>
    <t>https://b2beez.ru/images/detailed/168/6243585895.jpg</t>
  </si>
  <si>
    <t>M-464</t>
  </si>
  <si>
    <t>Маслонасос 172MM VIPER TORNADO, JONWAY RANGER 250 "KOMATCU"</t>
  </si>
  <si>
    <t>https://b2beez.ru/images/detailed/169/orig_fw6g-8i.jpg</t>
  </si>
  <si>
    <t>M-469</t>
  </si>
  <si>
    <t>Маятник подвески двигателя 172MM VIPER TORNADO, JONWAY RANGER 250 "KOMATCU"</t>
  </si>
  <si>
    <t>https://b2beez.ru/images/detailed/169/orig_prd3-7f.jpg</t>
  </si>
  <si>
    <t>N-3044</t>
  </si>
  <si>
    <t>Поршень Honda CH125 SPACY/ELITE .STD (Ø52.4) (в сборе) "GONGYU"</t>
  </si>
  <si>
    <t>https://b2beez.ru/images/detailed/171/6243586014.jpg</t>
  </si>
  <si>
    <t>S-1862</t>
  </si>
  <si>
    <t>Термодатчик 4T CH250 "KOMATCU"</t>
  </si>
  <si>
    <t>https://b2beez.ru/images/detailed/179/6243585976.jpg</t>
  </si>
  <si>
    <t>S-2573</t>
  </si>
  <si>
    <t>Шестерня стартера промежуточная 172MM VIPER TORNADO, JONWAY RANGER 250 "KOMATCU"</t>
  </si>
  <si>
    <t>https://b2beez.ru/images/detailed/179/6243586092.jpg</t>
  </si>
  <si>
    <t>Z-83</t>
  </si>
  <si>
    <t>Замок зажигания (комплект, овальная крышка бака) VIPER TORNADO, JONWAY RANGER 250 "EURORUN"</t>
  </si>
  <si>
    <t>https://b2beez.ru/images/detailed/204/Z-83.jpg</t>
  </si>
  <si>
    <t>G-1006</t>
  </si>
  <si>
    <t>Головка цилиндра(голая) 172MM VIPER TORNADO, JONWAY RANGER 250 "KOMATCU"</t>
  </si>
  <si>
    <t>https://b2beez.ru/images/detailed/161/6243586105.jpg</t>
  </si>
  <si>
    <t>G-1463</t>
  </si>
  <si>
    <t>Прокладка крышки головки цилиндра 172MM VIPER TORNADO, JONWAY RANGER 250 "KOMATCU"</t>
  </si>
  <si>
    <t>https://b2beez.ru/images/detailed/161/6243585773.jpg</t>
  </si>
  <si>
    <t>K-3443</t>
  </si>
  <si>
    <t>Кольца 4T CH250 0,25 (Ø72,25) "KOMATCU"</t>
  </si>
  <si>
    <t>https://b2beez.ru/images/detailed/167/6243586286.jpg</t>
  </si>
  <si>
    <t>P-2901</t>
  </si>
  <si>
    <t>Поршень 4T CH250 .STD (Ø72,00 p-17) "KOMATCU"</t>
  </si>
  <si>
    <t>https://b2beez.ru/images/detailed/173/6243586113.jpg</t>
  </si>
  <si>
    <t>P-2902</t>
  </si>
  <si>
    <t>Поршень 4T CH250, TORNADO 250 0,25 (Ø72,25 p-17) "KOMATCU"</t>
  </si>
  <si>
    <t>https://b2beez.ru/images/detailed/173/6243585781.jpg</t>
  </si>
  <si>
    <t>R-1684</t>
  </si>
  <si>
    <t>Реле зарядки Yamaha MAJESTY 125 "CHENHAO"</t>
  </si>
  <si>
    <t>https://b2beez.ru/images/detailed/176/orig_b0k5-y4.jpg</t>
  </si>
  <si>
    <t>R-890</t>
  </si>
  <si>
    <t>Ремень вариатора 918 * 22,5 172MM VIPER TORNADO, JONWAY RANGER 250 "OEM BELT"</t>
  </si>
  <si>
    <t>https://b2beez.ru/images/detailed/178/6187548938.jpg</t>
  </si>
  <si>
    <t>S-1859</t>
  </si>
  <si>
    <t>Корпус термостата 172MM VIPER TORNADO, JONWAY RANGER 250 "LIPAI"</t>
  </si>
  <si>
    <t>https://b2beez.ru/images/detailed/179/orig_a4z7-ca.jpg</t>
  </si>
  <si>
    <t>На мопеды и питбайки</t>
  </si>
  <si>
    <t>R-3380</t>
  </si>
  <si>
    <t>Ролик натяжителя приводной цепи TTR, KAYO (mod:3)</t>
  </si>
  <si>
    <t>https://b2beez.ru/images/detailed/177/orig_eplw-1o.jpg</t>
  </si>
  <si>
    <t>P-6382</t>
  </si>
  <si>
    <t>Пружина концевика тормозной лапки Alpha, Delta "KOMATCU"</t>
  </si>
  <si>
    <t>https://b2beez.ru/images/detailed/174/orig_bvv3-3w.jpg</t>
  </si>
  <si>
    <t>C-4129</t>
  </si>
  <si>
    <t>Звезда трансмиссии ведущая (передняя) 428-15T, 17мм, Alpha, Delta, Active "BEEZMOTO"</t>
  </si>
  <si>
    <t>https://b2beez.ru/images/detailed/156/orig_s0ej-aj.jpg</t>
  </si>
  <si>
    <t>G-1724</t>
  </si>
  <si>
    <t>Головка цилиндра Alpha, Delta, TTR 125 (в сборе) (Ø54) (d=20/23) 154FMI "KOMATCU"</t>
  </si>
  <si>
    <t>https://b2beez.ru/images/detailed/161/6847199738.jpg</t>
  </si>
  <si>
    <t>P-6112</t>
  </si>
  <si>
    <t>Перья вилки CG 125 (гидравлические, шток Ø27mm, ось Ø12mm) "KOMATCU"</t>
  </si>
  <si>
    <t>https://b2beez.ru/images/detailed/174/6241667215.jpg</t>
  </si>
  <si>
    <t>Z-0640</t>
  </si>
  <si>
    <t>Звезда трансмиссии (задняя) питбайк 428-39T (аллюминиевая, черная) d-76mm, L-92mm"BEEZMOTO"</t>
  </si>
  <si>
    <t>https://b2beez.ru/images/detailed/188/orig_86uj-jm.jpg</t>
  </si>
  <si>
    <t>Z-0388</t>
  </si>
  <si>
    <t>Звезда трансмиссии (задняя) питбайк 428-41T (аллюминиевая, черная) d-76mm, L-92mm"BEEZMOTO"</t>
  </si>
  <si>
    <t>https://b2beez.ru/images/detailed/188/orig_etwu-ir.jpg</t>
  </si>
  <si>
    <t>Z-0461</t>
  </si>
  <si>
    <t>Звезда трансмиссии (задняя) питбайк 428-43T (аллюминиевая, черная) d-76mm, L-92mm"BEEZMOTO"</t>
  </si>
  <si>
    <t>https://b2beez.ru/images/detailed/188/orig_ht96-ax.jpg</t>
  </si>
  <si>
    <t>Z-0371</t>
  </si>
  <si>
    <t>Звезда трансмиссии (задняя) питбайк 428-45T (аллюминиевая, черная) d-76mm, L-92mm"BEEZMOTO"</t>
  </si>
  <si>
    <t>https://b2beez.ru/images/detailed/188/orig_gllo-43.jpg</t>
  </si>
  <si>
    <t>Z-0197</t>
  </si>
  <si>
    <t>Звезда трансмиссии (задняя) питбайк 428-41T (аллюминиевая, красная) d-76mm, L-92mm"BEEZMOTO"</t>
  </si>
  <si>
    <t>https://b2beez.ru/images/detailed/188/orig_3sye-jg.jpg</t>
  </si>
  <si>
    <t>Z-0268</t>
  </si>
  <si>
    <t>Звезда трансмиссии (задняя) питбайк 428-43T (аллюминиевая, красная) d-76mm, L-92mm"BEEZMOTO"</t>
  </si>
  <si>
    <t>https://b2beez.ru/images/detailed/188/orig_asz4-kg.jpg</t>
  </si>
  <si>
    <t>P-3215</t>
  </si>
  <si>
    <t>Накладки на спицы колес 21/19, 21/18 (72шт) фиолетовые</t>
  </si>
  <si>
    <t>https://b2beez.ru/images/detailed/173/orig_jad3-rr.jpg</t>
  </si>
  <si>
    <t>P-3312</t>
  </si>
  <si>
    <t>Накладки на спицы колес 21/19, 21/18 (72шт) салатовые</t>
  </si>
  <si>
    <t>https://b2beez.ru/images/detailed/173/orig_h1et-y3.jpg</t>
  </si>
  <si>
    <t>S-9365</t>
  </si>
  <si>
    <t>Ступица колеса переднего TTR125 (R17)</t>
  </si>
  <si>
    <t>https://b2beez.ru/images/detailed/182/orig_63id-5v.jpg</t>
  </si>
  <si>
    <t>P-0397</t>
  </si>
  <si>
    <t>Успокоитель приводной цепи KAYO,TTR (ловушка, красный) "BEEZMOTO"</t>
  </si>
  <si>
    <t>https://b2beez.ru/images/detailed/172/orig_n8p2-f1.jpg</t>
  </si>
  <si>
    <t>P-0322</t>
  </si>
  <si>
    <t>Успокоитель приводной цепи KAYO,TTR (ловушка, серебро) "BEEZMOTO"</t>
  </si>
  <si>
    <t>https://b2beez.ru/images/detailed/172/orig_ahkg-x5.jpg</t>
  </si>
  <si>
    <t>P-0377</t>
  </si>
  <si>
    <t>Успокоитель приводной цепи (ловушка, красный) KAYO,TTR (mod:2)</t>
  </si>
  <si>
    <t>https://b2beez.ru/images/detailed/172/orig_iylg-ix.jpg</t>
  </si>
  <si>
    <t>P-0345</t>
  </si>
  <si>
    <t>Успокоитель приводной цепи (ловушка, зеленый) KAYO,TTR "BEEZMOTO"</t>
  </si>
  <si>
    <t>https://b2beez.ru/images/detailed/172/orig_qr7s-tm.jpg</t>
  </si>
  <si>
    <t>P-0389</t>
  </si>
  <si>
    <t>Успокоитель приводной цепи (ловушка, синий) KAYO,TTR (mod:2)</t>
  </si>
  <si>
    <t>https://b2beez.ru/images/detailed/172/orig_5er1-j1.jpg</t>
  </si>
  <si>
    <t>P-1533</t>
  </si>
  <si>
    <t>Пластик Yamaha YBR125 накладки на бак голубой "KOMATCU"</t>
  </si>
  <si>
    <t>https://b2beez.ru/images/detailed/172/orig_hxlz-4i.jpg</t>
  </si>
  <si>
    <t>Корзина сцепления (в сборе) 152FMH Active, Wave 110 (18T) "BEEZMOTO"</t>
  </si>
  <si>
    <t>https://b2beez.ru/images/detailed/48/orig_d8v1-jv.jpg</t>
  </si>
  <si>
    <t>Пластик Active (заднее крыло) "KOMATCU" mod: B</t>
  </si>
  <si>
    <t>https://b2beez.ru/images/detailed/48/6923483021.jpg</t>
  </si>
  <si>
    <t>Прокладки цилиндра (набор) Active 110 Ø52mm, 152FMH "BEEZMOTO"</t>
  </si>
  <si>
    <t>https://b2beez.ru/images/detailed/48/orig_fo5d-3r.jpg</t>
  </si>
  <si>
    <t>B-952</t>
  </si>
  <si>
    <t>Бак топливный KAYO 125-140 (5 литров, +крышка, топливный кран, крепления) "BEEZMOTO"</t>
  </si>
  <si>
    <t>https://b2beez.ru/images/detailed/154/orig_j4hq-hh.jpg</t>
  </si>
  <si>
    <t>X-2200</t>
  </si>
  <si>
    <t>Коленвал 4Т KAYO-140 (YX-140) (без стартера, p-13, +шпонка) 156FMJ "Xuan Koo"</t>
  </si>
  <si>
    <t>https://b2beez.ru/images/detailed/187/orig_mm1g-mr.jpg</t>
  </si>
  <si>
    <t>S-1999</t>
  </si>
  <si>
    <t>Коробка передач (в сборе) 4T KAYO-140 (YX140) 156FMJ эл. стартер "BEEZMOTO"</t>
  </si>
  <si>
    <t>https://b2beez.ru/images/detailed/179/6862004945.jpg</t>
  </si>
  <si>
    <t>X-2000</t>
  </si>
  <si>
    <t>Звезда распредвала 4T KAYO-140 (YX140) (32 зуба, крепление 3 болта) (H12667) 156FMJ "BEEZMOTO"</t>
  </si>
  <si>
    <t>https://b2beez.ru/images/detailed/187/6861988448.jpg</t>
  </si>
  <si>
    <t>X-2003</t>
  </si>
  <si>
    <t>Коленвал 4Т KAYO-125 (h-57.5) 156FMJ (эл.стартер, p-13, +шпонка) "BEEZMOTO"</t>
  </si>
  <si>
    <t>https://b2beez.ru/images/detailed/187/orig_c1ul-ak.png</t>
  </si>
  <si>
    <t>X-2004</t>
  </si>
  <si>
    <t>Корзина сцепления (в сборе) 4Т KAYO-140 (YX-140) (4 болта, 5 дисков, без стартера) 156FMJ "BEEZMOTO"</t>
  </si>
  <si>
    <t>https://b2beez.ru/images/detailed/187/orig_enmi-hl.jpg</t>
  </si>
  <si>
    <t>A-017</t>
  </si>
  <si>
    <t>Амортизатор центральный TTR, KAYO (L-280mm, D-10mm) (красный-черный) "NDT"</t>
  </si>
  <si>
    <t>https://b2beez.ru/images/detailed/153/orig_aj1g-vj.jpg</t>
  </si>
  <si>
    <t>O-2309</t>
  </si>
  <si>
    <t>Фара (в сборе) Alpha (круглая, хром) "KOMATCU"</t>
  </si>
  <si>
    <t>https://b2beez.ru/images/detailed/172/orig_ryo0-hw.jpg</t>
  </si>
  <si>
    <t>G-1067</t>
  </si>
  <si>
    <t>Головка цилиндра Alpha, Delta 70 (Ø47) (в сборе) (d=20/24) "KOMATCU"</t>
  </si>
  <si>
    <t>https://b2beez.ru/images/detailed/161/orig_r2p2-pz.jpg</t>
  </si>
  <si>
    <t>C-1708</t>
  </si>
  <si>
    <t>Чехол сиденья Active 110 (черный) "KOMATCU"</t>
  </si>
  <si>
    <t>https://b2beez.ru/images/detailed/205/1_l2sh-dh.jpg</t>
  </si>
  <si>
    <t>N-6558</t>
  </si>
  <si>
    <t>Ножка кикстартера Delta, Active 110 "BEEZMOTO"</t>
  </si>
  <si>
    <t>https://b2beez.ru/images/detailed/171/7061810034.jpg</t>
  </si>
  <si>
    <t>K-4937</t>
  </si>
  <si>
    <t>Коленвал Alpha, Delta 70 139FMB "SUNY"</t>
  </si>
  <si>
    <t>Фара (в сборе) Alpha (круглая, хром, LED-6, 18W) EVO</t>
  </si>
  <si>
    <t>https://b2beez.ru/images/detailed/48/6242949157.jpg</t>
  </si>
  <si>
    <t>Фильтр воздушный (в сборе) Alpha (139FMB,147FMH,152FMH) "KOMATCU"</t>
  </si>
  <si>
    <t>https://b2beez.ru/images/detailed/48/orig_m84a-4i.jpg</t>
  </si>
  <si>
    <t>K-1638</t>
  </si>
  <si>
    <t>Картер 139FMB Alpha, Delta (левый, с креплениям под электростартер) "BEEZMOTO"</t>
  </si>
  <si>
    <t>https://b2beez.ru/images/detailed/166/7155198652.jpg</t>
  </si>
  <si>
    <t>P-8592</t>
  </si>
  <si>
    <t>Прокладка карбюратора Alpha,  Delta, ATV, TTR (текстолитовая) "SDTW"</t>
  </si>
  <si>
    <t>https://b2beez.ru/images/detailed/175/orig_ynvp-c0.jpg</t>
  </si>
  <si>
    <t>K-9190</t>
  </si>
  <si>
    <t>Крышка двигателя (левая) TTR-125 (с нижним стартером, 6 катушек) черная "BEEZMOTO"</t>
  </si>
  <si>
    <t>https://b2beez.ru/images/detailed/169/orig_824j-wg.jpg</t>
  </si>
  <si>
    <t>K-0620</t>
  </si>
  <si>
    <t>Крышка двигателя (левая) KAYO 125/140, TTR 125, YX 140,154FMI, 156FMJ (без электростартера) черная "BEEZMOTO"</t>
  </si>
  <si>
    <t>https://b2beez.ru/images/detailed/166/orig_36xw-jv.jpg</t>
  </si>
  <si>
    <t>P-0136</t>
  </si>
  <si>
    <t>Поршень 152FMI Delta 150, JH150, TTR150 .STD (Ø54.0, р-14) "BEEZMOTO"</t>
  </si>
  <si>
    <t>https://b2beez.ru/images/detailed/172/7053695301.jpg</t>
  </si>
  <si>
    <t>P-0341</t>
  </si>
  <si>
    <t>Успокоитель приводной цепи KAYO,TTR (ловушка, черный) "BEEZMOTO"</t>
  </si>
  <si>
    <t>https://b2beez.ru/images/detailed/172/orig_918j-v7.jpg</t>
  </si>
  <si>
    <t>X-1002</t>
  </si>
  <si>
    <t>Клапаны (пара, голые) 4T KAYO-140 (YX140) (D=23/L=65,2; D=27,5/L=66) "BEEZMOTO"</t>
  </si>
  <si>
    <t>https://b2beez.ru/images/detailed/187/orig_euei-v6.jpg</t>
  </si>
  <si>
    <t>F-3811</t>
  </si>
  <si>
    <t>Фара (в сборе) Alpha (круглая, хром) "BEEZMOTO"</t>
  </si>
  <si>
    <t>https://b2beez.ru/images/detailed/160/6872932347.jpg</t>
  </si>
  <si>
    <t>C-2033</t>
  </si>
  <si>
    <t>Цепь трансмиссии 428-104L Active, Kayo "DID"</t>
  </si>
  <si>
    <t>https://b2beez.ru/images/detailed/155/orig_am9m-ww.jpg</t>
  </si>
  <si>
    <t>V-857</t>
  </si>
  <si>
    <t>Гофры передней вилки (пара) Alpha, Delta (c хомутами, красные) "KOMATCU" (mod:2)</t>
  </si>
  <si>
    <t>https://b2beez.ru/images/detailed/187/orig_1mcp-1d.jpg</t>
  </si>
  <si>
    <t>K-2147</t>
  </si>
  <si>
    <t>Карбюратор Alpha, ATV, Delta, TTR PZ19 (дроссель под трос) "BEEZMOTO"</t>
  </si>
  <si>
    <t>https://b2beez.ru/images/detailed/166/orig_tvih-ws.jpg</t>
  </si>
  <si>
    <t>P-1791</t>
  </si>
  <si>
    <t xml:space="preserve">Сальник вторичного вала Alpha, Delta (11,6*24*10) "BEEZMOTO"		</t>
  </si>
  <si>
    <t>https://b2beez.ru/images/detailed/173/orig_yhle-39.jpg</t>
  </si>
  <si>
    <t>G-399</t>
  </si>
  <si>
    <t>Клапан крышки бака ATV, TTR, KAYO, (красный) "BEEZMOTO"</t>
  </si>
  <si>
    <t>https://b2beez.ru/images/detailed/162/orig_wyyj-fg.jpg</t>
  </si>
  <si>
    <t>G-312</t>
  </si>
  <si>
    <t>Клапан крышки бака ATV, TTR, KAYO, (синий) "BEEZMOTO"</t>
  </si>
  <si>
    <t>https://b2beez.ru/images/detailed/162/orig_0txx-b1.jpg</t>
  </si>
  <si>
    <t>R-3368</t>
  </si>
  <si>
    <t>Ролик натяжителя приводной цепи TTR, KAYO "BEEZMOTO"</t>
  </si>
  <si>
    <t>https://b2beez.ru/images/detailed/177/orig_tmq6-nz.jpg</t>
  </si>
  <si>
    <t>A-454</t>
  </si>
  <si>
    <t>Амортизаторы (пара) Alpha, Delta 340mm, регулируемые, мягкие (золотистые) "NDT"</t>
  </si>
  <si>
    <t>https://b2beez.ru/images/detailed/153/6127212515.jpg</t>
  </si>
  <si>
    <t>K-4555</t>
  </si>
  <si>
    <t>Вал переключения передач Alpha, Delta "BEEZMOTO"</t>
  </si>
  <si>
    <t>https://b2beez.ru/images/detailed/167/7050392738.jpg</t>
  </si>
  <si>
    <t>V-2579</t>
  </si>
  <si>
    <t>Вилка передняя гидравлическая Delta (d-25mm) (внутр. пружина) EVO</t>
  </si>
  <si>
    <t>https://b2beez.ru/images/detailed/186/orig_pwb1-dk.jpg</t>
  </si>
  <si>
    <t>K-423</t>
  </si>
  <si>
    <t>Вилочки переключения передач (пара) Alpha, Delta "BEEZMOTO"</t>
  </si>
  <si>
    <t>https://b2beez.ru/images/detailed/167/orig_uj12-5q.jpg</t>
  </si>
  <si>
    <t>G-894</t>
  </si>
  <si>
    <t>Гайки М6 х 1,5 головки цилиндра (4шт) Delta "KOMATCU"</t>
  </si>
  <si>
    <t>https://b2beez.ru/images/detailed/203/1_pyf0-sp.jpg</t>
  </si>
  <si>
    <t>G-3340</t>
  </si>
  <si>
    <t>Генератор Alpha, Delta (в сборе) (5+1 катушка) "BEEZMOTO"</t>
  </si>
  <si>
    <t>https://b2beez.ru/images/detailed/162/orig_631s-2j.jpg</t>
  </si>
  <si>
    <t>S-4744</t>
  </si>
  <si>
    <t>Глушитель Active "KOMATCU" (mod.A)</t>
  </si>
  <si>
    <t>https://b2beez.ru/images/detailed/181/6637780471.jpg</t>
  </si>
  <si>
    <t>G-2042</t>
  </si>
  <si>
    <t>Головка цилиндра Alpha, Delta 110 (Ø52) (в сборе) (d=20/23) 152FMH "BEEZMOTO"</t>
  </si>
  <si>
    <t>https://b2beez.ru/images/detailed/161/orig_8ogc-x2.jpg</t>
  </si>
  <si>
    <t>G-2701</t>
  </si>
  <si>
    <t>Головка цилиндра Alpha, Active, Delta, TTR 110 (Ø52,4) (d=20/23) (в сборе, +свеча) "KOMATCU" (mod.A)</t>
  </si>
  <si>
    <t>https://b2beez.ru/images/detailed/162/6241667148.jpg</t>
  </si>
  <si>
    <t>G-2707</t>
  </si>
  <si>
    <t>Головка цилиндра Alpha, Delta 50 (Ø39) (голая) KOMATCU (mod.A)</t>
  </si>
  <si>
    <t>https://b2beez.ru/images/detailed/162/6241667057.jpg</t>
  </si>
  <si>
    <t>G-2710</t>
  </si>
  <si>
    <t>Головка цилиндра Alpha, Delta 70 (Ø47) (голая) 139FMB KOMATCU (mod.A)</t>
  </si>
  <si>
    <t>https://b2beez.ru/images/detailed/162/orig_6dj9-90.jpg</t>
  </si>
  <si>
    <t>D-4046</t>
  </si>
  <si>
    <t>Датчик включенной передачи Alpha, Delta "BEEZMOTO"</t>
  </si>
  <si>
    <t>https://b2beez.ru/images/detailed/159/7154868943.jpg</t>
  </si>
  <si>
    <t>S-4604</t>
  </si>
  <si>
    <t>Диски сцепления Alpha, Delta (2шт) "KINGLION"</t>
  </si>
  <si>
    <t>https://b2beez.ru/images/detailed/181/6417447632.jpg</t>
  </si>
  <si>
    <t>S-4813</t>
  </si>
  <si>
    <t>Диски сцепления Alpha, Delta (2шт) "KOMATCU" (mod.A)</t>
  </si>
  <si>
    <t>https://b2beez.ru/images/detailed/181/orig_7sn5-fv.jpg</t>
  </si>
  <si>
    <t>Z-56</t>
  </si>
  <si>
    <t>Замок зажигания (голый) Alpha, Delta "KOMATCU"</t>
  </si>
  <si>
    <t>https://b2beez.ru/images/detailed/204/Z-56-2.jpg</t>
  </si>
  <si>
    <t>K-457</t>
  </si>
  <si>
    <t>Звезда распредвала Alpha, Delta "Xuan Koo"</t>
  </si>
  <si>
    <t>https://b2beez.ru/images/detailed/167/orig_6xed-hx.jpg</t>
  </si>
  <si>
    <t>P-6296</t>
  </si>
  <si>
    <t>Звезда распредвала Alpha, Delta "KOMATCU" (mod.A)</t>
  </si>
  <si>
    <t>https://b2beez.ru/images/detailed/174/orig_ywgi-yg.jpg</t>
  </si>
  <si>
    <t>C-2919</t>
  </si>
  <si>
    <t>Звезда трансмиссии (задняя) Delta 428-39T "TMMP"</t>
  </si>
  <si>
    <t>https://b2beez.ru/images/detailed/156/orig_oon5-nb.jpg</t>
  </si>
  <si>
    <t>Z-612</t>
  </si>
  <si>
    <t>Звезда трансмиссии (задняя) Delta 420-36T "TMMP"</t>
  </si>
  <si>
    <t>https://b2beez.ru/images/detailed/204/Z-612-3.jpg</t>
  </si>
  <si>
    <t>Z-429</t>
  </si>
  <si>
    <t>Звезда трансмиссии (задняя) Delta 420-38T "KOMATCU"</t>
  </si>
  <si>
    <t>https://b2beez.ru/images/detailed/204/Z-429-2_va1z-hg.jpg</t>
  </si>
  <si>
    <t>C-1413</t>
  </si>
  <si>
    <t>Звезда трансмиссии (задняя) Delta 420-41T (сталь 45) ACV</t>
  </si>
  <si>
    <t>https://b2beez.ru/images/detailed/155/orig_ouzm-6r.jpg</t>
  </si>
  <si>
    <t>Z-600</t>
  </si>
  <si>
    <t>Звезда трансмиссии (задняя) Delta 428-41T "BEEZMOTO"</t>
  </si>
  <si>
    <t>https://b2beez.ru/images/detailed/204/Z-600-3_7xyu-es.jpg</t>
  </si>
  <si>
    <t>Z-643</t>
  </si>
  <si>
    <t>Звезда трансмиссии ведущая (передняя) 420-13T, 17мм, Alpha, Delta, Active (сталь 45) "KOMATCU"</t>
  </si>
  <si>
    <t>https://b2beez.ru/images/detailed/204/Z-643-2.jpg</t>
  </si>
  <si>
    <t>Z-586</t>
  </si>
  <si>
    <t>Звезда трансмиссии ведущая (передняя) 420-17T, 17мм, Alpha, Delta, Active "KOMATCU"</t>
  </si>
  <si>
    <t>https://b2beez.ru/images/detailed/204/Z-586-3.jpg</t>
  </si>
  <si>
    <t>C-3196</t>
  </si>
  <si>
    <t>Звезды трансмиссии (комплект) Delta 428-14T + 428-41T (+цепь 104L) "KOMATCU"</t>
  </si>
  <si>
    <t>https://b2beez.ru/images/detailed/156/orig_ytrh-f2.jpg</t>
  </si>
  <si>
    <t>Z-409</t>
  </si>
  <si>
    <t>Звезды трансмиссии (комплект) Delta 428-14T + 428-41T (+цепь 116L) "KOMATCU"</t>
  </si>
  <si>
    <t>https://b2beez.ru/images/detailed/204/Z-409-6.jpg</t>
  </si>
  <si>
    <t>C-1432</t>
  </si>
  <si>
    <t>Звезды трансмиссии (комплект) Delta 428-14T + 428-42T (+цепь 112L) "KOMATCU"</t>
  </si>
  <si>
    <t>https://b2beez.ru/images/detailed/155/6847201799.jpg</t>
  </si>
  <si>
    <t>C-3277</t>
  </si>
  <si>
    <t>Звезды трансмиссии (комплект) Delta 428-14T + 428-41T (+цепь 100L) "KOMATCU"</t>
  </si>
  <si>
    <t>https://b2beez.ru/images/detailed/156/orig_2qw5-8j.jpg</t>
  </si>
  <si>
    <t>C-3198</t>
  </si>
  <si>
    <t>Звезды трансмиссии (пара) Zongshen F5 428-15T + 428-42T (+цепь 112L) (сталь 20) "AFH"</t>
  </si>
  <si>
    <t>https://b2beez.ru/images/detailed/156/6847206584_wger-jk.jpg</t>
  </si>
  <si>
    <t>C-3191</t>
  </si>
  <si>
    <t>Звезды трансмиссии (пара) Zongshen ZS250-5 428-14T + 428-43T (+цепь 112L) (сталь 20) "AFH"</t>
  </si>
  <si>
    <t>https://b2beez.ru/images/detailed/156/6847206584.jpg</t>
  </si>
  <si>
    <t>D-130</t>
  </si>
  <si>
    <t>Индикатор включенной передачи Alpha, Delta "BEEZMOTO"</t>
  </si>
  <si>
    <t>https://b2beez.ru/images/detailed/157/7186635525.jpg</t>
  </si>
  <si>
    <t>K-4794</t>
  </si>
  <si>
    <t>Карбюратор Alpha, ATV, Delta, TTR PZ22 "BEEZMOTO"</t>
  </si>
  <si>
    <t>https://b2beez.ru/images/detailed/167/orig_b07h-9d.jpg</t>
  </si>
  <si>
    <t>K-8038</t>
  </si>
  <si>
    <t>Карбюратор Alpha, ATV, Delta, TTR PZ19 (ручной дроссель) "BEEZMOTO"</t>
  </si>
  <si>
    <t>https://b2beez.ru/images/detailed/169/orig_b1za-3s.jpg</t>
  </si>
  <si>
    <t>G-1084</t>
  </si>
  <si>
    <t>Катушка генератора 139FMB Alpha, Delta (зажигания) "BEEZMOTO"</t>
  </si>
  <si>
    <t>https://b2beez.ru/images/detailed/161/orig_ikw4-wt.jpg</t>
  </si>
  <si>
    <t>K-8680</t>
  </si>
  <si>
    <t>Катушка зажигания Alpha, Delta (+насвечник) железный держатель "BEEZMOTO"</t>
  </si>
  <si>
    <t>https://b2beez.ru/images/detailed/169/6545700608.jpg</t>
  </si>
  <si>
    <t>K-4975</t>
  </si>
  <si>
    <t>Коленвал Active, Alpha, Delta 110 (под сепаратор, палец 13mm) "BEEZMOTO"</t>
  </si>
  <si>
    <t>https://b2beez.ru/images/detailed/168/orig_a3td-55.jpg</t>
  </si>
  <si>
    <t>K-5116</t>
  </si>
  <si>
    <t>Кольца 154FMI TTR125 .STD (Ø54,00) "BEEZMOTO"</t>
  </si>
  <si>
    <t>https://b2beez.ru/images/detailed/168/6719431979.jpg</t>
  </si>
  <si>
    <t>K-350</t>
  </si>
  <si>
    <t>Кольца 139FMB Alpha, Delta 50 0,75 (Ø39,75) KOSO</t>
  </si>
  <si>
    <t>https://b2beez.ru/images/detailed/167/6241667129.jpg</t>
  </si>
  <si>
    <t>K-1873</t>
  </si>
  <si>
    <t>Концевой выключатель рычага переднего тормоза Alpha, Delta "BEEZMOTO"</t>
  </si>
  <si>
    <t>https://b2beez.ru/images/detailed/166/orig_f5dp-gw.jpg</t>
  </si>
  <si>
    <t>025802</t>
  </si>
  <si>
    <t>Крыло Delta заднее (черное) "LIPAI"</t>
  </si>
  <si>
    <t>https://b2beez.ru/images/detailed/48/orig_8zem-67.jpg</t>
  </si>
  <si>
    <t>B-214</t>
  </si>
  <si>
    <t>Крышка бака TTR 125-250 (черная) "BEEZMOTO"</t>
  </si>
  <si>
    <t>https://b2beez.ru/images/detailed/154/orig_5tz8-80.jpg</t>
  </si>
  <si>
    <t>K-8603</t>
  </si>
  <si>
    <t>Крышка генератора (левая) Alpha, Delta, TTR (139FMB, 152FMH) (две катушки) "BEEZMOTO"</t>
  </si>
  <si>
    <t>https://b2beez.ru/images/detailed/169/7050407492.jpg</t>
  </si>
  <si>
    <t>K-1313</t>
  </si>
  <si>
    <t>Крышка сцепления (правая) Active (152FMH)</t>
  </si>
  <si>
    <t>https://b2beez.ru/images/detailed/166/6241667250.jpg</t>
  </si>
  <si>
    <t>G-3669</t>
  </si>
  <si>
    <t>Магнит генератора (ротор) Delta (под 6 катушек) "SDTW"</t>
  </si>
  <si>
    <t>https://b2beez.ru/images/detailed/162/6536295582.jpg</t>
  </si>
  <si>
    <t>P-5097</t>
  </si>
  <si>
    <t>Натяжитель цепи ГРМ Delta (рычаг) "BEEZMOTO"</t>
  </si>
  <si>
    <t>https://b2beez.ru/images/detailed/174/7053701429.jpg</t>
  </si>
  <si>
    <t>G-568</t>
  </si>
  <si>
    <t>Натяжитель цепи ГРМ Delta (балансир, пружина, резинка, болт) "BEEZMOTO"</t>
  </si>
  <si>
    <t>https://b2beez.ru/images/detailed/162/orig_6ple-x1.jpg</t>
  </si>
  <si>
    <t>C-2423</t>
  </si>
  <si>
    <t>Натяжитель цепи трансмиссии Alpha, Delta, Active (пара) "BEEZMOTO"</t>
  </si>
  <si>
    <t>https://b2beez.ru/images/detailed/156/orig_tnou-tx.jpg</t>
  </si>
  <si>
    <t>N-3303</t>
  </si>
  <si>
    <t>Ножка кикстартера Delta, Alpha "BEEZMOTO"</t>
  </si>
  <si>
    <t>https://b2beez.ru/images/detailed/171/orig_12mi-ic.jpg</t>
  </si>
  <si>
    <t>K-8066</t>
  </si>
  <si>
    <t>Патрубок карбюратора (коллектор) Alpha (алюминий) "BEEZMOTO"</t>
  </si>
  <si>
    <t>https://b2beez.ru/images/detailed/169/orig_ecsy-5g.jpg</t>
  </si>
  <si>
    <t>P-930</t>
  </si>
  <si>
    <t>Перья вилки Active "EVO"</t>
  </si>
  <si>
    <t>https://b2beez.ru/images/detailed/175/orig_sl25-ln.jpg</t>
  </si>
  <si>
    <t>G-2825</t>
  </si>
  <si>
    <t>Пластина крепления генератора на шесть катушек Delta 110 "KOMATCU"</t>
  </si>
  <si>
    <t>https://b2beez.ru/images/detailed/162/orig_1oj8-3m.jpg</t>
  </si>
  <si>
    <t>R-117</t>
  </si>
  <si>
    <t>Подножки пассажирские (пара) Alpha, Delta "BEEZMOTO"</t>
  </si>
  <si>
    <t>https://b2beez.ru/images/detailed/176/orig_8k8d-lp.jpg</t>
  </si>
  <si>
    <t>P-4313</t>
  </si>
  <si>
    <t>Поршень 139FMB Alpha, Delta 50 .STD (Ø39,00) "Xuan Koo"</t>
  </si>
  <si>
    <t>https://b2beez.ru/images/detailed/203/1_0i1v-fg.jpg</t>
  </si>
  <si>
    <t>P-4213</t>
  </si>
  <si>
    <t>Поршень 139FMB Alpha, Delta 50 .STD (Ø39,00) "BEEZMOTO"</t>
  </si>
  <si>
    <t>https://b2beez.ru/images/detailed/173/orig_mf3f-rt.jpg</t>
  </si>
  <si>
    <t>V-1973</t>
  </si>
  <si>
    <t>Поршневая (ЦПГ) Alpha, Delta 110 (Ø52,4) 152FMH "BEEZMOTO" (mod.B)</t>
  </si>
  <si>
    <t>https://b2beez.ru/images/detailed/186/7154039540.jpg</t>
  </si>
  <si>
    <t>C-573</t>
  </si>
  <si>
    <t>Поршневая (ЦПГ) Alpha, Delta 70 (Ø47) 147FMB/139FMB "BEEZMOTO"</t>
  </si>
  <si>
    <t>https://b2beez.ru/images/detailed/156/orig_i6x3-2s.jpg</t>
  </si>
  <si>
    <t>V-1306</t>
  </si>
  <si>
    <t>Поршневая (ЦПГ) Alpha, Delta 70 (Ø47) 147FMB/139FMB "KOMATCU"</t>
  </si>
  <si>
    <t>https://b2beez.ru/images/detailed/184/orig_8dt2-wk.jpg</t>
  </si>
  <si>
    <t>C-377</t>
  </si>
  <si>
    <t>Поршневая (ЦПГ) Alpha, Delta 100 (Ø50) (тюнинг 70сс) 139FMB "BEEZMOTO"</t>
  </si>
  <si>
    <t>https://b2beez.ru/images/detailed/156/orig_sh2q-43.jpg</t>
  </si>
  <si>
    <t>P-2093</t>
  </si>
  <si>
    <t>Проводка Active KOMATCU</t>
  </si>
  <si>
    <t>https://b2beez.ru/images/detailed/173/6242948053.jpg</t>
  </si>
  <si>
    <t>G-623</t>
  </si>
  <si>
    <t>Прокладка глушителя Alpha, Delta Active EVO</t>
  </si>
  <si>
    <t>https://b2beez.ru/images/detailed/162/orig_3hrh-i8.jpg</t>
  </si>
  <si>
    <t>K-1526</t>
  </si>
  <si>
    <t>Прокладка карбюратора Alpha,  Delta, ATV, TTR (текстолитовая) x 10шт "BEEZMOTO"</t>
  </si>
  <si>
    <t>https://b2beez.ru/images/detailed/166/7062130473.jpg</t>
  </si>
  <si>
    <t>G-536</t>
  </si>
  <si>
    <t>Прокладки двигателя 139FMB Alpha, Delta 100 (Ø50) "KOMATCU"</t>
  </si>
  <si>
    <t>https://b2beez.ru/images/detailed/162/6242948132.jpg</t>
  </si>
  <si>
    <t>P-6377</t>
  </si>
  <si>
    <t>Прокладки цилиндра (набор) Active 110 Ø52,50mm, 152FMH "KOMATCU" (mod.A)</t>
  </si>
  <si>
    <t>https://b2beez.ru/images/detailed/174/6242948107.jpg</t>
  </si>
  <si>
    <t>R-3181</t>
  </si>
  <si>
    <t>Резинки подножек водителя Alpha, Delta (черные) "BEEZMOTO"</t>
  </si>
  <si>
    <t>https://b2beez.ru/images/detailed/177/orig_jx9w-ki.jpg</t>
  </si>
  <si>
    <t>R-2626</t>
  </si>
  <si>
    <t>Реле зарядки DIO, TB 50/60, AD50, JOG, ALPHA, ACTIVE, TTR, ATV 50-125, 139QMB, 152QMI, 157QMJ "BEEZMOTO"</t>
  </si>
  <si>
    <t>https://b2beez.ru/images/detailed/177/orig_3nap-zn.jpg</t>
  </si>
  <si>
    <t>R-2892</t>
  </si>
  <si>
    <t>Реле поворотов Alpha, Delta, ATV (2 контакта) "BEEZMOTO"</t>
  </si>
  <si>
    <t>https://b2beez.ru/images/detailed/177/6786997516.jpg</t>
  </si>
  <si>
    <t>008754</t>
  </si>
  <si>
    <t>Ремкомплект вилки Delta (d25) "BEEZMOTO"</t>
  </si>
  <si>
    <t>https://b2beez.ru/images/detailed/47/6243370250.jpg</t>
  </si>
  <si>
    <t>K-6550</t>
  </si>
  <si>
    <t>Ремкомплект карбюратора Active 110 "KOMATCU" (mod.A)</t>
  </si>
  <si>
    <t>https://b2beez.ru/images/detailed/168/orig_snrc-yq.jpg</t>
  </si>
  <si>
    <t>P-6384</t>
  </si>
  <si>
    <t>Ремкомплект привода спидометра Alpha, Delta (шестерня, червяк) "BEEZMOTO"</t>
  </si>
  <si>
    <t>https://b2beez.ru/images/detailed/174/7050394012.jpg</t>
  </si>
  <si>
    <t>R-4276</t>
  </si>
  <si>
    <t>Руль TTR, KAYO (синий, с распоркой +поролон) (L-740mm, H-180mm, d-22.3mm) "PROTAPER"</t>
  </si>
  <si>
    <t>https://b2beez.ru/images/detailed/177/orig_9exn-yg.jpg</t>
  </si>
  <si>
    <t>P-6430</t>
  </si>
  <si>
    <t>Сальники вилки Alpha (27*37*10,5 x 2шт) "BEEZMOTO"</t>
  </si>
  <si>
    <t>https://b2beez.ru/images/detailed/175/6743182545.jpg</t>
  </si>
  <si>
    <t>P-8240</t>
  </si>
  <si>
    <t>Сальники вилки TTR125 (33*46*10.8 x 2шт) "BEEZMOTO"</t>
  </si>
  <si>
    <t>https://b2beez.ru/images/detailed/175/orig_5kc1-ji.jpg</t>
  </si>
  <si>
    <t>P-7774</t>
  </si>
  <si>
    <t>Сальники вилки TTR250, KAYO T2 (37*50*11.1 x 2шт) "BEEZMOTO"</t>
  </si>
  <si>
    <t>https://b2beez.ru/images/detailed/175/orig_d7sv-vb.jpg</t>
  </si>
  <si>
    <t>S-1044</t>
  </si>
  <si>
    <t>Сигнал Alpha 12V (пара) "KOMATCU"</t>
  </si>
  <si>
    <t>https://b2beez.ru/images/detailed/178/6671240808.jpg</t>
  </si>
  <si>
    <t>T-1331</t>
  </si>
  <si>
    <t>Трос газа TTR-125 (L-490mm)(L-650mm)уп.1шт) прямой "BEEZMOTO"</t>
  </si>
  <si>
    <t>https://b2beez.ru/images/detailed/182/orig_ali3-xo.jpg</t>
  </si>
  <si>
    <t>T-1350</t>
  </si>
  <si>
    <t>Трос газа Alpha, Delta (L-860mm)(L-1050mm) "BEEZMOTO"</t>
  </si>
  <si>
    <t>https://b2beez.ru/images/detailed/182/orig_g2xi-gq.jpg</t>
  </si>
  <si>
    <t>P-1822</t>
  </si>
  <si>
    <t>Тяга заднего тормоза Delta "BEEZMOTO"</t>
  </si>
  <si>
    <t>https://b2beez.ru/images/detailed/173/orig_tf8o-3t.jpg</t>
  </si>
  <si>
    <t>S-1883</t>
  </si>
  <si>
    <t>Чехол сиденья Alpha "BEEZMOTO"</t>
  </si>
  <si>
    <t>https://b2beez.ru/images/detailed/204/S-1883-2_f3aa-0t.jpg</t>
  </si>
  <si>
    <t>C-554</t>
  </si>
  <si>
    <t>Шайба стопорная передней звезды привода Alpha, Delta (+болты) "BEEZMOTO"</t>
  </si>
  <si>
    <t>https://b2beez.ru/images/detailed/156/orig_upzw-mh.jpg</t>
  </si>
  <si>
    <t>K-8071</t>
  </si>
  <si>
    <t>Шатун Delta 70 "KOMATCU"</t>
  </si>
  <si>
    <t>https://b2beez.ru/images/detailed/169/6242948854.jpg</t>
  </si>
  <si>
    <t>K-6561</t>
  </si>
  <si>
    <t>Шестерня коробки передач (20зб) Delta "BEEZMOTO"</t>
  </si>
  <si>
    <t>https://b2beez.ru/images/detailed/168/orig_o2de-fi.jpg</t>
  </si>
  <si>
    <t>K-6562</t>
  </si>
  <si>
    <t>Шестерня коробки передач (27зб) 139FMB Alpha, Delta "BEEZMOTO"</t>
  </si>
  <si>
    <t>https://b2beez.ru/images/detailed/168/orig_bfoj-9v.jpg</t>
  </si>
  <si>
    <t>E-159</t>
  </si>
  <si>
    <t>Электростартер Alpha, Delta (хром, верхний) (139FMB, 147FMH, 152FMH) "BEEZMOTO"</t>
  </si>
  <si>
    <t>https://b2beez.ru/images/detailed/160/6873039194.jpg</t>
  </si>
  <si>
    <t>K-1201</t>
  </si>
  <si>
    <t>Коробка передач (в сборе) Alpha, Delta 70 (под сепаратор) "Xuan Koo"</t>
  </si>
  <si>
    <t>https://b2beez.ru/images/detailed/166/orig_zqie-k2.jpg</t>
  </si>
  <si>
    <t>B-998</t>
  </si>
  <si>
    <t>Кран топливный 4T KAYO-140 "KOMATCU"</t>
  </si>
  <si>
    <t>https://b2beez.ru/images/detailed/154/orig_vwid-bc.jpg</t>
  </si>
  <si>
    <t>K-2709</t>
  </si>
  <si>
    <t>Ремкомплект карбюратора Delta 100</t>
  </si>
  <si>
    <t>https://b2beez.ru/images/detailed/166/6242949353.jpg</t>
  </si>
  <si>
    <t>N-3508</t>
  </si>
  <si>
    <t>Рычаг руля левый TTR-125, KAYO (с креплением, откидной) "BEEZMOTO"</t>
  </si>
  <si>
    <t>https://b2beez.ru/images/detailed/171/6295553950.jpg</t>
  </si>
  <si>
    <t>S-1175</t>
  </si>
  <si>
    <t>Спица колеса TTR250a (R21*d-3,4mm, L-248mm) (компл. 32шт) "BEEZMOTO"</t>
  </si>
  <si>
    <t>https://b2beez.ru/images/detailed/178/orig_6tav-jy.jpg</t>
  </si>
  <si>
    <t>A-1937</t>
  </si>
  <si>
    <t>Амортизатор центральный TTR, KAYO (L-320mm, D-10mm) (белый) "BEEZMOTO"</t>
  </si>
  <si>
    <t>https://b2beez.ru/images/detailed/204/A-1937-7.jpg</t>
  </si>
  <si>
    <t>G-3451</t>
  </si>
  <si>
    <t>Болт крепления рычага натяжителя цепи Alpha, Delta 70 (Ø6mm, L-20mm) "BEEZMOTO"</t>
  </si>
  <si>
    <t>https://b2beez.ru/images/detailed/162/orig_mt6d-m4.jpg</t>
  </si>
  <si>
    <t>G-390</t>
  </si>
  <si>
    <t>Клапан крышки бака ATV, TTR, KAYO, (черный) "BEEZMOTO"</t>
  </si>
  <si>
    <t>https://b2beez.ru/images/detailed/162/orig_c1z2-tz.jpg</t>
  </si>
  <si>
    <t>R-4165</t>
  </si>
  <si>
    <t>Рычаг руля правый TTR250 (складной) "BEEZMOTO"</t>
  </si>
  <si>
    <t>https://b2beez.ru/images/detailed/177/orig_qjk1-sm.jpg</t>
  </si>
  <si>
    <t>R-4180</t>
  </si>
  <si>
    <t>Рычаг руля правый (голый) TTR250 "BEEZMOTO"</t>
  </si>
  <si>
    <t>https://b2beez.ru/images/detailed/177/orig_rpca-ue.jpg</t>
  </si>
  <si>
    <t>S-4846</t>
  </si>
  <si>
    <t>Суппорт тормозной (дисковый) TTR125 (задний однопоршневой) (+колодки) "BEEZMOTO"</t>
  </si>
  <si>
    <t>https://b2beez.ru/images/detailed/181/orig_42ae-fn.jpg</t>
  </si>
  <si>
    <t>T-196</t>
  </si>
  <si>
    <t>Трос спидометра Active 110 (квадрат-вилка) (950mm) "BEEZMOTO"</t>
  </si>
  <si>
    <t>https://b2beez.ru/images/detailed/182/orig_v40m-gk.jpg</t>
  </si>
  <si>
    <t>D-840</t>
  </si>
  <si>
    <t>Пластик KAYO-140 (полный комплект) белый</t>
  </si>
  <si>
    <t>https://b2beez.ru/images/detailed/160/orig_yvxc-bi.jpg</t>
  </si>
  <si>
    <t>R-6154</t>
  </si>
  <si>
    <t>Крепление руля Alpha, Delta "BEEZMOTO" mod:B</t>
  </si>
  <si>
    <t>https://b2beez.ru/images/detailed/177/6786998994.jpg</t>
  </si>
  <si>
    <t>P-6379</t>
  </si>
  <si>
    <t>Прокладки цилиндра (набор) Delta 50 D:39mm KOMATCU (mod.A)</t>
  </si>
  <si>
    <t>https://b2beez.ru/images/detailed/174/6242948086.jpg</t>
  </si>
  <si>
    <t>T-6</t>
  </si>
  <si>
    <t>Трос газа Active (L-585mm)(L-780mm) уп.1шт)</t>
  </si>
  <si>
    <t>https://b2beez.ru/images/detailed/183/orig_hrnn-uu.jpg</t>
  </si>
  <si>
    <t>R-4396</t>
  </si>
  <si>
    <t>Рычаги руля (универсальные, регулируемые) (черный) "CNC"</t>
  </si>
  <si>
    <t>https://b2beez.ru/images/detailed/177/orig_xkj7-pv.jpg</t>
  </si>
  <si>
    <t>S-3006</t>
  </si>
  <si>
    <t>Подшипник 6001-2RS 12*28*8 (КПП Delta, 4T CG200) "BEEZMOTO"</t>
  </si>
  <si>
    <t>https://b2beez.ru/images/detailed/180/orig.jpg</t>
  </si>
  <si>
    <t>Z-0214</t>
  </si>
  <si>
    <t>Звезда трансмиссии (задняя) питбайк 420-39T (аллюминиевая, черная) d-76mm, L-92mm "BEEZMOTO"</t>
  </si>
  <si>
    <t>https://b2beez.ru/images/detailed/188/orig_tft5-p4.jpg</t>
  </si>
  <si>
    <t>Z-0255</t>
  </si>
  <si>
    <t>Звезда трансмиссии (задняя) питбайк 420-41T (аллюминиевая, черная) d-76mm, L-92mm"BEEZMOTO"</t>
  </si>
  <si>
    <t>https://b2beez.ru/images/detailed/188/orig_c57d-jm.jpg</t>
  </si>
  <si>
    <t>Z-0294</t>
  </si>
  <si>
    <t>Звезда трансмиссии (задняя) питбайк 420-43T (аллюминиевая, черная) d-76mm, L-92mm "BEEZMOTO"</t>
  </si>
  <si>
    <t>https://b2beez.ru/images/detailed/188/orig_t8ou-52.jpg</t>
  </si>
  <si>
    <t>Z-0178</t>
  </si>
  <si>
    <t>Звезда трансмиссии (задняя) питбайк 420-45T (аллюминиевая, черная) d-76mm, L-92mm"BEEZMOTO"</t>
  </si>
  <si>
    <t>https://b2beez.ru/images/detailed/188/orig_jfyg-a5.jpg</t>
  </si>
  <si>
    <t>Z-0176</t>
  </si>
  <si>
    <t>Звезда трансмиссии (задняя) питбайк 420-39T (аллюминиевая, красная) d-76mm, L-92mm"BEEZMOTO"</t>
  </si>
  <si>
    <t>https://b2beez.ru/images/detailed/188/orig_8qme-j0.jpg</t>
  </si>
  <si>
    <t>Z-0486</t>
  </si>
  <si>
    <t>Звезда трансмиссии (задняя) питбайк 420-41T (аллюминиевая, красная) d-76mm, L-92mm "BEEZMOTO"</t>
  </si>
  <si>
    <t>https://b2beez.ru/images/detailed/188/orig_c9jw-7s.jpg</t>
  </si>
  <si>
    <t>Z-0355</t>
  </si>
  <si>
    <t>Звезда трансмиссии (задняя) питбайк 420-43T (аллюминиевая, красная) d-76mm, L-92mm"BEEZMOTO"</t>
  </si>
  <si>
    <t>https://b2beez.ru/images/detailed/188/orig_nmzg-e8.jpg</t>
  </si>
  <si>
    <t>Z-0468</t>
  </si>
  <si>
    <t>Звезда трансмиссии (задняя) питбайк 420-45T (аллюминиевая, красная) d-76mm, L-92mm"BEEZMOTO"</t>
  </si>
  <si>
    <t>https://b2beez.ru/images/detailed/188/orig_0dy6-wz.jpg</t>
  </si>
  <si>
    <t>Z-0462</t>
  </si>
  <si>
    <t>Звезда трансмиссии (задняя) питбайк 420-39T (аллюминиевая, зеленая) d-76mm, L-92mm"BEEZMOTO"</t>
  </si>
  <si>
    <t>https://b2beez.ru/images/detailed/188/orig_k3et-93.jpg</t>
  </si>
  <si>
    <t>Z-0246</t>
  </si>
  <si>
    <t>Звезда трансмиссии (задняя) питбайк 420-41T (аллюминиевая, зеленая) d-76mm, L-92mm "BEEZMOTO"</t>
  </si>
  <si>
    <t>https://b2beez.ru/images/detailed/188/orig_e8gi-wb.jpg</t>
  </si>
  <si>
    <t>Z-0315</t>
  </si>
  <si>
    <t>Звезда трансмиссии (задняя) питбайк 420-43T (аллюминиевая, зеленая) d-76mm, L-92mm"BEEZMOTO"</t>
  </si>
  <si>
    <t>https://b2beez.ru/images/detailed/188/orig_8ebq-91.jpg</t>
  </si>
  <si>
    <t>Z-0477</t>
  </si>
  <si>
    <t>Звезда трансмиссии (задняя) питбайк 420-45T (аллюминиевая, зеленая) d-76mm, L-92mm"BEEZMOTO"</t>
  </si>
  <si>
    <t>https://b2beez.ru/images/detailed/188/orig_x5nf-kr.jpg</t>
  </si>
  <si>
    <t>P-6112-U1</t>
  </si>
  <si>
    <t>Перья вилки CG 125 (гидравлические, шток Ø27mm, ось Ø12mm) "KOMATCU" (только правое)</t>
  </si>
  <si>
    <t>S-0311</t>
  </si>
  <si>
    <t>Диски сцепления Alpha, Delta (3шт) "BEEZMOTO"</t>
  </si>
  <si>
    <t>https://b2beez.ru/images/detailed/178/orig_vm37-v6.jpg</t>
  </si>
  <si>
    <t>K-6564</t>
  </si>
  <si>
    <t>Шестерня коробки передач (31зб) 139FMB Alpha, Delta "BEEZMOTO"</t>
  </si>
  <si>
    <t>https://b2beez.ru/images/detailed/168/orig_ctdw-0a.jpg</t>
  </si>
  <si>
    <t>K-8454</t>
  </si>
  <si>
    <t>Кнопки руля (набор) Active (5шт) "BEEZMOTO"</t>
  </si>
  <si>
    <t>https://b2beez.ru/images/detailed/169/7131303937.jpg</t>
  </si>
  <si>
    <t>Z-591</t>
  </si>
  <si>
    <t>Звезда трансмиссии ведущая (передняя) 428-17T, 17мм, Alpha, Delta, Active "BEEZMOTO"</t>
  </si>
  <si>
    <t>https://b2beez.ru/images/detailed/204/Z-591-2.jpg</t>
  </si>
  <si>
    <t>K-5240</t>
  </si>
  <si>
    <t>Кольца 152FMH Active, Alpha, Delta 110, GY6 125 0,25 (Ø52,65) "Xuan Koo"</t>
  </si>
  <si>
    <t>https://b2beez.ru/images/detailed/168/7068332310.jpg</t>
  </si>
  <si>
    <t>S-4744-U1</t>
  </si>
  <si>
    <t>Глушитель Active "KOMATCU" (mod.A) (Вмятина)</t>
  </si>
  <si>
    <t>K-3779-U1</t>
  </si>
  <si>
    <t>Вал переключения передач копирный (Круговая) Alpha, Delta 125 (+вилочки) 154FMI "Xuan Koo"(Повреждения)</t>
  </si>
  <si>
    <t>K-7282</t>
  </si>
  <si>
    <t>Коленвал Alpha, Delta 70 139FMB, 147FMH (под палец 13mm, +шпонка) "BEEZMOTO" mod:B</t>
  </si>
  <si>
    <t>https://b2beez.ru/images/detailed/169/7129307780.jpg</t>
  </si>
  <si>
    <t>K-7286</t>
  </si>
  <si>
    <t>Коленвал Alpha, Delta 70 139FMB, 147FMH (под палец 13mm, +шпонка) "BEEZMOTO"</t>
  </si>
  <si>
    <t>https://b2beez.ru/images/detailed/169/7129316044.jpg</t>
  </si>
  <si>
    <t>V-2685-U1</t>
  </si>
  <si>
    <t>Двигатель Alpha, Delta 125cc (МКПП 152FMH, черный) "BEEZMOTO"(Повреждения)</t>
  </si>
  <si>
    <t>F-9532-U1</t>
  </si>
  <si>
    <t>Фара (в сборе) Alpha (круглая, черная) "BEEZMOTO"(Без стекла)</t>
  </si>
  <si>
    <t>B-217-U2</t>
  </si>
  <si>
    <t>Бак топливный Delta (красный) "KOMATCU" (заводской брак)</t>
  </si>
  <si>
    <t>https://b2beez.ru/images/detailed/204/B-217-U2-2.jpg</t>
  </si>
  <si>
    <t>B-218-U1</t>
  </si>
  <si>
    <t>Бак топливный Delta (синий) "KOMATCU" (повреждение лкп в разных местах)</t>
  </si>
  <si>
    <t>https://b2beez.ru/images/detailed/204/B-218-U1.jpg</t>
  </si>
  <si>
    <t>017998-U1</t>
  </si>
  <si>
    <t>Панель приборов (в сборе) Alpha (120км/ч, электронный тахометр) "BooBa" mod:B (Разбито одно стекло)</t>
  </si>
  <si>
    <t>010788-U1</t>
  </si>
  <si>
    <t>Панель приборов (в сборе) Alpha (60км/ч, электронный тахометр) "LIPAI" (Разбито стекло)</t>
  </si>
  <si>
    <t>K-4471</t>
  </si>
  <si>
    <t>Карбюратор 4Т GY6, ATV 200/250 D-30мм 161QMK (с ускорительным насосом) "BEEZMOTO"</t>
  </si>
  <si>
    <t>https://b2beez.ru/images/detailed/167/orig_2xj9-yz.jpg</t>
  </si>
  <si>
    <t>B-4027</t>
  </si>
  <si>
    <t>Кнопка руля (стоп) KAYO/TTR 125/140 "BEEZMOTO"</t>
  </si>
  <si>
    <t>https://b2beez.ru/images/detailed/154/orig_and6-zx.jpg</t>
  </si>
  <si>
    <t>C-737</t>
  </si>
  <si>
    <t>Поршневая (ЦПГ) Alpha, Delta 100 (Ø50) (тюнинг 70сс) 139FMB "KOMATCU"</t>
  </si>
  <si>
    <t>https://b2beez.ru/images/detailed/156/7054515371.jpg</t>
  </si>
  <si>
    <t>C-9156</t>
  </si>
  <si>
    <t>Чехол заднего амортизатора (350мм)</t>
  </si>
  <si>
    <t>https://b2beez.ru/images/detailed/156/7155750550.jpg</t>
  </si>
  <si>
    <t>T-4109</t>
  </si>
  <si>
    <t>Трос спидометра Alpha, Delta (820mm, уп.1шт) "BEEZMOTO"</t>
  </si>
  <si>
    <t>https://b2beez.ru/images/detailed/183/7132416983.jpg</t>
  </si>
  <si>
    <t>K-0045</t>
  </si>
  <si>
    <t>Коленвал Delta 125, JH125, TTR125 (под палец 13mm, с шестерней маслонасоса, +шпонка) "BEEZMOTO"</t>
  </si>
  <si>
    <t>https://b2beez.ru/images/detailed/165/orig_ycz9-pa.jpg</t>
  </si>
  <si>
    <t>P-5998</t>
  </si>
  <si>
    <t>Прокладка глушителя 4T CG250 (10шт) "BEEZMOTO"</t>
  </si>
  <si>
    <t>https://b2beez.ru/images/detailed/174/7053702403.jpg</t>
  </si>
  <si>
    <t>F-987</t>
  </si>
  <si>
    <t>Задние фары для мотоцикла универсальные, диодные, круглые "BEEZMOTO"</t>
  </si>
  <si>
    <t>https://b2beez.ru/images/detailed/160/7129219426.jpg</t>
  </si>
  <si>
    <t>F-988</t>
  </si>
  <si>
    <t>Задние фары для мотоцикла универсальные, диодные "BEEZMOTO"</t>
  </si>
  <si>
    <t>https://b2beez.ru/images/detailed/160/7128636462.jpg</t>
  </si>
  <si>
    <t>T-3365</t>
  </si>
  <si>
    <t>Трос сцепления TTR-125 (970mm, уп.1шт черный) "BEEZMOTO"</t>
  </si>
  <si>
    <t>https://b2beez.ru/images/detailed/183/orig_rgl0-l0.jpg</t>
  </si>
  <si>
    <t>T-3366</t>
  </si>
  <si>
    <t>Трос сцепления TTR-125 (970mm, уп.1шт красный) "BEEZMOTO"</t>
  </si>
  <si>
    <t>https://b2beez.ru/images/detailed/183/orig_xvqj-3a.jpg</t>
  </si>
  <si>
    <t>T-3367</t>
  </si>
  <si>
    <t>Трос сцепления TTR-125 (970mm, уп.1шт золотой) "BEEZMOTO"</t>
  </si>
  <si>
    <t>https://b2beez.ru/images/detailed/183/orig_3grh-9s.jpg</t>
  </si>
  <si>
    <t>A-628</t>
  </si>
  <si>
    <t>Амортизаторы (пара) Alpha, Delta 340mm, регулируемые (красные, мягкие, +втулки) "NDT"</t>
  </si>
  <si>
    <t>https://b2beez.ru/images/detailed/153/orig_6n3j-wm.jpg</t>
  </si>
  <si>
    <t>P-4485</t>
  </si>
  <si>
    <t>Привод спидометра (редуктор) Delta "BEEZMOTO"</t>
  </si>
  <si>
    <t>https://b2beez.ru/images/detailed/173/orig_qr09-qu.jpg</t>
  </si>
  <si>
    <t>R-5177</t>
  </si>
  <si>
    <t>Руль TTR, KAYO (черный) (L-797mm, D-28mm, d-22.15mm) "PROTAPER"</t>
  </si>
  <si>
    <t>https://b2beez.ru/images/detailed/177/orig_7f1d-u2.jpg</t>
  </si>
  <si>
    <t>R-5178</t>
  </si>
  <si>
    <t>Руль TTR, KAYO (красный) (L-797mm, D-28mm, d-22.15mm) "PROTAPER"</t>
  </si>
  <si>
    <t>https://b2beez.ru/images/detailed/177/orig_qu8j-ht.jpg</t>
  </si>
  <si>
    <t>R-5179</t>
  </si>
  <si>
    <t>Руль TTR, KAYO (синий) (L-797mm, D-28mm, d-22.15mm) "PROTAPER"</t>
  </si>
  <si>
    <t>https://b2beez.ru/images/detailed/177/orig_y7v3-og.jpg</t>
  </si>
  <si>
    <t>N-2293</t>
  </si>
  <si>
    <t>Ножка кикстартера Delta, Alpha (черная) "BEEZMOTO"</t>
  </si>
  <si>
    <t>https://b2beez.ru/images/detailed/170/7062149295.jpg</t>
  </si>
  <si>
    <t>008622</t>
  </si>
  <si>
    <t>Крышка головки цилиндра (правая) 139FMB, 147FMH, 152FMI Alpha, Delta, KAYO, TTR "LIPAI"</t>
  </si>
  <si>
    <t>https://b2beez.ru/images/detailed/47/6324923681.jpg</t>
  </si>
  <si>
    <t>D-3360</t>
  </si>
  <si>
    <t>Двигатель Alpha, Delta 70 (Ø47,00) (147FMD, 20081501) "BEEZMOTO"</t>
  </si>
  <si>
    <t>https://b2beez.ru/images/detailed/159/6861970713.jpg</t>
  </si>
  <si>
    <t>K-0984</t>
  </si>
  <si>
    <t>Карбюратор 2T Stels 50 (увеличенный диффузор) "BEEZMOTO"</t>
  </si>
  <si>
    <t>https://b2beez.ru/images/detailed/166/orig_9bqk-5k.jpg</t>
  </si>
  <si>
    <t>G-4418</t>
  </si>
  <si>
    <t>Головка цилиндра Alpha, Delta, TTR 125 (в сборе) (Ø52,4) (d=20/23) 152FMH "BEEZMOTO" mod:B</t>
  </si>
  <si>
    <t>https://b2beez.ru/images/detailed/162/orig_59gh-fi.jpg</t>
  </si>
  <si>
    <t>Z-854</t>
  </si>
  <si>
    <t>Звезда трансмиссии ведущая (передняя) 420-15T, 17мм, Alpha, Delta, Active "Xuan Koo"</t>
  </si>
  <si>
    <t>https://b2beez.ru/images/detailed/204/Z-854-3_uo5m-gi.jpg</t>
  </si>
  <si>
    <t>Z-1106</t>
  </si>
  <si>
    <t>Звезда трансмиссии ведущая (передняя) 420-14T, 17мм, Alpha, Delta, Active "Xuan Koo"</t>
  </si>
  <si>
    <t>https://b2beez.ru/images/detailed/188/orig_6z3f-qn.jpg</t>
  </si>
  <si>
    <t>P-3232</t>
  </si>
  <si>
    <t>Цепь ГРМ 152FMH Active, Wave (25H-84L) (+3 ролика) "BEEZMOTO"</t>
  </si>
  <si>
    <t>https://b2beez.ru/images/detailed/173/orig_08kw-5m.jpg</t>
  </si>
  <si>
    <t>Звезда трансмиссии ведущая (передняя) 420-15T, 17мм, Alpha, Delta, Active "TMMP"</t>
  </si>
  <si>
    <t>https://b2beez.ru/images/detailed/48/6241667113.jpg</t>
  </si>
  <si>
    <t>S-3044</t>
  </si>
  <si>
    <t>Подшипник 6304-2RS 20*52*15 (к-л Delta, ред-р 4T CH250) "TRDA"</t>
  </si>
  <si>
    <t>https://b2beez.ru/images/detailed/180/6242948217.jpg</t>
  </si>
  <si>
    <t>G-2513</t>
  </si>
  <si>
    <t>Магнето (в сборе) Alpha, Delta (6 катушек) "BEEZMOTO"</t>
  </si>
  <si>
    <t>https://b2beez.ru/images/detailed/162/6241667281.jpg</t>
  </si>
  <si>
    <t>A-42</t>
  </si>
  <si>
    <t>Амортизаторы (пара) Alpha, Delta 340mm, регулируемые (хром, короткий стакан) "NDT"</t>
  </si>
  <si>
    <t>https://b2beez.ru/images/detailed/153/orig_cnj4-fi.jpg</t>
  </si>
  <si>
    <t>B-184</t>
  </si>
  <si>
    <t>Крышка бака топливного Active, Wave "BEEZMOTO"</t>
  </si>
  <si>
    <t>https://b2beez.ru/images/detailed/154/7067474661.jpg</t>
  </si>
  <si>
    <t>B-440</t>
  </si>
  <si>
    <t>Крышка барабана тормозного (зад) Alpha, Delta (+колодки) "BEEZMOTO" mod:A</t>
  </si>
  <si>
    <t>https://b2beez.ru/images/detailed/154/orig_55sp-0k.jpg</t>
  </si>
  <si>
    <t>C-1229</t>
  </si>
  <si>
    <t>Болты крепления передней звезды (пара) Alpha, Delta 139FMB, 152FMH "MOZBA"</t>
  </si>
  <si>
    <t>https://b2beez.ru/images/detailed/155/6241667107.jpg</t>
  </si>
  <si>
    <t>C-1474</t>
  </si>
  <si>
    <t>Демпфер заднего колеса Suzuki MX50V "ARADU"</t>
  </si>
  <si>
    <t>https://b2beez.ru/images/detailed/155/6242641791.jpg</t>
  </si>
  <si>
    <t>C-1497</t>
  </si>
  <si>
    <t>Кожух цепи трансмиссии Active, Wave (белый) "ZZQ"</t>
  </si>
  <si>
    <t>https://b2beez.ru/images/detailed/155/orig_cbl2-3e.jpg</t>
  </si>
  <si>
    <t>C-1863</t>
  </si>
  <si>
    <t>Звезды трансмиссии (комплект) Delta 428-14T + 428-36T "ZUNA"</t>
  </si>
  <si>
    <t>https://b2beez.ru/images/detailed/155/orig_41u2-y7.jpg</t>
  </si>
  <si>
    <t>C-1864</t>
  </si>
  <si>
    <t>Звезды трансмиссии (комплект) Delta 428-14T + 428-36T "MANLE"</t>
  </si>
  <si>
    <t>https://b2beez.ru/images/detailed/155/orig_j5xt-yp.jpg</t>
  </si>
  <si>
    <t>C-2345</t>
  </si>
  <si>
    <t>Болт крепления передней звезды Alpha, Delta 139FMB, 152FMH "KOMATCU" (5шт)</t>
  </si>
  <si>
    <t>https://b2beez.ru/images/detailed/156/orig_p2er-d2.jpg</t>
  </si>
  <si>
    <t>C-2422</t>
  </si>
  <si>
    <t>Крышка кожуха цепи трансмиссии Delta "KOMATCU" (mod.A)</t>
  </si>
  <si>
    <t>https://b2beez.ru/images/detailed/156/orig_03c1-iq.jpg</t>
  </si>
  <si>
    <t>C-2468</t>
  </si>
  <si>
    <t>Резинка демпферная Lifan LF-250 (4шт) "KOMATCU"</t>
  </si>
  <si>
    <t>https://b2beez.ru/images/detailed/156/6242948704.jpg</t>
  </si>
  <si>
    <t>C-2651</t>
  </si>
  <si>
    <t>Звезда трансмиссии ведущая Alpha, Delta 428-14T с обгонной муфтой "KOMATCU"</t>
  </si>
  <si>
    <t>https://b2beez.ru/images/detailed/156/orig_ygfa-6l.jpg</t>
  </si>
  <si>
    <t>C-2652</t>
  </si>
  <si>
    <t>Звезда трансмиссии ведущая Alpha, Delta 428-15T с обгонной муфтой "KOMATCU"</t>
  </si>
  <si>
    <t>https://b2beez.ru/images/detailed/156/orig_71yx-78.jpg</t>
  </si>
  <si>
    <t>C-555</t>
  </si>
  <si>
    <t>Шайба стопорная передней звезды 4T CB/CG 125/150 "BEEZMOTO"</t>
  </si>
  <si>
    <t>https://b2beez.ru/images/detailed/156/7154874587.jpg</t>
  </si>
  <si>
    <t>D-1086</t>
  </si>
  <si>
    <t>Диск колеса 1,4 * 17 (перед, барабан) (легкосплавный под 12 ось) Alpha, Delta "ZY"</t>
  </si>
  <si>
    <t>https://b2beez.ru/images/detailed/157/6459652915.jpg</t>
  </si>
  <si>
    <t>D-1092</t>
  </si>
  <si>
    <t>Диск колеса 1,4 * 17 (перед, барабан) (легкосплавный под 10 ось) Active, Wave "ZY"</t>
  </si>
  <si>
    <t>https://b2beez.ru/images/detailed/157/orig_bwfy-c1.jpg</t>
  </si>
  <si>
    <t>D-4024</t>
  </si>
  <si>
    <t>Гайка стопорная корзины сцепления Alpha, Delta 125 (D=28mm, d=12.5mm) 154FMI "BEEZMOTO"</t>
  </si>
  <si>
    <t>https://b2beez.ru/images/detailed/159/orig_5gj4-37.jpg</t>
  </si>
  <si>
    <t>G-1753</t>
  </si>
  <si>
    <t>Крышка генератора (левая) Alpha, Delta. TTR (139FMB, 152FMH) (6 катушек) "BEEZMOTO"</t>
  </si>
  <si>
    <t>https://b2beez.ru/images/detailed/161/7049712633.jpg</t>
  </si>
  <si>
    <t>G-1841</t>
  </si>
  <si>
    <t>Клапаны (в сборе) 139FMB Alpha, Delta (L-66mm) "BEEZMOTO"</t>
  </si>
  <si>
    <t>https://b2beez.ru/images/detailed/161/orig_vmya-2p.jpg</t>
  </si>
  <si>
    <t>G-1847</t>
  </si>
  <si>
    <t>Шпильки цилиндра (4шт) 139FMB Alpha, Delta 50/70 (+гайки) "Xuan Koo"</t>
  </si>
  <si>
    <t>https://b2beez.ru/images/detailed/161/orig_dhpd-wn.jpg</t>
  </si>
  <si>
    <t>G-1908</t>
  </si>
  <si>
    <t>Прокладка крышки маслоотделительной Delta (красная) "SUNY"</t>
  </si>
  <si>
    <t>https://b2beez.ru/images/detailed/161/6242948100.jpg</t>
  </si>
  <si>
    <t>G-1909</t>
  </si>
  <si>
    <t>Распредвал 139FMB, 152FMH Alpha, Delta (XW-16002/P6) "Xuan Koo"</t>
  </si>
  <si>
    <t>https://b2beez.ru/images/detailed/161/orig_ee0z-zp.jpg</t>
  </si>
  <si>
    <t>G-1910</t>
  </si>
  <si>
    <t>Статор генератора 139FMB Alpha, Delta (1+1 катушек) "BEEZMOTO"</t>
  </si>
  <si>
    <t>https://b2beez.ru/images/detailed/161/6652376705.jpg</t>
  </si>
  <si>
    <t>G-465</t>
  </si>
  <si>
    <t>Крышка звезды распредвала 139FMB Alpha, Delta (аллюминий) "BEEZMOTO"</t>
  </si>
  <si>
    <t>https://b2beez.ru/images/detailed/162/orig_vjvy-ro.jpg</t>
  </si>
  <si>
    <t>G-761</t>
  </si>
  <si>
    <t>Трос газа Active, Wave (L-580mm)(L-780mm)уп.1шт, желтый)</t>
  </si>
  <si>
    <t>https://b2beez.ru/images/detailed/162/orig_kp4i-jc.jpg</t>
  </si>
  <si>
    <t>K-2384</t>
  </si>
  <si>
    <t>Кран топливный (стайлинговый) универсальный (красный)</t>
  </si>
  <si>
    <t>https://b2beez.ru/images/detailed/166/orig_bq1q-1w.jpg</t>
  </si>
  <si>
    <t>K-2385</t>
  </si>
  <si>
    <t>Кран топливный (стайлинговый) универсальный (зеленый)</t>
  </si>
  <si>
    <t>https://b2beez.ru/images/detailed/166/6545700828.jpg</t>
  </si>
  <si>
    <t>K-2386</t>
  </si>
  <si>
    <t>Кран топливный (стайлинговый) универсальный (желтый)</t>
  </si>
  <si>
    <t>https://b2beez.ru/images/detailed/166/orig_c8jx-jq.jpg</t>
  </si>
  <si>
    <t>K-2453</t>
  </si>
  <si>
    <t>Сепаратор закрытый HK1412 14*20*12 (коробка передач Alpha, Delta) "BEEZMOTO"</t>
  </si>
  <si>
    <t>https://b2beez.ru/images/detailed/166/orig_1i65-ij.jpg</t>
  </si>
  <si>
    <t>K-2454</t>
  </si>
  <si>
    <t>Сепаратор закрытый HK13,5/12 13,5*20*12 (коробка передач Alpha, Delta)</t>
  </si>
  <si>
    <t>https://b2beez.ru/images/detailed/166/6242949019.jpg</t>
  </si>
  <si>
    <t>K-3421</t>
  </si>
  <si>
    <t>Патрубок карбюратора (коллектор) Active, Wave (алюминий) 152FMH "BEEZMOTO"</t>
  </si>
  <si>
    <t>https://b2beez.ru/images/detailed/167/orig_c0kn-68.jpg</t>
  </si>
  <si>
    <t>K-357</t>
  </si>
  <si>
    <t>Кольца 139FMB Alpha, Delta 70 0,50 (Ø47,50) "KOSO"</t>
  </si>
  <si>
    <t>https://b2beez.ru/images/detailed/167/6224627810_c8fp-eo.jpg</t>
  </si>
  <si>
    <t>K-3779</t>
  </si>
  <si>
    <t>Вал переключения передач копирный (Круговая) Alpha, Delta 125 (+вилочки) 154FMI "Xuan Koo"</t>
  </si>
  <si>
    <t>https://b2beez.ru/images/detailed/167/6241667103.jpg</t>
  </si>
  <si>
    <t>K-3784</t>
  </si>
  <si>
    <t>Крыло Alpha, Delta переднее (хром)</t>
  </si>
  <si>
    <t>https://b2beez.ru/images/detailed/167/orig_onj9-zw.jpg</t>
  </si>
  <si>
    <t>K-3786</t>
  </si>
  <si>
    <t>Кран топливный Alpha (гайка Ø14mm, штуцер 90*) "BEEZMOTO"</t>
  </si>
  <si>
    <t>https://b2beez.ru/images/detailed/167/orig_c4un-uh.jpg</t>
  </si>
  <si>
    <t>K-3826</t>
  </si>
  <si>
    <t>Кольца 150FMG Alpha, Delta 100 .STD (Ø50,00) "HND"</t>
  </si>
  <si>
    <t>https://b2beez.ru/images/detailed/167/6224627885_imsr-be.jpg</t>
  </si>
  <si>
    <t>K-3943</t>
  </si>
  <si>
    <t>Крышка сцепления 139FMB Alpha, Delta (автоматическое сцепление) "BEEZMOTO"</t>
  </si>
  <si>
    <t>https://b2beez.ru/images/detailed/167/orig_hf2f-ve.jpg</t>
  </si>
  <si>
    <t>K-3950</t>
  </si>
  <si>
    <t>Крыло Alpha, Delta заднее (хром) "ZZQ"</t>
  </si>
  <si>
    <t>https://b2beez.ru/images/detailed/167/orig_23sy-nf.jpg</t>
  </si>
  <si>
    <t>K-3999</t>
  </si>
  <si>
    <t>Кольца 139FMB Alpha, Delta 70 .STD (Ø47,00) "TKT"</t>
  </si>
  <si>
    <t>https://b2beez.ru/images/detailed/167/6224627832_tbvj-md.jpg</t>
  </si>
  <si>
    <t>K-4544</t>
  </si>
  <si>
    <t>Кольца 150FMG Alpha, Delta 100 .STD (Ø50,00) "SUNY"</t>
  </si>
  <si>
    <t>https://b2beez.ru/images/detailed/167/6241667204.jpg</t>
  </si>
  <si>
    <t>K-4671</t>
  </si>
  <si>
    <t>Кольца 152FMH Active, Alpha, Delta 110, GY6 125 0,25 (Ø52,65) "TORO"</t>
  </si>
  <si>
    <t>https://b2beez.ru/images/detailed/167/6224628049_vqil-zt.jpg</t>
  </si>
  <si>
    <t>K-4745</t>
  </si>
  <si>
    <t>Блоки кнопок руля (пара) Alpha (черные, рычаги, крепление) "BEEZMOTO"</t>
  </si>
  <si>
    <t>https://b2beez.ru/images/detailed/167/7080892909.jpg</t>
  </si>
  <si>
    <t>K-5187</t>
  </si>
  <si>
    <t>Кран топливный TTR 125 "BEEZMOTO"</t>
  </si>
  <si>
    <t>https://b2beez.ru/images/detailed/168/orig_uns6-j2.jpg</t>
  </si>
  <si>
    <t>K-5190</t>
  </si>
  <si>
    <t>Кран топливный Alpha (гайка Ø16mm, штуцер 180*) "BEEZMOTO"</t>
  </si>
  <si>
    <t>https://b2beez.ru/images/detailed/168/6242641974.jpg</t>
  </si>
  <si>
    <t>K-5194</t>
  </si>
  <si>
    <t>Кран топливный Delta (гайка Ø12mm, штуцер 90*, резерв) "HORZA"</t>
  </si>
  <si>
    <t>https://b2beez.ru/images/detailed/168/orig_qhay-kl.jpg</t>
  </si>
  <si>
    <t>K-5275</t>
  </si>
  <si>
    <t>Кольца 150FMG Alpha, Delta 100 .STD (Ø50,00) "KJT"</t>
  </si>
  <si>
    <t>https://b2beez.ru/images/detailed/168/6241667303.jpg</t>
  </si>
  <si>
    <t>K-6118</t>
  </si>
  <si>
    <t>Вал переключения передач копирный Active (АКПП) (+вилочки)</t>
  </si>
  <si>
    <t>https://b2beez.ru/images/detailed/168/orig_nwb1-jb.jpg</t>
  </si>
  <si>
    <t>K-6534</t>
  </si>
  <si>
    <t>Крышка сцепления (правая) Delta (139FMB) (механическое сцепления) "BEEZMOTO"</t>
  </si>
  <si>
    <t>https://b2beez.ru/images/detailed/168/7050400720.jpg</t>
  </si>
  <si>
    <t>K-6551</t>
  </si>
  <si>
    <t>Ремкомплект карбюратора Alpha 70 "KOMATCU" (mod.A)</t>
  </si>
  <si>
    <t>https://b2beez.ru/images/detailed/168/6242948924.jpg</t>
  </si>
  <si>
    <t>K-6552</t>
  </si>
  <si>
    <t>Ремкомплект карбюратора Delta 70 "KOMATCU" (mod.A)</t>
  </si>
  <si>
    <t>https://b2beez.ru/images/detailed/168/6246874265.jpg</t>
  </si>
  <si>
    <t>K-6554</t>
  </si>
  <si>
    <t>Сепаратор закрытый HK1010 (коробка передач 4T СG125) "BEEZMOTO"</t>
  </si>
  <si>
    <t>https://b2beez.ru/images/detailed/168/orig_bbn4-2g.jpg</t>
  </si>
  <si>
    <t>K-6676</t>
  </si>
  <si>
    <t>Кольца 150FMG Alpha, Delta 100 .STD (Ø50,00) "GONGYU"</t>
  </si>
  <si>
    <t>https://b2beez.ru/images/detailed/168/6241667110.jpg</t>
  </si>
  <si>
    <t>K-6678</t>
  </si>
  <si>
    <t>Кольца 139FMB Alpha, Delta 70 .STD (Ø47,00) "GONGYU"</t>
  </si>
  <si>
    <t>https://b2beez.ru/images/detailed/168/6241667309.jpg</t>
  </si>
  <si>
    <t>K-6899</t>
  </si>
  <si>
    <t>Кольца 152FMH Active, Alpha, Delta 110, GY6 125 0,25 (Ø52,65) "SUNY" (mod.A)</t>
  </si>
  <si>
    <t>https://b2beez.ru/images/detailed/168/6241667095.jpg</t>
  </si>
  <si>
    <t>K-6900</t>
  </si>
  <si>
    <t>Кольца 152FMH Active, Alpha, Delta 110, GY6 125 0,25 (Ø52,65) "SUNY" (mod.B)</t>
  </si>
  <si>
    <t>https://b2beez.ru/images/detailed/168/orig_dxol-n4.jpg</t>
  </si>
  <si>
    <t>K-6901</t>
  </si>
  <si>
    <t>Кольца 152FMH Active, Alpha, Delta 110, GY6 125 0,50 (Ø52,90) "SUNY" (mod.B)</t>
  </si>
  <si>
    <t>https://b2beez.ru/images/detailed/168/6241667145.jpg</t>
  </si>
  <si>
    <t>K-6902</t>
  </si>
  <si>
    <t>Кольца 152FMH Active, Alpha, Delta 110, GY6 125 0,75 (Ø53,15) "SUNY" (mod.B)</t>
  </si>
  <si>
    <t>https://b2beez.ru/images/detailed/168/6241667122.jpg</t>
  </si>
  <si>
    <t>K-6903</t>
  </si>
  <si>
    <t>Кольца 152FMH Active, Alpha, Delta 110, GY6 125 1,00 (Ø53,40) "SUNY" (mod.B)</t>
  </si>
  <si>
    <t>https://b2beez.ru/images/detailed/168/6241667090.jpg</t>
  </si>
  <si>
    <t>K-6904</t>
  </si>
  <si>
    <t>Кольца 150FMG Alpha, Delta 100 .STD (Ø50,00) "SUNY" (mod.A)</t>
  </si>
  <si>
    <t>https://b2beez.ru/images/detailed/168/orig_wnc8-u8.jpg</t>
  </si>
  <si>
    <t>K-6905</t>
  </si>
  <si>
    <t>Кольца 150FMG Alpha, Delta 100 .STD (Ø50,00) "SUNY" (mod.B)</t>
  </si>
  <si>
    <t>https://b2beez.ru/images/detailed/168/orig_liep-19.jpg</t>
  </si>
  <si>
    <t>K-6909</t>
  </si>
  <si>
    <t>Кольца 139FMB Alpha, Delta 50 .STD (Ø39,00) "SUNY" (mod.B)</t>
  </si>
  <si>
    <t>https://b2beez.ru/images/detailed/168/orig_1p82-49.jpg</t>
  </si>
  <si>
    <t>K-6912</t>
  </si>
  <si>
    <t>Кольца 139FMB Alpha, Delta 50 0,25 (Ø39,25) "SUNY" (mod.B)</t>
  </si>
  <si>
    <t>https://b2beez.ru/images/detailed/168/6241667124.jpg</t>
  </si>
  <si>
    <t>K-6914</t>
  </si>
  <si>
    <t>Кольца 139FMB Alpha, Delta 50 0,75 (Ø39,75) "SUNY" (mod.B)</t>
  </si>
  <si>
    <t>https://b2beez.ru/images/detailed/168/6241667233.jpg</t>
  </si>
  <si>
    <t>K-6915</t>
  </si>
  <si>
    <t>Кольца 139FMB Alpha, Delta 50 1,00 (Ø40,00) "SUNY" (mod.B)</t>
  </si>
  <si>
    <t>https://b2beez.ru/images/detailed/168/orig_km66-wi.jpg</t>
  </si>
  <si>
    <t>K-6926</t>
  </si>
  <si>
    <t>Кольца 139FMB Alpha, Delta 70 1,00 (Ø48,00) "SUNY" (mod.B)</t>
  </si>
  <si>
    <t>https://b2beez.ru/images/detailed/168/6241667112.jpg</t>
  </si>
  <si>
    <t>K-6929</t>
  </si>
  <si>
    <t>Кольца 139FMB Alpha, Delta 90 0,25 (Ø47,25) "SUNY" (mod.B)</t>
  </si>
  <si>
    <t>https://b2beez.ru/images/detailed/168/6241667154.jpg</t>
  </si>
  <si>
    <t>K-6931</t>
  </si>
  <si>
    <t>Кольца 139FMB Alpha, Delta 90 0,75 (Ø47,75) "SUNY" (mod.B)</t>
  </si>
  <si>
    <t>https://b2beez.ru/images/detailed/168/orig_cify-hn.jpg</t>
  </si>
  <si>
    <t>K-6932</t>
  </si>
  <si>
    <t>Кольца 139FMB Alpha, Delta 90 1,00 (Ø48,00) "SUNY" (mod.B)</t>
  </si>
  <si>
    <t>https://b2beez.ru/images/detailed/168/6241667225.jpg</t>
  </si>
  <si>
    <t>K-97</t>
  </si>
  <si>
    <t>Кольца 150FMG Alpha, Delta 100 .STD (Ø50,00) "KOSO"</t>
  </si>
  <si>
    <t>https://b2beez.ru/images/detailed/169/6224627810_r1u9-3n.jpg</t>
  </si>
  <si>
    <t>M-41</t>
  </si>
  <si>
    <t>Обгонная муфта стартера 139FMB Alpha, Delta 70 (в сборе) "Xuan Koo"</t>
  </si>
  <si>
    <t>https://b2beez.ru/images/detailed/169/orig_nqln-4t.jpg</t>
  </si>
  <si>
    <t>M-555</t>
  </si>
  <si>
    <t>Маховик (обгонная муфта) Delta (в сборе) "Xuan Koo"</t>
  </si>
  <si>
    <t>https://b2beez.ru/images/detailed/169/orig_novw-1l.jpg</t>
  </si>
  <si>
    <t>M-645</t>
  </si>
  <si>
    <t>Цепь ГРМ 154FMI Alpha, Delta 125 (25H-98L) "BEEZMOTO" mod: A</t>
  </si>
  <si>
    <t>https://b2beez.ru/images/detailed/170/orig.jpg</t>
  </si>
  <si>
    <t>N-3021</t>
  </si>
  <si>
    <t>Пружина возвратная ножки кикстартера Alpha, Delta "KOMATCU" (mod.A)</t>
  </si>
  <si>
    <t>https://b2beez.ru/images/detailed/171/orig_10yd-7q.jpg</t>
  </si>
  <si>
    <t>O-1972</t>
  </si>
  <si>
    <t>Ось колеса заднего Delta (L-240mm, D-12mm) "BEEZMOTO"</t>
  </si>
  <si>
    <t>https://b2beez.ru/images/detailed/172/orig_1m9q-1j.jpg</t>
  </si>
  <si>
    <t>O-1979</t>
  </si>
  <si>
    <t>Ось маятника Active, Wave (L-240mm, D-10mm) "KOMATCU"</t>
  </si>
  <si>
    <t>https://b2beez.ru/images/detailed/172/orig_v4n0-n5.jpg</t>
  </si>
  <si>
    <t>F-123</t>
  </si>
  <si>
    <t>Фара (в сборе) Active, Wave "BEEZMOTO"</t>
  </si>
  <si>
    <t>https://b2beez.ru/images/detailed/160/7186655257.jpg</t>
  </si>
  <si>
    <t>P-1788</t>
  </si>
  <si>
    <t>Сальник вторичного вала Alpha, Delta (17*29*5) "HND"</t>
  </si>
  <si>
    <t>https://b2beez.ru/images/detailed/173/6242948755.jpg</t>
  </si>
  <si>
    <t>P-1974</t>
  </si>
  <si>
    <t>Прокладки цилиндра 139FMB Alpha, Delta 70 Ø47mm (mod.A) "SHANGZHI"</t>
  </si>
  <si>
    <t>https://b2beez.ru/images/detailed/173/6242948077.jpg</t>
  </si>
  <si>
    <t>P-1976</t>
  </si>
  <si>
    <t>Прокладки цилиндра 139FMB Alpha, Delta 70 Ø47mm "MAX GASKETS" (mod.C)</t>
  </si>
  <si>
    <t>https://b2beez.ru/images/detailed/173/6242948119.jpg</t>
  </si>
  <si>
    <t>P-2076</t>
  </si>
  <si>
    <t>Прокладка крышки маслоотделительной Alpha, Delta "ARADU"</t>
  </si>
  <si>
    <t>https://b2beez.ru/images/detailed/173/6246915865.jpg</t>
  </si>
  <si>
    <t>P-2094</t>
  </si>
  <si>
    <t>Натяжитель цепи ГРМ 139FMB Alpha, Delta 70 (балансир, пружина, рычаг,ролик) "BEEZMOTO"</t>
  </si>
  <si>
    <t>https://b2beez.ru/images/detailed/173/orig_iame-pk.jpg</t>
  </si>
  <si>
    <t>P-2121</t>
  </si>
  <si>
    <t>Пластик KAYO,TTR накладки на перья (черные, +крепления) "BEEZMOTO"</t>
  </si>
  <si>
    <t>https://b2beez.ru/images/detailed/173/orig_9n8y-xe.jpg</t>
  </si>
  <si>
    <t>P-2133</t>
  </si>
  <si>
    <t>Пластик Active, Wave задняя боковая пара (красные) "KOMATCU"</t>
  </si>
  <si>
    <t>https://b2beez.ru/images/detailed/173/6741815363.jpg</t>
  </si>
  <si>
    <t>P-2134</t>
  </si>
  <si>
    <t>Пластик Active, Wave задняя боковая пара (синие) "KOMATCU"</t>
  </si>
  <si>
    <t>https://b2beez.ru/images/detailed/173/6741821090.jpg</t>
  </si>
  <si>
    <t>P-2135</t>
  </si>
  <si>
    <t>Пластик Active, Wave задняя боковая пара (черные) "KOMATCU"</t>
  </si>
  <si>
    <t>https://b2beez.ru/images/detailed/173/6741822824.jpg</t>
  </si>
  <si>
    <t>P-2139</t>
  </si>
  <si>
    <t>Накладки на спицы колес 21/19, 21/18 (72шт) зеленые</t>
  </si>
  <si>
    <t>https://b2beez.ru/images/detailed/173/6692956345.jpg</t>
  </si>
  <si>
    <t>P-2165</t>
  </si>
  <si>
    <t>Пластик Active, Wave накладки на перья (синие) "KOMATCU"</t>
  </si>
  <si>
    <t>https://b2beez.ru/images/detailed/173/6585431583.jpg</t>
  </si>
  <si>
    <t>P-2767</t>
  </si>
  <si>
    <t>Сальник вилки Delta (25*35*9) "MPG"</t>
  </si>
  <si>
    <t>https://b2beez.ru/images/detailed/173/orig_4t0a-9b.jpg</t>
  </si>
  <si>
    <t>P-4320</t>
  </si>
  <si>
    <t>Прокладки цилиндра 139FMB Alpha, Delta 70 Ø47mm (mod.A) "KOMATCU"</t>
  </si>
  <si>
    <t>https://b2beez.ru/images/detailed/173/6242948052.jpg</t>
  </si>
  <si>
    <t>P-4480</t>
  </si>
  <si>
    <t>Поршень 150FMG Alpha, Delta 100 .STD(Ø50,00) "BEEZMOTO"</t>
  </si>
  <si>
    <t>https://b2beez.ru/images/detailed/173/6494808398.jpg</t>
  </si>
  <si>
    <t>P-4487</t>
  </si>
  <si>
    <t>Прокладки цилиндра 139FMB Alpha, Delta 70 Ø47mm (mod.A) "SUNY"</t>
  </si>
  <si>
    <t>https://b2beez.ru/images/detailed/173/6242948250.jpg</t>
  </si>
  <si>
    <t>P-4491</t>
  </si>
  <si>
    <t>Сальники вилки Delta (25*35*9/10 x 2шт) "BEEZMOTO"</t>
  </si>
  <si>
    <t>https://b2beez.ru/images/detailed/173/orig_j03s-dt.jpg</t>
  </si>
  <si>
    <t>P-4511</t>
  </si>
  <si>
    <t>Прокладки цилиндра 152FMH Alpha, Delta 110 Ø52,50mm, 152FMH "BEEZMOTO"</t>
  </si>
  <si>
    <t>https://b2beez.ru/images/detailed/173/orig_221r-2a.jpg</t>
  </si>
  <si>
    <t>P-5632</t>
  </si>
  <si>
    <t>Поршень 139FMB Alpha, Delta 70 0,25 (Ø47,25) оригинал Taiwan "SEE"</t>
  </si>
  <si>
    <t>https://b2beez.ru/images/detailed/174/6242948180.jpg</t>
  </si>
  <si>
    <t>P-5633</t>
  </si>
  <si>
    <t>Поршень 139FMB Alpha, Delta 70 0,50 (Ø47,50) оригинал Taiwan "SEE"</t>
  </si>
  <si>
    <t>https://b2beez.ru/images/detailed/174/6242948180_z1pk-qm.jpg</t>
  </si>
  <si>
    <t>P-6419</t>
  </si>
  <si>
    <t>Сальник вилки Delta (25*35*9) "KOMATCU"</t>
  </si>
  <si>
    <t>https://b2beez.ru/images/detailed/174/orig_rzxb-b1.jpg</t>
  </si>
  <si>
    <t>P-86</t>
  </si>
  <si>
    <t>Поршень 139FMB Alpha, Delta 70 0,25 (Ø47,25) "TNT"</t>
  </si>
  <si>
    <t>https://b2beez.ru/images/detailed/204/1_vxss-62.jpg</t>
  </si>
  <si>
    <t>R-1963</t>
  </si>
  <si>
    <t>Резинки подножек водителя Alpha, Delta (синие) "BEEZMOTO"</t>
  </si>
  <si>
    <t>R-1974</t>
  </si>
  <si>
    <t>Резинка заводной ножки "MONSTER ENERGY" (универсальная, черная) "XJB"</t>
  </si>
  <si>
    <t>https://b2beez.ru/images/detailed/176/6243370393.jpg</t>
  </si>
  <si>
    <t>R-2097</t>
  </si>
  <si>
    <t>Руль Alpha, Delta (голый) "SDTW"</t>
  </si>
  <si>
    <t>https://b2beez.ru/images/detailed/176/6536295135.jpg</t>
  </si>
  <si>
    <t>R-2145</t>
  </si>
  <si>
    <t>Подножки водителя Alpha, Delta, Active, Viper (в сборе, с изгибом под глушитель) "ZZQ"</t>
  </si>
  <si>
    <t>https://b2beez.ru/images/detailed/176/orig_ew4u-yv.jpg</t>
  </si>
  <si>
    <t>R-2148</t>
  </si>
  <si>
    <t>Крепление руля Alpha, Delta "BEEZMOTO" mod:A</t>
  </si>
  <si>
    <t>https://b2beez.ru/images/detailed/176/orig_ntbl-yh.jpg</t>
  </si>
  <si>
    <t>R-2367</t>
  </si>
  <si>
    <t>Резинка ножки переключения передач Delta "SUNY"</t>
  </si>
  <si>
    <t>https://b2beez.ru/images/detailed/177/6242948861.jpg</t>
  </si>
  <si>
    <t>S-1262</t>
  </si>
  <si>
    <t>Трос спидометра Alpha, Delta (1000mm, уп.1шт)</t>
  </si>
  <si>
    <t>https://b2beez.ru/images/detailed/178/7137662430.jpg</t>
  </si>
  <si>
    <t>S-1265</t>
  </si>
  <si>
    <t>Трос спидометра Alpha, Delta (900mm, уп.1шт) "BEEZMOTO"</t>
  </si>
  <si>
    <t>https://b2beez.ru/images/detailed/178/6243370481.jpg</t>
  </si>
  <si>
    <t>S-2564</t>
  </si>
  <si>
    <t>Сиденье Active, Wave "KOMATCU"</t>
  </si>
  <si>
    <t>https://b2beez.ru/images/detailed/179/orig_8ugw-kw.jpg</t>
  </si>
  <si>
    <t>S-3069</t>
  </si>
  <si>
    <t>Чехол сиденья HONDA WH125 (черный) "KOMATCU"</t>
  </si>
  <si>
    <t>https://b2beez.ru/images/detailed/180/6337759251.jpg</t>
  </si>
  <si>
    <t>S-3375</t>
  </si>
  <si>
    <t>Спица колеса Alpha, Delta (L-160mm, Ø3mm) (компл.-36шт) "BEEZMOTO"</t>
  </si>
  <si>
    <t>https://b2beez.ru/images/detailed/180/orig_5vwd-4p.jpg</t>
  </si>
  <si>
    <t>S-3376</t>
  </si>
  <si>
    <t>Чехол сиденья Delta (комплект) "KOMATCU"</t>
  </si>
  <si>
    <t>S-3862</t>
  </si>
  <si>
    <t>Корзина сцепления (в сборе) 152FMH Active, Wave, TTR 110 (18T) "BEEZMOTO"</t>
  </si>
  <si>
    <t>https://b2beez.ru/images/detailed/181/orig_m0o6-ff.jpg</t>
  </si>
  <si>
    <t>S-4636</t>
  </si>
  <si>
    <t>Спица колеса Delta (36шт, Ø3*L-160mm) "BEEZMOTO"</t>
  </si>
  <si>
    <t>https://b2beez.ru/images/detailed/181/6911117808.jpg</t>
  </si>
  <si>
    <t>T-154</t>
  </si>
  <si>
    <t>Трос переднего тормоза Alpha, Delta (уп.1шт, желтый)</t>
  </si>
  <si>
    <t>https://b2beez.ru/images/detailed/182/6242948699.jpg</t>
  </si>
  <si>
    <t>U-7</t>
  </si>
  <si>
    <t>Успокоитель цепи стартера (комплект) Alpha, Delta "BEEZMOTO"</t>
  </si>
  <si>
    <t>https://b2beez.ru/images/detailed/184/orig_945n-x1.jpg</t>
  </si>
  <si>
    <t>V-1517</t>
  </si>
  <si>
    <t>Поршневая (ЦПГ) Alpha, Delta 90 (Ø47) (алюминиевые ребра) 147FMB/139FMB "GONGYU"</t>
  </si>
  <si>
    <t>https://b2beez.ru/images/detailed/185/orig_xkvp-zw.jpg</t>
  </si>
  <si>
    <t>V-1519</t>
  </si>
  <si>
    <t>Поршневая (ЦПГ) Alpha, Delta, TTR 125 (Ø52.4, p-13, h-78.3) (алюминиевая, с ухом) 152FMH/152FMI "BEEZMOTO"</t>
  </si>
  <si>
    <t>https://b2beez.ru/images/detailed/185/7129242636.jpg</t>
  </si>
  <si>
    <t>V-1603</t>
  </si>
  <si>
    <t>Вилка маятника задняя Alpha, Delta</t>
  </si>
  <si>
    <t>https://b2beez.ru/images/detailed/185/orig_sry3-ty.jpg</t>
  </si>
  <si>
    <t>V-1811</t>
  </si>
  <si>
    <t>Поршневая (ЦПГ) Alpha, Delta 100 (Ø50) (посадочный Ø54,3) 150FMG "DONG"</t>
  </si>
  <si>
    <t>https://b2beez.ru/images/detailed/186/orig_iwa2-1t.jpg</t>
  </si>
  <si>
    <t>V-1840</t>
  </si>
  <si>
    <t>Вал заводной Alpha, Delta 139FMB, 152FMH "Xuan Koo"</t>
  </si>
  <si>
    <t>https://b2beez.ru/images/detailed/186/6533290863.jpg</t>
  </si>
  <si>
    <t>V-1972</t>
  </si>
  <si>
    <t>Поршневая (ЦПГ) Alpha, Delta 110 (Ø52,4) 152FMH "BEEZMOTO"</t>
  </si>
  <si>
    <t>https://b2beez.ru/images/detailed/186/orig_8ify-7c.jpg</t>
  </si>
  <si>
    <t>V-2049</t>
  </si>
  <si>
    <t>Поршневая (ЦПГ) Alpha, Delta, TTR 125 (Ø54, p-14, h-77.3) (алюминиевая, с ухом) 154FMI "BEEZMOTO"</t>
  </si>
  <si>
    <t>https://b2beez.ru/images/detailed/186/7129233885.jpg</t>
  </si>
  <si>
    <t>V-779</t>
  </si>
  <si>
    <t>Гайка стопорная траверсы Alpha, Delta "KOMATCU"</t>
  </si>
  <si>
    <t>https://b2beez.ru/images/detailed/187/orig_fr30-08.jpg</t>
  </si>
  <si>
    <t>V-782</t>
  </si>
  <si>
    <t>Траверса Delta (под шток Ø25mm) "KOMATCU"</t>
  </si>
  <si>
    <t>https://b2beez.ru/images/detailed/187/6246884603.jpg</t>
  </si>
  <si>
    <t>Z-669</t>
  </si>
  <si>
    <t>Звезда трансмиссии ведущая (передняя) 420-15T, 17мм, Alpha, Delta, Active (сталь 45) "ACV"</t>
  </si>
  <si>
    <t>Z-670</t>
  </si>
  <si>
    <t>Звезда трансмиссии ведущая (передняя) 420-16T, 17мм, Alpha, Delta, Active (сталь 45) "ACV"</t>
  </si>
  <si>
    <t>https://b2beez.ru/images/detailed/204/Z-591-2_3ooh-f2.jpg</t>
  </si>
  <si>
    <t>Z-817</t>
  </si>
  <si>
    <t>Замок зажигания (комплект) Alpha, Delta (+крышка бака, стопор руля) "KOMATCU"</t>
  </si>
  <si>
    <t>B-439</t>
  </si>
  <si>
    <t>Крышка барабана тормозного (зад) Alpha, Delta "BEEZMOTO"</t>
  </si>
  <si>
    <t>https://b2beez.ru/images/detailed/154/orig_zjdr-c7.jpg</t>
  </si>
  <si>
    <t>C-1225</t>
  </si>
  <si>
    <t>Шпильки крепления задней звезды Active, Wave (+контршайбы) "MOZBA"</t>
  </si>
  <si>
    <t>https://b2beez.ru/images/detailed/155/6242949144.jpg</t>
  </si>
  <si>
    <t>C-1412</t>
  </si>
  <si>
    <t>Звезда трансмиссии (задняя) Delta 420-39T (сталь 45) "ACV"</t>
  </si>
  <si>
    <t>https://b2beez.ru/images/detailed/155/orig_bjc5-zm.jpg</t>
  </si>
  <si>
    <t>D-828</t>
  </si>
  <si>
    <t>Набор крепежа 139FMB Alpha, Delta 70 "MOZBA"</t>
  </si>
  <si>
    <t>https://b2beez.ru/images/detailed/160/6295553932.jpg</t>
  </si>
  <si>
    <t>G-1133</t>
  </si>
  <si>
    <t>Головка цилиндра Alpha, Delta 70 (Ø47) (в сборе) (d=20/23) 139FMB</t>
  </si>
  <si>
    <t>https://b2beez.ru/images/detailed/161/orig_8bo5-e8.jpg</t>
  </si>
  <si>
    <t>G-1570</t>
  </si>
  <si>
    <t>Головка цилиндра Honda WAVE 125 (в сборе) "BMB"</t>
  </si>
  <si>
    <t>https://b2beez.ru/images/detailed/161/6242641640.jpg</t>
  </si>
  <si>
    <t>G-1844</t>
  </si>
  <si>
    <t>Прокладка крышки маслоотделительной Delta (красная) "KOMATCU"</t>
  </si>
  <si>
    <t>https://b2beez.ru/images/detailed/161/6247178832.jpg</t>
  </si>
  <si>
    <t>G-1907</t>
  </si>
  <si>
    <t>Направляющие клапанов 139FMB Alpha, Delta 70 "SUNY"</t>
  </si>
  <si>
    <t>https://b2beez.ru/images/detailed/161/6241667249.jpg</t>
  </si>
  <si>
    <t>G-2807</t>
  </si>
  <si>
    <t>Крышка головки цилиндра (правая) 139FMB, 147FMH, 152FMI Alpha, Delta, KAYO, TTR "KOMATCU"</t>
  </si>
  <si>
    <t>G-436</t>
  </si>
  <si>
    <t>Крышка головки цилиндра (верхняя) 139FMB, 147FMH, 152FMI Alpha, Delta, KAYO "BEEZMOTO"</t>
  </si>
  <si>
    <t>https://b2beez.ru/images/detailed/162/6241667246.jpg</t>
  </si>
  <si>
    <t>K-100</t>
  </si>
  <si>
    <t>Кольца 150FMG Alpha, Delta 100 0,75 (Ø50,75) "KOSO"</t>
  </si>
  <si>
    <t>https://b2beez.ru/images/detailed/166/6224627810.jpg</t>
  </si>
  <si>
    <t>K-2609</t>
  </si>
  <si>
    <t>Ножка переключения передач Alpha, Delta "BEEZMOTO"</t>
  </si>
  <si>
    <t>https://b2beez.ru/images/detailed/204/K-2609-2_8uje-en.jpg</t>
  </si>
  <si>
    <t>K-347</t>
  </si>
  <si>
    <t>Кольца 139FMB Alpha, Delta 50 0,25 (Ø39,25) "KOSO"</t>
  </si>
  <si>
    <t>https://b2beez.ru/images/detailed/167/6224627810.jpg</t>
  </si>
  <si>
    <t>K-3649</t>
  </si>
  <si>
    <t>Щуп масла Alpha, Delta Ø19.0mm, L-62mm (желтый) "QHK"</t>
  </si>
  <si>
    <t>https://b2beez.ru/images/detailed/167/6242949496.jpg</t>
  </si>
  <si>
    <t>K-365</t>
  </si>
  <si>
    <t>Кольца 139FMB Alpha, Delta 90 0,25 (Ø47,25) "KOSO"</t>
  </si>
  <si>
    <t>https://b2beez.ru/images/detailed/167/6224627810_1f04-cd.jpg</t>
  </si>
  <si>
    <t>K-3650</t>
  </si>
  <si>
    <t>Щуп масла Alpha, Delta Ø19.0mm, L-62mm (синий) "QHK"</t>
  </si>
  <si>
    <t>https://b2beez.ru/images/detailed/167/6242949662.jpg</t>
  </si>
  <si>
    <t>K-3651</t>
  </si>
  <si>
    <t>Щуп масла Delta Ø19.0mm, L-62mm (красный) "QHK"</t>
  </si>
  <si>
    <t>https://b2beez.ru/images/detailed/167/6242948950.jpg</t>
  </si>
  <si>
    <t>K-3652</t>
  </si>
  <si>
    <t>Щуп масла Delta Ø19.0mm, L-62mm (зеленый) "QHK"</t>
  </si>
  <si>
    <t>https://b2beez.ru/images/detailed/167/6242949185.jpg</t>
  </si>
  <si>
    <t>K-367</t>
  </si>
  <si>
    <t>Кольца 139FMB Alpha, Delta 90 0,50 (Ø47,50) "KOSO"</t>
  </si>
  <si>
    <t>https://b2beez.ru/images/detailed/167/6224627810_6nx5-mc.jpg</t>
  </si>
  <si>
    <t>K-369</t>
  </si>
  <si>
    <t>Кольца 139FMB Alpha, Delta 90 0,75 (Ø47,75) "KOSO"</t>
  </si>
  <si>
    <t>https://b2beez.ru/images/detailed/167/6224627810_q6k1-tm.jpg</t>
  </si>
  <si>
    <t>K-371</t>
  </si>
  <si>
    <t>Кольца 139FMB Alpha, Delta 90 1,00 (Ø48,00) "KOSO"</t>
  </si>
  <si>
    <t>https://b2beez.ru/images/detailed/167/6224627810_s4r4-lt.jpg</t>
  </si>
  <si>
    <t>K-4000</t>
  </si>
  <si>
    <t>Кольца 139FMB Alpha, Delta 70 0,25 (Ø47,25) "TKT"</t>
  </si>
  <si>
    <t>https://b2beez.ru/images/detailed/167/6224627832_1pmh-w0.jpg</t>
  </si>
  <si>
    <t>K-4597</t>
  </si>
  <si>
    <t>Кольца 139FMB Alpha, Delta 70 0,25 (Ø47,25) "TOR"</t>
  </si>
  <si>
    <t>https://b2beez.ru/images/detailed/167/6224627964.jpg</t>
  </si>
  <si>
    <t>K-4599</t>
  </si>
  <si>
    <t>Кольца 152FMH Active, Alpha, Delta 110, GY6 125 0,25 (Ø52,65) "TOR"</t>
  </si>
  <si>
    <t>https://b2beez.ru/images/detailed/167/6224627964_p7bj-k7.jpg</t>
  </si>
  <si>
    <t>K-5282</t>
  </si>
  <si>
    <t>Поршень 139FMB Alpha, Delta 70 0,50 (Ø47,50) "KJT"</t>
  </si>
  <si>
    <t>https://b2beez.ru/images/detailed/203/1_jmez-px.jpg</t>
  </si>
  <si>
    <t>K-6102</t>
  </si>
  <si>
    <t>Крышка маслоотделительная 139FMB Alpha, Delta (115mm) "BEEZMOTO"</t>
  </si>
  <si>
    <t>https://b2beez.ru/images/detailed/168/orig_4zo0-w9.jpg</t>
  </si>
  <si>
    <t>K-98</t>
  </si>
  <si>
    <t>Кольца 150FMG Alpha, Delta 100 0,25 (Ø50,25) "KOSO"</t>
  </si>
  <si>
    <t>https://b2beez.ru/images/detailed/169/6224627810_0o55-et.jpg</t>
  </si>
  <si>
    <t>K-99</t>
  </si>
  <si>
    <t>Кольца 150FMG Alpha, Delta 100 0,50 (Ø50,50) "KOSO"</t>
  </si>
  <si>
    <t>https://b2beez.ru/images/detailed/169/6224627810_x5tg-uk.jpg</t>
  </si>
  <si>
    <t>M-490</t>
  </si>
  <si>
    <t>Привод маслонасоса Alpha, Delta, TTR "KOMATCU"</t>
  </si>
  <si>
    <t>https://b2beez.ru/images/detailed/169/6830327928.jpg</t>
  </si>
  <si>
    <t>N-175</t>
  </si>
  <si>
    <t>Пружина возвратная ножки кикстартера Alpha, Delta</t>
  </si>
  <si>
    <t>https://b2beez.ru/images/detailed/204/N-175.jpg</t>
  </si>
  <si>
    <t>O-1046</t>
  </si>
  <si>
    <t>Стекло фары Delta (квадратное) "KOMATCU"</t>
  </si>
  <si>
    <t>https://b2beez.ru/images/detailed/171/6243370148.jpg</t>
  </si>
  <si>
    <t>O-1958</t>
  </si>
  <si>
    <t>Втулка заднего колеса Alpha, Delta (57mm) "BEEZMOTO"</t>
  </si>
  <si>
    <t>https://b2beez.ru/images/detailed/172/orig_gctb-ds.jpg</t>
  </si>
  <si>
    <t>P-102</t>
  </si>
  <si>
    <t>Поршень 139FMB Alpha, Delta 90 0,75 (Ø47,75, 1P47FMF-B) "TNT"</t>
  </si>
  <si>
    <t>https://b2beez.ru/images/detailed/172/6242948054_iytw-bz.jpg</t>
  </si>
  <si>
    <t>P-104</t>
  </si>
  <si>
    <t>Поршень 139FMB Alpha, Delta 90 1,00 (Ø48,00, 1P47FMF-B) "TNT"</t>
  </si>
  <si>
    <t>https://b2beez.ru/images/detailed/172/6242948054_k2d1-gh.jpg</t>
  </si>
  <si>
    <t>P-2125</t>
  </si>
  <si>
    <t>Пластик Active, Wave панели приборов (синий) "KOMATCU"</t>
  </si>
  <si>
    <t>https://b2beez.ru/images/detailed/173/6741830145.jpg</t>
  </si>
  <si>
    <t>P-2128</t>
  </si>
  <si>
    <t>Накладки на спицы колес 21/19, 21/18 (72шт) черные</t>
  </si>
  <si>
    <t>https://b2beez.ru/images/detailed/173/orig_l4xw-33.jpg</t>
  </si>
  <si>
    <t>P-2164</t>
  </si>
  <si>
    <t>Пластик Active, Wave накладки на перья (красные) "KOMATCU"</t>
  </si>
  <si>
    <t>https://b2beez.ru/images/detailed/173/orig_m0qw-p1.jpg</t>
  </si>
  <si>
    <t>P-2166</t>
  </si>
  <si>
    <t>Пластик Active, Wave накладки на перья (черные) "KOMATCU"</t>
  </si>
  <si>
    <t>https://b2beez.ru/images/detailed/173/orig_tgo1-23.jpg</t>
  </si>
  <si>
    <t>P-3541</t>
  </si>
  <si>
    <t>Болт крепления рычага натяжителя цепи Alpha, Delta 70 (d-8mm, L-25mm) "BEEZMOTO"</t>
  </si>
  <si>
    <t>https://b2beez.ru/images/detailed/173/orig_xiap-41.jpg</t>
  </si>
  <si>
    <t>P-3816</t>
  </si>
  <si>
    <t>Крышка маслоотделительная 139FMB Alpha, Delta (115mm, +прокладка, сальник) "BEEZMOTO"</t>
  </si>
  <si>
    <t>https://b2beez.ru/images/detailed/173/orig_z2ps-jy.jpg</t>
  </si>
  <si>
    <t>P-4648</t>
  </si>
  <si>
    <t>Резинка натяжителя цепи ГРМ Delta (черная) "ZR"</t>
  </si>
  <si>
    <t>https://b2beez.ru/images/detailed/174/6242948661.jpg</t>
  </si>
  <si>
    <t>P-4650</t>
  </si>
  <si>
    <t>Прокладка крышки маслоотделительной Delta "ZR"</t>
  </si>
  <si>
    <t>https://b2beez.ru/images/detailed/174/6242948045.jpg</t>
  </si>
  <si>
    <t>P-4680</t>
  </si>
  <si>
    <t>Резинка натяжителя цепи ГРМ Delta (коричневая) "ZR"</t>
  </si>
  <si>
    <t>https://b2beez.ru/images/detailed/174/6242949376.jpg</t>
  </si>
  <si>
    <t>008727</t>
  </si>
  <si>
    <t>Прокладки цилиндра 139FMB Alpha, Delta 70 Ø47mm "LIPAI"</t>
  </si>
  <si>
    <t>https://b2beez.ru/images/detailed/47/6242948322.jpg</t>
  </si>
  <si>
    <t>P-70</t>
  </si>
  <si>
    <t>Поршень Active 110 0,50 (Ø52,90, 152FMH) "TNT"</t>
  </si>
  <si>
    <t>https://b2beez.ru/images/detailed/175/6242948101.jpg</t>
  </si>
  <si>
    <t>P-91</t>
  </si>
  <si>
    <t>Поршень 139FMB Alpha, Delta 70 0,75 (Ø47,75) "TNT"</t>
  </si>
  <si>
    <t>https://b2beez.ru/images/detailed/175/6246915490.jpg</t>
  </si>
  <si>
    <t>P-93</t>
  </si>
  <si>
    <t>Поршень 139FMB Alpha, Delta 70 1,00 (Ø48,00) "TNT"</t>
  </si>
  <si>
    <t>https://b2beez.ru/images/detailed/175/6242948054.jpg</t>
  </si>
  <si>
    <t>R-1960</t>
  </si>
  <si>
    <t>Резинки подножек водителя Alpha, Delta (желтые) "BEEZMOTO"</t>
  </si>
  <si>
    <t>https://b2beez.ru/images/detailed/176/6242948662.jpg</t>
  </si>
  <si>
    <t>R-1961</t>
  </si>
  <si>
    <t>Резинки подножек водителя Alpha, Delta (зеленые) "BEEZMOTO"</t>
  </si>
  <si>
    <t>https://b2beez.ru/images/detailed/176/6242949015.jpg</t>
  </si>
  <si>
    <t>R-1962</t>
  </si>
  <si>
    <t>Резинки подножек водителя Alpha, Delta (красные) "BEEZMOTO"</t>
  </si>
  <si>
    <t>https://b2beez.ru/images/detailed/176/6242949369.jpg</t>
  </si>
  <si>
    <t>R-1966</t>
  </si>
  <si>
    <t>Пыльники резиновые на ручки выжимные (универсальные, зеленые) "XJB"</t>
  </si>
  <si>
    <t>https://b2beez.ru/images/detailed/176/6243370266.jpg</t>
  </si>
  <si>
    <t>R-1967</t>
  </si>
  <si>
    <t>Пыльники резиновые на ручки выжимные (универсальные, красные) "XJB"</t>
  </si>
  <si>
    <t>https://b2beez.ru/images/detailed/176/6242948757.jpg</t>
  </si>
  <si>
    <t>R-2315</t>
  </si>
  <si>
    <t>Рычаг включения сцепления Alpha, Delta "KOMATCU"</t>
  </si>
  <si>
    <t>https://b2beez.ru/images/detailed/177/6242948879.jpg</t>
  </si>
  <si>
    <t>V-1399</t>
  </si>
  <si>
    <t>Поршневая (ЦПГ) Honda WAVE 125 (в сборе) "BMB"</t>
  </si>
  <si>
    <t>https://b2beez.ru/images/detailed/185/orig_mr16-28.jpg</t>
  </si>
  <si>
    <t>V-1504</t>
  </si>
  <si>
    <t>Поршневая (ЦПГ) Honda WAVE 125 (Ø52.4, p-13) "GONGYU"</t>
  </si>
  <si>
    <t>https://b2beez.ru/images/detailed/185/orig_xk7p-h0.jpg</t>
  </si>
  <si>
    <t>V-1518</t>
  </si>
  <si>
    <t>Поршневая (ЦПГ) Alpha, Delta 100 (Ø50) (алюминиевые ребра, посадочный Ø54,3) 150FMG "GONGYU"</t>
  </si>
  <si>
    <t>https://b2beez.ru/images/detailed/185/orig_u9ol-ci.jpg</t>
  </si>
  <si>
    <t>V-1602</t>
  </si>
  <si>
    <t>Вилка маятника задняя Active,Wave</t>
  </si>
  <si>
    <t>https://b2beez.ru/images/detailed/185/orig_kohf-f0.jpg</t>
  </si>
  <si>
    <t>Z-602</t>
  </si>
  <si>
    <t>Звезды трансмиссии (комплект) Delta 420-14T + 420-41T "BEEZMOTO"</t>
  </si>
  <si>
    <t>https://b2beez.ru/images/detailed/204/Z-602-2_c8gs-mp.jpg</t>
  </si>
  <si>
    <t>Z-638</t>
  </si>
  <si>
    <t>Звезда трансмиссии (задняя) Delta 420-38T "TMMP"</t>
  </si>
  <si>
    <t>https://b2beez.ru/images/detailed/204/Z-638-2.jpg</t>
  </si>
  <si>
    <t>C-1676</t>
  </si>
  <si>
    <t>Звезда трансмиссии (задняя) Delta 428-39T "X-SPROCKET"</t>
  </si>
  <si>
    <t>https://b2beez.ru/images/detailed/155/orig_1nf6-q1.jpg</t>
  </si>
  <si>
    <t>B-957</t>
  </si>
  <si>
    <t>Блоки кнопок руля (пара) Active (черные) "BEEZMOTO"</t>
  </si>
  <si>
    <t>https://b2beez.ru/images/detailed/154/7090240155.jpg</t>
  </si>
  <si>
    <t>K-3425</t>
  </si>
  <si>
    <t>Щуп масла Delta Ø19.0mm, L-75mm (+датчик температуры) (оранжевый) "KOMATCU"</t>
  </si>
  <si>
    <t>https://b2beez.ru/images/detailed/167/6242949231.jpg</t>
  </si>
  <si>
    <t>K-6922</t>
  </si>
  <si>
    <t>Кольца 139FMB Alpha, Delta 70 0,25 (Ø47,25) "SUNY" (mod.A)</t>
  </si>
  <si>
    <t>https://b2beez.ru/images/detailed/168/6241667242.jpg</t>
  </si>
  <si>
    <t>K-3426</t>
  </si>
  <si>
    <t>Щуп масла Delta Ø19.0mm, L-75mm (+датчик температуры) (серебристый) "KOMATCU"</t>
  </si>
  <si>
    <t>https://b2beez.ru/images/detailed/167/6246910102.jpg</t>
  </si>
  <si>
    <t>V-1815</t>
  </si>
  <si>
    <t>Прокладка карбюратора Alpha (поддона) "ZR"</t>
  </si>
  <si>
    <t>https://b2beez.ru/images/detailed/186/6242948079.jpg</t>
  </si>
  <si>
    <t>V-1816</t>
  </si>
  <si>
    <t>Прокладка карбюратора Delta (поддона) "ZR"</t>
  </si>
  <si>
    <t>https://b2beez.ru/images/detailed/186/6242948225.jpg</t>
  </si>
  <si>
    <t>C-1472</t>
  </si>
  <si>
    <t>Солнцезащитный экран для сиденья Active (730*280mm) "SOFT SEAT"</t>
  </si>
  <si>
    <t>https://b2beez.ru/images/detailed/155/6242948653.jpg</t>
  </si>
  <si>
    <t>R-1099</t>
  </si>
  <si>
    <t>Руль TTR, KAYO (черный, с распоркой +поролон) (L-740mm, H-180mm, d-22.3mm) "PROTAPER"</t>
  </si>
  <si>
    <t>https://b2beez.ru/images/detailed/176/orig_58gf-6w.jpg</t>
  </si>
  <si>
    <t>S-1825</t>
  </si>
  <si>
    <t>Подшипник заднего колеса 6301-ZZ 12*37*12 (Delta, ред-р 4T CH250) (Япония) "KOY"</t>
  </si>
  <si>
    <t>https://b2beez.ru/images/detailed/179/6246937112.jpg</t>
  </si>
  <si>
    <t>C-1469</t>
  </si>
  <si>
    <t>Солнцезащитный экран для сиденья Alpha, CG (635*275mm) "SOFT SEAT"</t>
  </si>
  <si>
    <t>https://b2beez.ru/images/detailed/155/6242949405.jpg</t>
  </si>
  <si>
    <t>S-2924</t>
  </si>
  <si>
    <t>Подшипник переднего колеса 6300-2RS 10*35*11 (Delta) "NSK"</t>
  </si>
  <si>
    <t>https://b2beez.ru/images/detailed/179/6242948088.jpg</t>
  </si>
  <si>
    <t>O-766</t>
  </si>
  <si>
    <t>Фара (в сборе) Delta (квадратная) "BEEZMOTO"</t>
  </si>
  <si>
    <t>https://b2beez.ru/images/detailed/172/orig_a1x2-fh.jpg</t>
  </si>
  <si>
    <t>S-9731</t>
  </si>
  <si>
    <t>Сальник кикстартера Alpha, Delta (13,7*24*5) "KOMATCU"</t>
  </si>
  <si>
    <t>https://b2beez.ru/images/detailed/182/orig_ex8n-eo.jpg</t>
  </si>
  <si>
    <t>V-865</t>
  </si>
  <si>
    <t>Гайка стопорная траверсы Alpha, Delta "BEEZMOTO"</t>
  </si>
  <si>
    <t>https://b2beez.ru/images/detailed/187/6787018707.jpg</t>
  </si>
  <si>
    <t>G-1138</t>
  </si>
  <si>
    <t>Головка цилиндра Alpha, Delta 70 (Ø47) (в сборе) (d=20/23) 139FMB "BEEZMOTO"</t>
  </si>
  <si>
    <t>https://b2beez.ru/images/detailed/161/orig_db1u-7e.jpg</t>
  </si>
  <si>
    <t>G-1575</t>
  </si>
  <si>
    <t>Головка цилиндра Alpha, Delta, TTR 125 (в сборе) (Ø54) (d=23/28) 154FMI черная "BEEZMOTO"</t>
  </si>
  <si>
    <t>https://b2beez.ru/images/detailed/161/orig_e2t9-15.jpg</t>
  </si>
  <si>
    <t>G-1578</t>
  </si>
  <si>
    <t>Головка цилиндра Alpha, Delta, TTR 125 (в сборе) (Ø54) (d=23/27) 154FMI "BEEZMOTO"</t>
  </si>
  <si>
    <t>https://b2beez.ru/images/detailed/161/6787001904.jpg</t>
  </si>
  <si>
    <t>V-2618</t>
  </si>
  <si>
    <t>Двигатель Alpha, Delta 110cc (МКПП 152FMH) "BEEZMOTO"</t>
  </si>
  <si>
    <t>https://b2beez.ru/images/detailed/186/orig_nuhw-q9.jpg</t>
  </si>
  <si>
    <t>C-5435</t>
  </si>
  <si>
    <t>Двигатель Alpha, Delta 100cc (МКПП 150FMG, 20081555 ) "BEEZMOTO"</t>
  </si>
  <si>
    <t>https://b2beez.ru/images/detailed/156/6861973202.jpg</t>
  </si>
  <si>
    <t>V-2685</t>
  </si>
  <si>
    <t>Двигатель Alpha, Delta 125cc (МКПП 152FMH, черный) "BEEZMOTO"</t>
  </si>
  <si>
    <t>https://b2beez.ru/images/detailed/186/orig_54nt-lo.jpg</t>
  </si>
  <si>
    <t>008593</t>
  </si>
  <si>
    <t>Концевой выключатель педали заднего тормоза Alpha, Delta (+пружина) "BEEZMOTO"</t>
  </si>
  <si>
    <t>https://b2beez.ru/images/detailed/47/orig_xqh2-tz.jpg</t>
  </si>
  <si>
    <t>G-1556</t>
  </si>
  <si>
    <t>Головка цилиндра Alpha, Delta, TTR 125 (в сборе) (Ø54) (d=20/23) 154FMI черная "KOMATCU"</t>
  </si>
  <si>
    <t>https://b2beez.ru/images/detailed/161/6830597841.jpg</t>
  </si>
  <si>
    <t>V-8612</t>
  </si>
  <si>
    <t>Гофры передней вилки (пара) Alpha, Delta (черный, с хомутами) "KOMATCU"</t>
  </si>
  <si>
    <t>https://b2beez.ru/images/detailed/187/orig_huvw-qy.jpg</t>
  </si>
  <si>
    <t>G-85</t>
  </si>
  <si>
    <t>Магнето (в сборе) 139FMB Alpha, Delta (1+1 катушек) "BEEZMOTO"</t>
  </si>
  <si>
    <t>https://b2beez.ru/images/detailed/204/G-85-2_lldg-9d.jpg</t>
  </si>
  <si>
    <t>G-89</t>
  </si>
  <si>
    <t>Магнето (в сборе) Alpha, Delta (5+1 катушек) "BEEZMOTO"</t>
  </si>
  <si>
    <t>https://b2beez.ru/images/detailed/162/orig_3c3n-ho.jpg</t>
  </si>
  <si>
    <t>B-218</t>
  </si>
  <si>
    <t>Бак топливный Delta (синий) "KOMATCU"</t>
  </si>
  <si>
    <t>https://b2beez.ru/images/detailed/154/6241667142.jpg</t>
  </si>
  <si>
    <t>B-219</t>
  </si>
  <si>
    <t>Бак топливный Delta (чёрный) "KOMATCU"</t>
  </si>
  <si>
    <t>https://b2beez.ru/images/detailed/154/6241667063.jpg</t>
  </si>
  <si>
    <t>K-3711</t>
  </si>
  <si>
    <t>Коленвал Alpha, Delta 70 139FMB, 147FMH (под сепаратор 13mm) "LIPAI"</t>
  </si>
  <si>
    <t>https://b2beez.ru/images/detailed/167/orig_3psg-yh.jpg</t>
  </si>
  <si>
    <t>Z-9874</t>
  </si>
  <si>
    <t>Сиденье Alpha "BEEZMOTO"</t>
  </si>
  <si>
    <t>Z-7510</t>
  </si>
  <si>
    <t>Звезда трансмиссии (задняя) Delta 428-38T "BEEZMOTO"</t>
  </si>
  <si>
    <t>https://b2beez.ru/images/detailed/204/Z-7510.jpg</t>
  </si>
  <si>
    <t>Электростартер Alpha, Activ 110, Delta, TTR125 (152FMH) (нижний) покрыт цинком "BEEZMOTO"</t>
  </si>
  <si>
    <t>https://b2beez.ru/images/detailed/48/6295554006.jpg</t>
  </si>
  <si>
    <t>N-9465</t>
  </si>
  <si>
    <t>Ножка кикстартера KAYO/TTR 125/140 (черная) "BEEZMOTO"</t>
  </si>
  <si>
    <t>https://b2beez.ru/images/detailed/171/6911116425.jpg</t>
  </si>
  <si>
    <t>R-7771</t>
  </si>
  <si>
    <t>Рычаг руля левый TTR-125, KAYO (с креплением, откидной, черный) "BEEZMOTO"</t>
  </si>
  <si>
    <t>https://b2beez.ru/images/detailed/178/orig_6pqx-j7.jpg</t>
  </si>
  <si>
    <t>V-849</t>
  </si>
  <si>
    <t>Траверса Alpha (под шток Ø27mm) "BEEZMOTO"</t>
  </si>
  <si>
    <t>https://b2beez.ru/images/detailed/187/orig_wlof-yv.jpg</t>
  </si>
  <si>
    <t>K-6315</t>
  </si>
  <si>
    <t>Вал переключения передач Alpha, Delta (L-162mm) 139FMB, 152FMH "JH"</t>
  </si>
  <si>
    <t>https://b2beez.ru/images/detailed/168/orig_krd3-ly.jpg</t>
  </si>
  <si>
    <t>C-694</t>
  </si>
  <si>
    <t>Кожух цепи трансмиссии Alpha, Delta (серый) "KOMATCU"</t>
  </si>
  <si>
    <t>https://b2beez.ru/images/detailed/156/orig_xu9s-ew.jpg</t>
  </si>
  <si>
    <t>C-589</t>
  </si>
  <si>
    <t>Поршневая (ЦПГ) Alpha, Delta 100 (Ø50) (гильза H-95; цилиндр H-69) 139FMB "TMMP"</t>
  </si>
  <si>
    <t>https://b2beez.ru/images/detailed/156/orig_f06n-vv.jpg</t>
  </si>
  <si>
    <t>C-615</t>
  </si>
  <si>
    <t>Головка цилиндра ДЫРЧИК "TMMP"</t>
  </si>
  <si>
    <t>https://b2beez.ru/images/detailed/156/6241667082.jpg</t>
  </si>
  <si>
    <t>C-1299</t>
  </si>
  <si>
    <t>Крышка звезды ведущей Alpha, Delta, Active "BEEZMOTO"</t>
  </si>
  <si>
    <t>https://b2beez.ru/images/detailed/155/orig_3q45-dg.jpg</t>
  </si>
  <si>
    <t>C-1378</t>
  </si>
  <si>
    <t>Ручка газа Alpha, Delta (+вставка) "TMMP"</t>
  </si>
  <si>
    <t>https://b2beez.ru/images/detailed/155/6417447889.jpg</t>
  </si>
  <si>
    <t>R-1026</t>
  </si>
  <si>
    <t>Ручка газа Alpha, Delta (+вставка) "BEEZMOTO"</t>
  </si>
  <si>
    <t>https://b2beez.ru/images/detailed/176/7181115591.jpg</t>
  </si>
  <si>
    <t>D-7120</t>
  </si>
  <si>
    <t>Пластик TTR-125 (полный комплект) бело-черный</t>
  </si>
  <si>
    <t>https://b2beez.ru/images/detailed/159/orig_h0vg-d2.jpg</t>
  </si>
  <si>
    <t>V-0125</t>
  </si>
  <si>
    <t>Вал переключения передач Alpha, Delta (L-162mm) 139FMB, 152FMH "BEEZMOTO"</t>
  </si>
  <si>
    <t>https://b2beez.ru/images/detailed/184/orig_6qsw-rx.jpg</t>
  </si>
  <si>
    <t>Z-0146</t>
  </si>
  <si>
    <t>Звезда трансмиссии ведущая (передняя) 428-14T, 17мм, Alpha, Delta, Active "BEEZMOTO"</t>
  </si>
  <si>
    <t>https://b2beez.ru/images/detailed/187/orig_315m-sj.jpg</t>
  </si>
  <si>
    <t>K-2148</t>
  </si>
  <si>
    <t>Карбюратор Alpha, ATV, Delta, TTR PZ16 "BEEZMOTO"</t>
  </si>
  <si>
    <t>https://b2beez.ru/images/detailed/204/1_65qt-9k.jpg</t>
  </si>
  <si>
    <t>K-3566</t>
  </si>
  <si>
    <t>Блок кнопок руля (правый) TTR 125/150 "BEEZMOTO"</t>
  </si>
  <si>
    <t>https://b2beez.ru/images/detailed/167/6787000409.jpg</t>
  </si>
  <si>
    <t>A-33</t>
  </si>
  <si>
    <t>Амортизаторы (пара) Alpha, Delta 340mm, газомасляные (черные) "NDT"</t>
  </si>
  <si>
    <t>https://b2beez.ru/images/detailed/153/orig_tf8t-lq.jpg</t>
  </si>
  <si>
    <t>G-2647</t>
  </si>
  <si>
    <t>Болт крепления крышки звезды распредвала Alpha, Delta 125 (L-116mm, d-6mm) 154FMI "BEEZMOTO"</t>
  </si>
  <si>
    <t>https://b2beez.ru/images/detailed/162/orig_riqp-4q.jpg</t>
  </si>
  <si>
    <t>P-2755</t>
  </si>
  <si>
    <t>Прокладки двигателя резиновые 139FMB Alpha, Delta 70 "BEEZMOTO"</t>
  </si>
  <si>
    <t>https://b2beez.ru/images/detailed/173/orig_ftj6-h8.jpg</t>
  </si>
  <si>
    <t>P-67</t>
  </si>
  <si>
    <t>Поршень 152FMH Active, Wave 110 0,25 (Ø52,65, 152FMH) "TNT"</t>
  </si>
  <si>
    <t>https://b2beez.ru/images/detailed/204/1_5aun-e8.jpg</t>
  </si>
  <si>
    <t>R-2369</t>
  </si>
  <si>
    <t>Рычаг включения сцепления Alpha, Delta "SUNY"</t>
  </si>
  <si>
    <t>https://b2beez.ru/images/detailed/177/6242948870.jpg</t>
  </si>
  <si>
    <t>C-1674</t>
  </si>
  <si>
    <t>Звезда трансмиссии (задняя) Delta 428-42T "X-SPROCKET" (mod A)</t>
  </si>
  <si>
    <t>https://b2beez.ru/images/detailed/155/orig_m6xm-at.jpg</t>
  </si>
  <si>
    <t>На мотоциклы (зарубежные)</t>
  </si>
  <si>
    <t>G-0279</t>
  </si>
  <si>
    <t>Клапаны (пара, голые) 4T CG200 (L-90mm) "BEEZMOTO"</t>
  </si>
  <si>
    <t>https://b2beez.ru/images/detailed/161/6717474885.jpg</t>
  </si>
  <si>
    <t>Z-998</t>
  </si>
  <si>
    <t>Замок зажигания (комплект) TTR250Rb (полный комплект, +крышка бака) "BEEZMOTO"</t>
  </si>
  <si>
    <t>https://b2beez.ru/images/detailed/204/Z-998.jpg</t>
  </si>
  <si>
    <t>C-405</t>
  </si>
  <si>
    <t>Резинка демпферная Suzuki AX100 (18" колесо, силикон) "KOMATCU"</t>
  </si>
  <si>
    <t>https://b2beez.ru/images/detailed/156/6243482530.jpg</t>
  </si>
  <si>
    <t>B-9991</t>
  </si>
  <si>
    <t>Кран топливный Yamaha YB100 "BEEZMOTO"</t>
  </si>
  <si>
    <t>https://b2beez.ru/images/detailed/154/6843718450.jpg</t>
  </si>
  <si>
    <t>S-2379</t>
  </si>
  <si>
    <t>Съемник магнита генератора (ротора) CB/CG 125 (каленый) "KOMATCU"</t>
  </si>
  <si>
    <t>https://b2beez.ru/images/detailed/179/orig_0gat-0g.jpg</t>
  </si>
  <si>
    <t>G-373</t>
  </si>
  <si>
    <t>Клапаны (пара, голые) 4T CB200 (L-92mm) "OMEZURI"</t>
  </si>
  <si>
    <t>https://b2beez.ru/images/detailed/162/orig_753c-rj.jpg</t>
  </si>
  <si>
    <t>G-7462</t>
  </si>
  <si>
    <t>Магнит генератора (ротор) 4T CG125/150 (+обгонная муфта) "Xuan Koo"</t>
  </si>
  <si>
    <t>https://b2beez.ru/images/detailed/162/6901585970.jpg</t>
  </si>
  <si>
    <t>C-1540</t>
  </si>
  <si>
    <t>Цепь трансмиссии 530-118L Honda, Suzuki, Yamaha, Kawasaki "DID"</t>
  </si>
  <si>
    <t>https://b2beez.ru/images/detailed/155/6243482583.jpg</t>
  </si>
  <si>
    <t>V-1530</t>
  </si>
  <si>
    <t>Поршневая (ЦПГ) 4T CB250 (Ø65.5, p--15. h-81.5) "BEEZMOTO"</t>
  </si>
  <si>
    <t>https://b2beez.ru/images/detailed/185/7154790658.jpg</t>
  </si>
  <si>
    <t>V-2289</t>
  </si>
  <si>
    <t>Поршень 4T CB/CG Ø69,00mm, p-17 (200/250cc STD:169FML, 169MM) "BEEZMOTO"</t>
  </si>
  <si>
    <t>https://b2beez.ru/images/detailed/186/orig_5hbf-fn.jpg</t>
  </si>
  <si>
    <t>G-1564</t>
  </si>
  <si>
    <t>Статор генератора Yamaha YBR125 (8 катушек) "KOMATCU"</t>
  </si>
  <si>
    <t>https://b2beez.ru/images/detailed/161/orig_4gb9-62.jpg</t>
  </si>
  <si>
    <t>S-2756</t>
  </si>
  <si>
    <t>Сиденье Yamaha YBR125 "BEEZMOTO"</t>
  </si>
  <si>
    <t>https://b2beez.ru/images/detailed/179/6983198662.jpg</t>
  </si>
  <si>
    <t>K-1745</t>
  </si>
  <si>
    <t>Коленвал Yamaha YBR125 "KOMATCU"</t>
  </si>
  <si>
    <t>https://b2beez.ru/images/detailed/166/orig_8ukw-1h.jpg</t>
  </si>
  <si>
    <t>O-0996</t>
  </si>
  <si>
    <t>Крепление фары (кронштейн) Yamaha YBR125 (2009г.+) "KOMATCU"</t>
  </si>
  <si>
    <t>https://b2beez.ru/images/detailed/171/orig_5gu2-65.jpg</t>
  </si>
  <si>
    <t>V-1749</t>
  </si>
  <si>
    <t>Патрубок воздушного фильтра Yamaha YBR125 (черный) "BEEZMOTO"</t>
  </si>
  <si>
    <t>https://b2beez.ru/images/detailed/186/orig_aukj-4d.jpg</t>
  </si>
  <si>
    <t>P-5429</t>
  </si>
  <si>
    <t>Повороты Yamaha YBR125 (передние, пара) "KOMATCU"</t>
  </si>
  <si>
    <t>https://b2beez.ru/images/detailed/174/orig_b0u4-ud.jpg</t>
  </si>
  <si>
    <t>P-7694</t>
  </si>
  <si>
    <t>Пластик Yamaha YBR125 накладки на бак (красные) "KOMATCU"</t>
  </si>
  <si>
    <t>https://b2beez.ru/images/detailed/175/6923481828.jpg</t>
  </si>
  <si>
    <t>Ручки газа короткоходные ATV, CB/CG 125-250 (Ø22mm, 7/8) (+вставка, трос) "BEEZMOTO"</t>
  </si>
  <si>
    <t>https://b2beez.ru/images/detailed/48/orig_qxka-uj.jpg</t>
  </si>
  <si>
    <t>01001677</t>
  </si>
  <si>
    <t>Двигатель 4T CG150 (162FMJ) "BEEZMOTO"</t>
  </si>
  <si>
    <t>https://b2beez.ru/images/detailed/204/0100_1677.jpg</t>
  </si>
  <si>
    <t>Коленвал 4T CB125/150 (под сепаратор 14mm) "HY"</t>
  </si>
  <si>
    <t>https://b2beez.ru/images/detailed/48/orig_w86x-d8.jpg</t>
  </si>
  <si>
    <t>P-2344</t>
  </si>
  <si>
    <t>Поршень 4T CB250, KAYO, Lifan .STD (Ø65.5, р-15) (в сборе) "Xuan Koo"</t>
  </si>
  <si>
    <t>https://b2beez.ru/images/detailed/173/orig_vxpw-mq.jpg</t>
  </si>
  <si>
    <t>S-5656</t>
  </si>
  <si>
    <t>Диски сцепления (в сборе) 4T CG150 (6 болтов) (диски, пружины, столик) (расширенная) "Xuan Koo"</t>
  </si>
  <si>
    <t>https://b2beez.ru/images/detailed/181/6861999459.jpg</t>
  </si>
  <si>
    <t>S-4248</t>
  </si>
  <si>
    <t>Сепаратор маховика 4T CG200 "BEEZMOTO"</t>
  </si>
  <si>
    <t>https://b2beez.ru/images/detailed/181/6861996014.jpg</t>
  </si>
  <si>
    <t>G-087</t>
  </si>
  <si>
    <t>Успокоитель цепи ГРМ (комплект) 4T CB250 "BEEZMOTO"</t>
  </si>
  <si>
    <t>https://b2beez.ru/images/detailed/161/orig_dcun-t6.jpg</t>
  </si>
  <si>
    <t>N-3801</t>
  </si>
  <si>
    <t>Фильтр масляный для Kawasaki, Suzuki, ATV (Ø43, h-40) (HF 139, KY-A-114) "BEEZMOTO"</t>
  </si>
  <si>
    <t>https://b2beez.ru/images/detailed/171/6824406794.jpg</t>
  </si>
  <si>
    <t>R-2530</t>
  </si>
  <si>
    <t>Ручка газа короткоходная (тюнинг) (желтая) RIDE IT</t>
  </si>
  <si>
    <t>https://b2beez.ru/images/detailed/177/6243482688.jpg</t>
  </si>
  <si>
    <t>P-5926</t>
  </si>
  <si>
    <t>Пластик Yamaha YBR125 боковой синий "BEEZMOTO"</t>
  </si>
  <si>
    <t>https://b2beez.ru/images/detailed/174/orig_f6xm-w4.jpg</t>
  </si>
  <si>
    <t>P-7695</t>
  </si>
  <si>
    <t>Пластик Yamaha YBR125 накладки на бак (синие) "KOMATCU"</t>
  </si>
  <si>
    <t>https://b2beez.ru/images/detailed/175/6924168567.jpg</t>
  </si>
  <si>
    <t>C-5131</t>
  </si>
  <si>
    <t>Звезда трансмиссии (задняя) KAYO SUPER Т2 520-41T (сталь 45) (выпуклая) "BEEZMOTO"</t>
  </si>
  <si>
    <t>https://b2beez.ru/images/detailed/156/orig_nqzr-ek.jpg</t>
  </si>
  <si>
    <t>O-9009</t>
  </si>
  <si>
    <t>Крепление фары (кронштейн) Yamaha YBR125 (2005-2008г.) "KOMATCU"</t>
  </si>
  <si>
    <t>https://b2beez.ru/images/detailed/204/O-9009-2.jpg</t>
  </si>
  <si>
    <t>V-1365</t>
  </si>
  <si>
    <t>Поршневая (ЦПГ) Yamaha YBR125 (Ø54 OHC) "KOMATCU"</t>
  </si>
  <si>
    <t>https://b2beez.ru/images/detailed/185/orig.jpg</t>
  </si>
  <si>
    <t>K-9456</t>
  </si>
  <si>
    <t>Крышка звезды передней 4T CG/CB 125/250 "BEEZMOTO"</t>
  </si>
  <si>
    <t>https://b2beez.ru/images/detailed/169/7131303515.jpg</t>
  </si>
  <si>
    <t>C-2015</t>
  </si>
  <si>
    <t>Резинка демпферная Yamaha YBR125 "BEEZMOTO"</t>
  </si>
  <si>
    <t>https://b2beez.ru/images/detailed/155/orig_3uts-05.jpg</t>
  </si>
  <si>
    <t>R-3185</t>
  </si>
  <si>
    <t>Реле зарядки Viper F5 (4 проводов) "KOMATCU" (mod.A)</t>
  </si>
  <si>
    <t>https://b2beez.ru/images/detailed/177/orig_hw6m-xb.jpg</t>
  </si>
  <si>
    <t>K-8843</t>
  </si>
  <si>
    <t>Карбюратор PWK 26 (чёрный) "BEEZMOTO"</t>
  </si>
  <si>
    <t>https://b2beez.ru/images/detailed/169/orig_8at4-6w.jpg</t>
  </si>
  <si>
    <t>K-2195</t>
  </si>
  <si>
    <t>Карбюратор PWK 28 (чёрный) "BEEZMOTO"</t>
  </si>
  <si>
    <t>https://b2beez.ru/images/detailed/166/orig_vc9z-ko.jpg</t>
  </si>
  <si>
    <t>R-2099</t>
  </si>
  <si>
    <t>Руль TTR-250а (с распоркой, черный) (L-785mm, H-75mm, d-22mm) "KOMATCU"</t>
  </si>
  <si>
    <t>https://b2beez.ru/images/detailed/176/orig_izvv-u7.jpg</t>
  </si>
  <si>
    <t>G-805</t>
  </si>
  <si>
    <t>Успокоитель цепи ГРМ (комплект) 4T CB125/150 (OHC) "KOMATCU" (mod.2)</t>
  </si>
  <si>
    <t>https://b2beez.ru/images/detailed/162/6242949561.jpg</t>
  </si>
  <si>
    <t>C-2343</t>
  </si>
  <si>
    <t>Болты крепления задней звезды 4T CG150 (+контршайбы, сайлентблок 17*24*9) "BEEZMOTO"</t>
  </si>
  <si>
    <t>https://b2beez.ru/images/detailed/156/orig_z4bt-ip.jpg</t>
  </si>
  <si>
    <t>K-418</t>
  </si>
  <si>
    <t>Вал переключения передач 4T CB125/150 "BEEZMOTO"</t>
  </si>
  <si>
    <t>https://b2beez.ru/images/detailed/167/orig_q3pb-sm.jpg</t>
  </si>
  <si>
    <t>G-2673</t>
  </si>
  <si>
    <t>Головка цилиндра 4T CG150 (в сборе,SA-03) (150M8-230608) (d=25/29) "Xuan Koo"</t>
  </si>
  <si>
    <t>https://b2beez.ru/images/detailed/162/orig_9kig-1w.jpg</t>
  </si>
  <si>
    <t>P-578</t>
  </si>
  <si>
    <t>Гофры передней вилки (пара) Zongshen, Lifan 125/150 (черные) "KOMATCU"</t>
  </si>
  <si>
    <t>https://b2beez.ru/images/detailed/174/6243482165.jpg</t>
  </si>
  <si>
    <t>C-3295</t>
  </si>
  <si>
    <t>Звезда трансмиссии (задняя) TTR-250Rb 428H-50T (сталь 45) 4*63, D58mm "BEEZMOTO"</t>
  </si>
  <si>
    <t>https://b2beez.ru/images/detailed/156/orig_fdah-n9.jpg</t>
  </si>
  <si>
    <t>C-1444</t>
  </si>
  <si>
    <t>Звезда трансмиссии (задняя) Zongshen ZS250-5 428-43T "KOMATCU"</t>
  </si>
  <si>
    <t>https://b2beez.ru/images/detailed/155/orig_4au8-8m.jpg</t>
  </si>
  <si>
    <t>C-3132</t>
  </si>
  <si>
    <t>Звезда трансмиссии (задняя) KAYO SUPER Т2 520-45T (сталь 45) (выпуклая) "BEEZMOTO"</t>
  </si>
  <si>
    <t>https://b2beez.ru/images/detailed/156/orig_ferb-nu.jpg</t>
  </si>
  <si>
    <t>K-2460</t>
  </si>
  <si>
    <t>Карбюратор MIKUNI VM24 (Ø28mm) "BEEZMOTO"</t>
  </si>
  <si>
    <t>https://b2beez.ru/images/detailed/166/orig_4xeg-37.jpg</t>
  </si>
  <si>
    <t>K-3598</t>
  </si>
  <si>
    <t>Коленвал 4T CB125/150 (под сепаратор 15mm) "BEEZMOTO"</t>
  </si>
  <si>
    <t>https://b2beez.ru/images/detailed/167/orig_q8mx-ml.jpg</t>
  </si>
  <si>
    <t>K-3451</t>
  </si>
  <si>
    <t>Концевой выключатель педали тормоза (лягушка) Yamaha YBR125 "KOMATCU"</t>
  </si>
  <si>
    <t>https://b2beez.ru/images/detailed/167/orig_7abb-55.jpg</t>
  </si>
  <si>
    <t>K-3169</t>
  </si>
  <si>
    <t>Крышка зажигания 139FMB Alpha, Delta (большая) (Ø38/30mm, +прокладка) "BEEZMOTO"</t>
  </si>
  <si>
    <t>https://b2beez.ru/images/detailed/166/7051912752.jpg</t>
  </si>
  <si>
    <t>K-4166</t>
  </si>
  <si>
    <t>Крышка сцепления (правая) CG125 (157FMI) (автоматическое сцепления) HEADER-260</t>
  </si>
  <si>
    <t>https://b2beez.ru/images/detailed/167/6243482343.jpg</t>
  </si>
  <si>
    <t>M-627</t>
  </si>
  <si>
    <t>Маслонасос 4T CB125/150 "KOMATCU" (mod.A)</t>
  </si>
  <si>
    <t>https://b2beez.ru/images/detailed/169/6830349480.jpg</t>
  </si>
  <si>
    <t>C-1016</t>
  </si>
  <si>
    <t>Натяжитель цепи трансмиссии Yamaha YBR125 "KOMATCU"</t>
  </si>
  <si>
    <t>https://b2beez.ru/images/detailed/154/orig_pc5f-ml.jpg</t>
  </si>
  <si>
    <t>Ножка переключения передач 4T CG125/150 "TMMP"</t>
  </si>
  <si>
    <t>https://b2beez.ru/images/detailed/48/orig_4r8k-th.jpg</t>
  </si>
  <si>
    <t>P-2969</t>
  </si>
  <si>
    <t>Поршень 4T CB/CG Ø56,50mm, p-15 (125/140cc STD) JIN</t>
  </si>
  <si>
    <t>https://b2beez.ru/images/detailed/173/orig_ylq8-eh.jpg</t>
  </si>
  <si>
    <t>P-2961</t>
  </si>
  <si>
    <t>Поршень 4T CB/CG Ø62,00mm, p-15 (150/175cc STD: 162FMJ, 162FMK) JIN</t>
  </si>
  <si>
    <t>https://b2beez.ru/images/detailed/173/orig_dq92-ly.jpg</t>
  </si>
  <si>
    <t>V-2277</t>
  </si>
  <si>
    <t>Поршень 4Т KAYO-140 (YX-140) .STD (Ø56.00, p-13) 156FMJ "BEEZMOTO"</t>
  </si>
  <si>
    <t>https://b2beez.ru/images/detailed/186/orig_asak-li.jpg</t>
  </si>
  <si>
    <t>V-2759</t>
  </si>
  <si>
    <t>Поршневая (ЦПГ) 4T CG125 (Ø56.5, p-15, h-68) "BEEZMOTO"</t>
  </si>
  <si>
    <t>https://b2beez.ru/images/detailed/186/7052846682.jpg</t>
  </si>
  <si>
    <t>V-1966</t>
  </si>
  <si>
    <t>Поршневая (ЦПГ) 4T CG250 (Ø67.0, p-16)</t>
  </si>
  <si>
    <t>https://b2beez.ru/images/detailed/186/orig_drfq-18.jpg</t>
  </si>
  <si>
    <t>C-686</t>
  </si>
  <si>
    <t>Поршневая (ЦПГ) Suzuki AX100 (Ø50, p-14) JIN</t>
  </si>
  <si>
    <t>https://b2beez.ru/images/detailed/156/orig_spfe-0i.jpg</t>
  </si>
  <si>
    <t>G-2831</t>
  </si>
  <si>
    <t>Прокладка головки цилиндра 4T CB200/250 (OHC 165FMM) KOMATCU (mod.A)</t>
  </si>
  <si>
    <t>https://b2beez.ru/images/detailed/162/6243482434.jpg</t>
  </si>
  <si>
    <t>P-6370</t>
  </si>
  <si>
    <t>Прокладка цилиндра 4T CB 125 "KOMATCU" (mod.A)</t>
  </si>
  <si>
    <t>https://b2beez.ru/images/detailed/174/orig_sw0v-5z.jpg</t>
  </si>
  <si>
    <t>P-6371</t>
  </si>
  <si>
    <t>Прокладка цилиндра 4T CB 150 "KOMATCU" (mod.A)</t>
  </si>
  <si>
    <t>https://b2beez.ru/images/detailed/174/orig_fsc9-l5.jpg</t>
  </si>
  <si>
    <t>P-8171</t>
  </si>
  <si>
    <t>Прокладки цилиндра (набор) 4T CG 150 (полный) "SDTW"</t>
  </si>
  <si>
    <t>https://b2beez.ru/images/detailed/175/orig_wu91-qi.jpg</t>
  </si>
  <si>
    <t>P-8173</t>
  </si>
  <si>
    <t>Прокладки цилиндра (набор) 4T CG 200 (полный) "BEEZMOTO"</t>
  </si>
  <si>
    <t>https://b2beez.ru/images/detailed/175/orig_uakg-eb.jpg</t>
  </si>
  <si>
    <t>P-6381</t>
  </si>
  <si>
    <t>Прокладки цилиндра (набор) Yamaha YBR125 "KOMATCU" (mod.A)</t>
  </si>
  <si>
    <t>https://b2beez.ru/images/detailed/174/orig_apsc-ni.jpg</t>
  </si>
  <si>
    <t>P-7771</t>
  </si>
  <si>
    <t>Прокладки двигателя (набор) 4T 150сс IRBIS TTR 150 (156MI) "KOMATCU"</t>
  </si>
  <si>
    <t>https://b2beez.ru/images/detailed/175/orig_z1it-cu.jpg</t>
  </si>
  <si>
    <t>R-1596</t>
  </si>
  <si>
    <t>Реле электростартера Yamaha (с предохранителем, +запасной) "KOMATCU"</t>
  </si>
  <si>
    <t>https://b2beez.ru/images/detailed/204/1_gwqv-kq.jpg</t>
  </si>
  <si>
    <t>N-571</t>
  </si>
  <si>
    <t>Руль Yamaha YBR125 "KOMATCU"</t>
  </si>
  <si>
    <t>https://b2beez.ru/images/detailed/171/orig_qw8f-sf.jpg</t>
  </si>
  <si>
    <t>P-2917</t>
  </si>
  <si>
    <t>Сальники (набор) Yamaha YBR125 "KOMATCU"</t>
  </si>
  <si>
    <t>https://b2beez.ru/images/detailed/173/orig_3y67-2n.jpg</t>
  </si>
  <si>
    <t>P-6236</t>
  </si>
  <si>
    <t>Сальники (набор) Zonghsen, Lifan 125/150 (OHV) "KOMATCU"</t>
  </si>
  <si>
    <t>https://b2beez.ru/images/detailed/174/orig_h66k-7f.jpg</t>
  </si>
  <si>
    <t>G-1902</t>
  </si>
  <si>
    <t>Сальники клапанов (пара) 4T CG125/150 (+ сухари, шайбы) "KOMATCU"</t>
  </si>
  <si>
    <t>https://b2beez.ru/images/detailed/161/6243482471.jpg</t>
  </si>
  <si>
    <t>S-4042</t>
  </si>
  <si>
    <t>Трос сцепления Yamaha YBR125 "BEEZMOTO"</t>
  </si>
  <si>
    <t>https://b2beez.ru/images/detailed/181/orig_67iu-0t.jpg</t>
  </si>
  <si>
    <t>S-3362</t>
  </si>
  <si>
    <t>Трос сцепления Zonsghen, Lifan 125/150 (1100mm, уп.1шт) "KOMATCU"</t>
  </si>
  <si>
    <t>https://b2beez.ru/images/detailed/180/orig_8gqp-9v.jpg</t>
  </si>
  <si>
    <t>G-1759</t>
  </si>
  <si>
    <t>Шпильки цилиндра (4шт) 4T CB125/150 (+гайки) "BEEZMOTO"</t>
  </si>
  <si>
    <t>https://b2beez.ru/images/detailed/161/orig_ln1d-1u.jpg</t>
  </si>
  <si>
    <t>S-4861</t>
  </si>
  <si>
    <t>Электростартер 4T CG125/150 (9 шлицов) KOMATCU (mod.A)</t>
  </si>
  <si>
    <t>https://b2beez.ru/images/detailed/181/orig_rmd3-73.jpg</t>
  </si>
  <si>
    <t>S-1944</t>
  </si>
  <si>
    <t>Электростартер 4T CG200 (11 шлицов) "KOMATCU"</t>
  </si>
  <si>
    <t>https://b2beez.ru/images/detailed/179/orig_2adk-mo.jpg</t>
  </si>
  <si>
    <t>C-3213</t>
  </si>
  <si>
    <t>Цепь трансмиссии 520H-114L Suzuki RM-Z, Husqvarna TE (CHOHO) "DID"</t>
  </si>
  <si>
    <t>https://b2beez.ru/images/detailed/156/orig_707t-50.jpg</t>
  </si>
  <si>
    <t>B-1172</t>
  </si>
  <si>
    <t>Блоки кнопок руля (пара) HONDA CM125cc, ZS50F (7/8 дюйма, 22см, алюминий) (чоппер, хром) EVO</t>
  </si>
  <si>
    <t>https://b2beez.ru/images/detailed/154/6243482078.jpg</t>
  </si>
  <si>
    <t>Z-95</t>
  </si>
  <si>
    <t>Замок зажигания (комплект) TTR250Rb (полный комплект, +крышка бака) "KOMATCU"</t>
  </si>
  <si>
    <t>https://b2beez.ru/images/detailed/204/Z-95-2.jpg</t>
  </si>
  <si>
    <t>K-2757</t>
  </si>
  <si>
    <t>Карбюратор MIKUNI VM22 (Ø26mm) (с подогревом и клапаном обогощения) "BEEZMOTO"</t>
  </si>
  <si>
    <t>https://b2beez.ru/images/detailed/166/orig_e46j-xi.jpg</t>
  </si>
  <si>
    <t>K-7297</t>
  </si>
  <si>
    <t>Колодки тормозные зад Suzuki GSX-R 600, 750, 1000 06-10г, 1300 08-12г "BEEZMOTO"</t>
  </si>
  <si>
    <t>https://b2beez.ru/images/detailed/169/orig_545v-8y.jpg</t>
  </si>
  <si>
    <t>K-939</t>
  </si>
  <si>
    <t>Колодки тормозные зад Yamaha FZ6 8 R6 YZF600 R1 "BEEZMOTO"</t>
  </si>
  <si>
    <t>https://b2beez.ru/images/detailed/169/orig_6izs-ze.jpg</t>
  </si>
  <si>
    <t>K-2644</t>
  </si>
  <si>
    <t>Колодки тормозные зад Suzuki GSX-R 600 11-16г, 750 11-16г, 1000 12-16г (суппорт Brembo) "BEEZMOTO"</t>
  </si>
  <si>
    <t>https://b2beez.ru/images/detailed/166/orig_iq8h-4i.jpg</t>
  </si>
  <si>
    <t>K-7326</t>
  </si>
  <si>
    <t>Колодки тормозные перед Suzuki GSX-R 400, 600, 750, 1100 Bandit FA145, 63 (полный компл.) "BEEZMOTO"</t>
  </si>
  <si>
    <t>https://b2beez.ru/images/detailed/169/orig_x8yq-wq.jpg</t>
  </si>
  <si>
    <t>C-1970</t>
  </si>
  <si>
    <t>Поршневая (ЦПГ) Yamaha YBR125 (Ø54 OHC) "BEEZMOTO"</t>
  </si>
  <si>
    <t>https://b2beez.ru/images/detailed/155/orig_p5fo-de.jpg</t>
  </si>
  <si>
    <t>T-436</t>
  </si>
  <si>
    <t>Трос газа TTR-250а (L-970mm, l-770mm, с загибом) "BEEZMOTO"</t>
  </si>
  <si>
    <t>https://b2beez.ru/images/detailed/183/orig_rvlj-l3.jpg</t>
  </si>
  <si>
    <t>V-2818</t>
  </si>
  <si>
    <t>Элемент воздушного фильтра Honda CBR929RR CBR900RR Fireblade (2000-2001г) "BEEZMOTO"</t>
  </si>
  <si>
    <t>https://b2beez.ru/images/detailed/187/orig_16hk-tg.jpg</t>
  </si>
  <si>
    <t>B-29</t>
  </si>
  <si>
    <t>Кран топливный TTR250 (гайка Ø16mm, штуцер 90*, резерв) "BEEZMOTO"</t>
  </si>
  <si>
    <t>https://b2beez.ru/images/detailed/154/orig_8ggs-sz.jpg</t>
  </si>
  <si>
    <t>P-2925</t>
  </si>
  <si>
    <t>Пластик Yamaha YBR125 переднее крыло (красный) "KOMATCU"</t>
  </si>
  <si>
    <t>https://b2beez.ru/images/detailed/203/1_nddc-5l.jpg</t>
  </si>
  <si>
    <t>V-1966-U1</t>
  </si>
  <si>
    <t>Поршневая (ЦПГ) 4T CG250 (Ø67.0, p-16) ZUNA (Скол ребра)</t>
  </si>
  <si>
    <t>P-4528</t>
  </si>
  <si>
    <t>Поршень 4T CB/CG Ø56,50mm, p-15 (125/140cc STD, 156/157FMI) Taiwan "RZK"</t>
  </si>
  <si>
    <t>https://b2beez.ru/images/detailed/174/6321425426.jpg</t>
  </si>
  <si>
    <t>N-3107</t>
  </si>
  <si>
    <t>Фильтр масляный Suzuki GSXR600 750 1000 1300 GSX1300R HF138</t>
  </si>
  <si>
    <t>https://b2beez.ru/images/detailed/171/orig_oc5a-5y.jpg</t>
  </si>
  <si>
    <t>N-3112</t>
  </si>
  <si>
    <t>Фильтр масляный Honda Yamaha Suzuki Kawasaki ATV HF303</t>
  </si>
  <si>
    <t>https://b2beez.ru/images/detailed/171/orig_dx8k-xi.jpg</t>
  </si>
  <si>
    <t>G-2842</t>
  </si>
  <si>
    <t>Статор генератора 4T CB/CG 125/150 (9+2 катушек) KOMATCU</t>
  </si>
  <si>
    <t>https://b2beez.ru/images/detailed/162/orig_7kwf-zg.jpg</t>
  </si>
  <si>
    <t>N-3102</t>
  </si>
  <si>
    <t>Фильтр масляный Honda, Yamaha, Suzuki, Kawasaki,  ATV HF204</t>
  </si>
  <si>
    <t>https://b2beez.ru/images/detailed/171/orig_avr7-2t.jpg</t>
  </si>
  <si>
    <t>P-6728-U1</t>
  </si>
  <si>
    <t>Поршень 4T CB/CG Ø67,00mm, p-16 (200/250cc STD:167FML, 167FMM) "SUNY" (mod.A) ( без стоп.колец)</t>
  </si>
  <si>
    <t>K-3707</t>
  </si>
  <si>
    <t>Коленвал 4T CB250 (+шпонка) "Xuan Koo" mod:A</t>
  </si>
  <si>
    <t>https://b2beez.ru/images/detailed/167/orig_rb5u-bx.jpg</t>
  </si>
  <si>
    <t>P-5924-U1</t>
  </si>
  <si>
    <t>Пластик Yamaha YBR125 боковой красный "BEEZMOTO" (Скол)</t>
  </si>
  <si>
    <t>K-1652</t>
  </si>
  <si>
    <t>Карбюратор CB/CG 125-200 PZ27 (дроссель под трос) "BEEZMOTO"</t>
  </si>
  <si>
    <t>https://b2beez.ru/images/detailed/166/orig_1prm-ol.jpg</t>
  </si>
  <si>
    <t>Z-1302</t>
  </si>
  <si>
    <t>Зеркала Honda CBR250 (+переходники) "BEEZMOTO"</t>
  </si>
  <si>
    <t>https://b2beez.ru/images/detailed/188/6911125707.jpg</t>
  </si>
  <si>
    <t>B-8642</t>
  </si>
  <si>
    <t>Зеркала для мото круглые (универсальные, M10, черные) "TVS"</t>
  </si>
  <si>
    <t>https://b2beez.ru/images/detailed/154/orig_ugjs-cd.jpg</t>
  </si>
  <si>
    <t>K-3419</t>
  </si>
  <si>
    <t>Крыло заднее универсальное (32.5см x 10см, 12 диодов, 3 контакта) (Na-1057) "HYPOWER"</t>
  </si>
  <si>
    <t>https://b2beez.ru/images/detailed/167/7128649709.jpg</t>
  </si>
  <si>
    <t>K-4771-U1</t>
  </si>
  <si>
    <t>Карбюратор CB/CG 200-250, TTR250 PZ30 (ручной дроссель) "BEEZMOTO" (Б,У)</t>
  </si>
  <si>
    <t>Z-1302-U1</t>
  </si>
  <si>
    <t>Зеркала Honda CBR250 (+переходники) "BEEZMOTO" (Не комплект)</t>
  </si>
  <si>
    <t>K-2274-U1</t>
  </si>
  <si>
    <t>Карбюратор PWK 34 (чёрный) "BEEZMOTO" (Не комплект)</t>
  </si>
  <si>
    <t>Z-9996</t>
  </si>
  <si>
    <t>Зарядное устройство для АКБ 12V 1А/ч "BEEZMOTO"</t>
  </si>
  <si>
    <t>https://b2beez.ru/images/detailed/204/Z-9996-2_nfpq-tx.jpg</t>
  </si>
  <si>
    <t>P-4523</t>
  </si>
  <si>
    <t>Пластик Yamaha YBR125 заглушки обтекателя (пара) "KOMATCU"</t>
  </si>
  <si>
    <t>https://b2beez.ru/images/detailed/173/orig_906j-7t.jpg</t>
  </si>
  <si>
    <t>M-5432</t>
  </si>
  <si>
    <t>Маховик (обгонная муфта) 4T CB/CG 200 "BEEZMOTO"</t>
  </si>
  <si>
    <t>https://b2beez.ru/images/detailed/169/6982005537.jpg</t>
  </si>
  <si>
    <t>T-1475</t>
  </si>
  <si>
    <t>Трос газа PZ30 (L-1185, двойной с згибом, для карбюратора с ускорителем) CG, СB 250 см3 6х535,00</t>
  </si>
  <si>
    <t>https://b2beez.ru/images/detailed/182/orig_j3dz-m2.jpg</t>
  </si>
  <si>
    <t>M-467</t>
  </si>
  <si>
    <t>Фильтр в топливный кран Yamaha YBR 125 "KOMATCU"</t>
  </si>
  <si>
    <t>https://b2beez.ru/images/detailed/203/1_xvxv-7r.jpg</t>
  </si>
  <si>
    <t>V-3200</t>
  </si>
  <si>
    <t>Поршневая (ЦПГ) 4T CB150 (Ø61.0 p-15, h-68.5) "BEEZMOTO"</t>
  </si>
  <si>
    <t>https://b2beez.ru/images/detailed/187/orig_qnsh-1p.jpg</t>
  </si>
  <si>
    <t>K-2274</t>
  </si>
  <si>
    <t>Карбюратор PWK 34 (чёрный) "BEEZMOTO"</t>
  </si>
  <si>
    <t>https://b2beez.ru/images/detailed/166/orig_qhz0-as.jpg</t>
  </si>
  <si>
    <t>P-6703</t>
  </si>
  <si>
    <t>Прокладка цилиндра 4T CB 150 "BEEZMOTO"</t>
  </si>
  <si>
    <t>https://b2beez.ru/images/detailed/175/6786999301.jpg</t>
  </si>
  <si>
    <t>D-5318</t>
  </si>
  <si>
    <t>Датчик включенной передачи 4T CB125/150, KAYO-250/TTR-250 (2 отверстия) "BEEZMOTO"</t>
  </si>
  <si>
    <t>https://b2beez.ru/images/detailed/204/D-5318-2_09mi-tl.jpg</t>
  </si>
  <si>
    <t>P-5612</t>
  </si>
  <si>
    <t>Поршневая (ЦПГ) 4T CG150 (Ø62.0 ,p-15) 162FMJ "BEEZMOTO"</t>
  </si>
  <si>
    <t>https://b2beez.ru/images/detailed/174/orig_ailu-lb.jpg</t>
  </si>
  <si>
    <t>K-3929</t>
  </si>
  <si>
    <t>Крышка генератора (левая) 4T CG/CB 125/250 "BEEZMOTO"</t>
  </si>
  <si>
    <t>https://b2beez.ru/images/detailed/167/6901573750.jpg</t>
  </si>
  <si>
    <t>018714</t>
  </si>
  <si>
    <t>Зеркала Yamaha YBR 125 (M10) (круглые, черные, складная ножка, правая резьба) "BEEZMOTO"</t>
  </si>
  <si>
    <t>https://b2beez.ru/images/detailed/47/6741823274.jpg</t>
  </si>
  <si>
    <t>N-3125</t>
  </si>
  <si>
    <t>Фильтр масляный Yamaha YZF R125 YZ250 WR250F HF141 "BEEZMOTO"</t>
  </si>
  <si>
    <t>https://b2beez.ru/images/detailed/171/orig_orh0-ct.jpg</t>
  </si>
  <si>
    <t>C-1671</t>
  </si>
  <si>
    <t>Звезда трансмиссии ведущая (передняя) 428-13T, 20мм, TTR 250, CB/CG 125-250 Двойная "X-SPROCKET"</t>
  </si>
  <si>
    <t>https://b2beez.ru/images/detailed/155/orig_654t-xg.jpg</t>
  </si>
  <si>
    <t>C-1833</t>
  </si>
  <si>
    <t>Звезда трансмиссии ведущая (передняя) 428-16T, 20мм, TTR 250, CB/CG 125-250 "ZUNA"</t>
  </si>
  <si>
    <t>https://b2beez.ru/images/detailed/155/orig_n29i-r3.jpg</t>
  </si>
  <si>
    <t>C-1834</t>
  </si>
  <si>
    <t>Звезда трансмиссии ведущая (передняя) 428-16T, 20мм, TTR 250, CB/CG 125-250 "MANLE"</t>
  </si>
  <si>
    <t>https://b2beez.ru/images/detailed/155/orig_z1rv-lf.jpg</t>
  </si>
  <si>
    <t>C-1835</t>
  </si>
  <si>
    <t>Звезда трансмиссии ведущая (передняя) 428-17T, 20мм, TTR 250, CB/CG 125-250 "BEEZMOTO"</t>
  </si>
  <si>
    <t>https://b2beez.ru/images/detailed/155/orig_huvh-l1.jpg</t>
  </si>
  <si>
    <t>C-1836</t>
  </si>
  <si>
    <t>Звезда трансмиссии ведущая (передняя) 428-17T, 20мм, TTR 250, CB/CG 125-250 "MANLE"</t>
  </si>
  <si>
    <t>https://b2beez.ru/images/detailed/204/1_q56m-x2.jpg</t>
  </si>
  <si>
    <t>C-2656</t>
  </si>
  <si>
    <t>Звезда трансмиссии (передняя) 520-15T "freewheel" (обгонная муфта) CB/CG 200-250 (mod:1)</t>
  </si>
  <si>
    <t>https://b2beez.ru/images/detailed/156/orig_tmlz-sx.jpg</t>
  </si>
  <si>
    <t>K-3398</t>
  </si>
  <si>
    <t>Блоки кнопок руля (пара) Suzuki AX100 (черные, рычаги, крепление) "XVP"</t>
  </si>
  <si>
    <t>https://b2beez.ru/images/detailed/167/6243482120.jpg</t>
  </si>
  <si>
    <t>K-4548</t>
  </si>
  <si>
    <t>Коробка передач (в сборе) 4T KAYO-140 (YX140, X150) эл. стартер "Xuan Koo"</t>
  </si>
  <si>
    <t>https://b2beez.ru/images/detailed/167/orig_9a19-8z.jpg</t>
  </si>
  <si>
    <t>C-1670</t>
  </si>
  <si>
    <t>Звезда трансмиссии ведущая (передняя) 428-14T, 20мм, TTR 250, CB/CG 125-250 Двойная "X-SPROCKET"</t>
  </si>
  <si>
    <t>https://b2beez.ru/images/detailed/155/orig_7rti-s4.jpg</t>
  </si>
  <si>
    <t>O-1212</t>
  </si>
  <si>
    <t>Ось колеса переднего 4T CG125 "MOZBA"</t>
  </si>
  <si>
    <t>https://b2beez.ru/images/detailed/171/6243482374.jpg</t>
  </si>
  <si>
    <t>B-208</t>
  </si>
  <si>
    <t>Блоки кнопок руля (пара) Zongshen ZS50F (чоппер, хром) "XVP"</t>
  </si>
  <si>
    <t>https://b2beez.ru/images/detailed/154/6243482052.jpg</t>
  </si>
  <si>
    <t>B-288</t>
  </si>
  <si>
    <t>Блоки кнопок руля (пара) Yamaha YBR125 "KOMATCU"</t>
  </si>
  <si>
    <t>https://b2beez.ru/images/detailed/154/6399347374.jpg</t>
  </si>
  <si>
    <t>B-289</t>
  </si>
  <si>
    <t>Бак топливный Yamaha YBR125 (красный) "KOMATCU"</t>
  </si>
  <si>
    <t>https://b2beez.ru/images/detailed/154/6295553931.jpg</t>
  </si>
  <si>
    <t>B-774</t>
  </si>
  <si>
    <t>Колодки тормозные (барабан) Zongshen, Lifan 125/150 (17" колесо) "KOMATCU"</t>
  </si>
  <si>
    <t>https://b2beez.ru/images/detailed/154/orig_mm35-d1.jpg</t>
  </si>
  <si>
    <t>C-1434</t>
  </si>
  <si>
    <t>Звезда трансмиссии ведущая (передняя) 428-16T, 20мм, TTR 250, CB/CG 125-250 (сталь 20) "KOMATCU"</t>
  </si>
  <si>
    <t>https://b2beez.ru/images/detailed/155/orig_d2k9-jn.jpg</t>
  </si>
  <si>
    <t>C-1439</t>
  </si>
  <si>
    <t>Звезда трансмиссии (задняя) Zongshen F5 428-38T (сталь 45) "KOMATCU"</t>
  </si>
  <si>
    <t>https://b2beez.ru/images/detailed/155/orig_atrl-4e.jpg</t>
  </si>
  <si>
    <t>C-1443</t>
  </si>
  <si>
    <t>Звезда трансмиссии ведущая (передняя) 428-16T, 20мм, TTR 250, CB/CG 125-250 (сталь 20) "ACV"</t>
  </si>
  <si>
    <t>https://b2beez.ru/images/detailed/155/orig_h3w8-l3.jpg</t>
  </si>
  <si>
    <t>C-1466</t>
  </si>
  <si>
    <t>Цилиндр 2T Yamaha RXS-115 (Ø54.0) "GONGYU"</t>
  </si>
  <si>
    <t>https://b2beez.ru/images/detailed/155/6243482619.jpg</t>
  </si>
  <si>
    <t>C-1467</t>
  </si>
  <si>
    <t>Цилиндр 2T Yamaha RXZ-135 (Ø56.0) "GONGYU"</t>
  </si>
  <si>
    <t>https://b2beez.ru/images/detailed/155/6243482547.jpg</t>
  </si>
  <si>
    <t>C-1494</t>
  </si>
  <si>
    <t>Кожух цепи трансмиссии 4T CG/CB 125/150 "ZZQ"</t>
  </si>
  <si>
    <t>https://b2beez.ru/images/detailed/155/6243482268.jpg</t>
  </si>
  <si>
    <t>C-1666</t>
  </si>
  <si>
    <t>Звезда трансмиссии ведущая (передняя) 428-14T, 20мм, TTR 250, CB/CG 125-250 "X-SPROCKET"</t>
  </si>
  <si>
    <t>https://b2beez.ru/images/detailed/155/orig_tnfl-7u.jpg</t>
  </si>
  <si>
    <t>C-1668</t>
  </si>
  <si>
    <t>Звезда трансмиссии ведущая (передняя) 428-16T, 20мм, TTR 250, CB/CG 125-250 Двойная  "X-SPROCKET"</t>
  </si>
  <si>
    <t>https://b2beez.ru/images/detailed/155/orig_awbb-wx.jpg</t>
  </si>
  <si>
    <t>C-1752</t>
  </si>
  <si>
    <t>Демпфер заднего колеса Yamaha YBR125 "Xuan Koo"</t>
  </si>
  <si>
    <t>https://b2beez.ru/images/detailed/155/orig_jzyt-vk.jpg</t>
  </si>
  <si>
    <t>C-1839</t>
  </si>
  <si>
    <t>Звезда трансмиссии ведущая (передняя) 428-14T, 20мм, TTR 250, CB/CG 125-250 "ZUNA"</t>
  </si>
  <si>
    <t>https://b2beez.ru/images/detailed/155/orig_lhop-3p.jpg</t>
  </si>
  <si>
    <t>C-1840</t>
  </si>
  <si>
    <t>Звезда трансмиссии ведущая (передняя) 428-14T, 20мм, TTR 250, CB/CG 125-250 "MANLE"</t>
  </si>
  <si>
    <t>https://b2beez.ru/images/detailed/155/orig_fu7p-om.jpg</t>
  </si>
  <si>
    <t>C-193</t>
  </si>
  <si>
    <t>Натяжитель цепи трансмиссии Zongshen, Lifan 125/150 "Xuan Koo"</t>
  </si>
  <si>
    <t>https://b2beez.ru/images/detailed/155/6243482632.jpg</t>
  </si>
  <si>
    <t>C-2424</t>
  </si>
  <si>
    <t>Пальцы крепления задней звезды к демпферу Zongshen, Lifan 125/150 (4шт) "KOMATCU" (mod.A)</t>
  </si>
  <si>
    <t>https://b2beez.ru/images/detailed/156/orig_v4j3-zw.jpg</t>
  </si>
  <si>
    <t>C-462</t>
  </si>
  <si>
    <t>Резинка демпферная Suzuki AX100 "IRUBBER"</t>
  </si>
  <si>
    <t>https://b2beez.ru/images/detailed/156/6243482545.jpg</t>
  </si>
  <si>
    <t>C-713</t>
  </si>
  <si>
    <t>Натяжитель цепи трансмиссии 12mm (синий) "RIDE IT"</t>
  </si>
  <si>
    <t>https://b2beez.ru/images/detailed/156/6243482226.jpg</t>
  </si>
  <si>
    <t>C-714</t>
  </si>
  <si>
    <t>Натяжитель цепи трансмиссии 12mm (красный) "RIDE IT"</t>
  </si>
  <si>
    <t>https://b2beez.ru/images/detailed/156/6243482504.jpg</t>
  </si>
  <si>
    <t>C-715</t>
  </si>
  <si>
    <t>Натяжитель цепи трансмиссии 12mm (зеленый) "RIDE IT"</t>
  </si>
  <si>
    <t>https://b2beez.ru/images/detailed/156/6243482332.jpg</t>
  </si>
  <si>
    <t>C-719</t>
  </si>
  <si>
    <t>Натяжитель цепи трансмиссии 15mm (синий) "RIDE IT"</t>
  </si>
  <si>
    <t>https://b2beez.ru/images/detailed/156/6243482399.jpg</t>
  </si>
  <si>
    <t>C-721</t>
  </si>
  <si>
    <t>Натяжитель цепи трансмиссии 15mm (зеленый) "RIDE IT"</t>
  </si>
  <si>
    <t>https://b2beez.ru/images/detailed/156/6243482425.jpg</t>
  </si>
  <si>
    <t>C-722</t>
  </si>
  <si>
    <t>Натяжитель цепи трансмиссии 15mm (желтый) "RIDE IT"</t>
  </si>
  <si>
    <t>https://b2beez.ru/images/detailed/156/6243482356.jpg</t>
  </si>
  <si>
    <t>C-961</t>
  </si>
  <si>
    <t>Звезда трансмиссии ведущая (передняя) 428-16T, 20мм, TTR 250, CB/CG 125-250 "DGH"</t>
  </si>
  <si>
    <t>https://b2beez.ru/images/detailed/157/orig_qlol-qd.jpg</t>
  </si>
  <si>
    <t>G-1451</t>
  </si>
  <si>
    <t>Направляющие клапанов (пара) Yamaha YBR125 "KOMATCU"</t>
  </si>
  <si>
    <t>https://b2beez.ru/images/detailed/161/orig_mtmu-3v.jpg</t>
  </si>
  <si>
    <t>G-1460</t>
  </si>
  <si>
    <t>Трос газа Yamaha YBR125 (L-750mm)(L-1000mm) "KOMATCU"</t>
  </si>
  <si>
    <t>https://b2beez.ru/images/detailed/161/orig_qate-rd.jpg</t>
  </si>
  <si>
    <t>G-1711</t>
  </si>
  <si>
    <t>Головка цилиндра 4T CG200 (в сборе) (OHV, вод. охлаждение) (d=27/32) "KOMATCU"</t>
  </si>
  <si>
    <t>https://b2beez.ru/images/detailed/161/orig_2xep-85.jpg</t>
  </si>
  <si>
    <t>G-2653</t>
  </si>
  <si>
    <t>Втулка распредвала 4T CB125-200 "KOMATCU" (mod.A)</t>
  </si>
  <si>
    <t>https://b2beez.ru/images/detailed/162/orig_7nmv-ik.jpg</t>
  </si>
  <si>
    <t>G-362</t>
  </si>
  <si>
    <t>Клапаны (пара, в сборе) 4T CB125 (L-76 mm)</t>
  </si>
  <si>
    <t>https://b2beez.ru/images/detailed/162/6243482170.jpg</t>
  </si>
  <si>
    <t>G-369</t>
  </si>
  <si>
    <t>Клапаны (пара, в сборе) 4T CG150 (L-92mm) "BEEZMOTO"</t>
  </si>
  <si>
    <t>https://b2beez.ru/images/detailed/162/orig_395w-ob.jpg</t>
  </si>
  <si>
    <t>G-370</t>
  </si>
  <si>
    <t>Клапаны (пара, голые) 4T CG150 (L-92mm) "BEEZMOTO"</t>
  </si>
  <si>
    <t>https://b2beez.ru/images/detailed/162/6717478603.jpg</t>
  </si>
  <si>
    <t>G-372</t>
  </si>
  <si>
    <t>Клапаны (пара, в сборе) 4T CG200 (L-90mm) "BEEZMOTO"</t>
  </si>
  <si>
    <t>https://b2beez.ru/images/detailed/162/orig_k541-8r.jpg</t>
  </si>
  <si>
    <t>G-403</t>
  </si>
  <si>
    <t>Клапаны (пара, в сборе) Yamaha YBR125 (L-65mm) "BEEZMOTO"</t>
  </si>
  <si>
    <t>https://b2beez.ru/images/detailed/162/orig_xtoq-n1.jpg</t>
  </si>
  <si>
    <t>K-1141</t>
  </si>
  <si>
    <t>Коммутатор (тюнинг) Zonghsen CG125/150 (золотистый) "CASOLI"</t>
  </si>
  <si>
    <t>https://b2beez.ru/images/detailed/166/6243482229.jpg</t>
  </si>
  <si>
    <t>K-1143</t>
  </si>
  <si>
    <t>Коммутатор (тюнинг) 4T CG125/150 (красный) "RACING CDI"</t>
  </si>
  <si>
    <t>https://b2beez.ru/images/detailed/166/6243482306.jpg</t>
  </si>
  <si>
    <t>K-1146</t>
  </si>
  <si>
    <t>Коммутатор (тюнинг) 4T CG125-200 (золотистый) "CASOLI"</t>
  </si>
  <si>
    <t>https://b2beez.ru/images/detailed/166/6243482307.jpg</t>
  </si>
  <si>
    <t>K-1241</t>
  </si>
  <si>
    <t>Кран топливный Zongshen, Lifan 125/150 "BEEZMOTO"</t>
  </si>
  <si>
    <t>https://b2beez.ru/images/detailed/166/6243482278.jpg</t>
  </si>
  <si>
    <t>K-132</t>
  </si>
  <si>
    <t>Кольца 4T CB/CG Ø57,00mm (125/140cc 0,50) "KOSO"</t>
  </si>
  <si>
    <t>https://b2beez.ru/images/detailed/166/6241667187_ka8p-6m.jpg</t>
  </si>
  <si>
    <t>K-138</t>
  </si>
  <si>
    <t>Кольца 4T CB/CG Ø64,00mm (150/200cc 0,50) "KOSO"</t>
  </si>
  <si>
    <t>https://b2beez.ru/images/detailed/166/6241667187_v5ib-n0.jpg</t>
  </si>
  <si>
    <t>K-141</t>
  </si>
  <si>
    <t>Кольца 4T CB/CG Ø69,00mm (200/250cc STD) "KOSO"</t>
  </si>
  <si>
    <t>https://b2beez.ru/images/detailed/166/6241667187_n712-f9.jpg</t>
  </si>
  <si>
    <t>K-145</t>
  </si>
  <si>
    <t>Кольца 4T CB/CG Ø70,00mm (200/250cc 1,00) "KOSO"</t>
  </si>
  <si>
    <t>https://b2beez.ru/images/detailed/166/6241667187_lvlg-3t.jpg</t>
  </si>
  <si>
    <t>K-2715</t>
  </si>
  <si>
    <t>Ремкомплект карбюратора Honda CG150 TITAN "XINLONG"</t>
  </si>
  <si>
    <t>https://b2beez.ru/images/detailed/166/6243482430.jpg</t>
  </si>
  <si>
    <t>K-3208</t>
  </si>
  <si>
    <t>Копирный вал КПП 4T CG125/150 "JI"</t>
  </si>
  <si>
    <t>https://b2beez.ru/images/detailed/167/6243482407.jpg</t>
  </si>
  <si>
    <t>K-3403</t>
  </si>
  <si>
    <t>Глазок уровня масла Delta, 4T CG150 (d-25mm) "KOMATCU"</t>
  </si>
  <si>
    <t>https://b2beez.ru/images/detailed/167/orig_zfpk-20.jpg</t>
  </si>
  <si>
    <t>K-378</t>
  </si>
  <si>
    <t>Кольца 4T CB/CG Ø62,25mm (150/175cc 0,25) "KOSO"</t>
  </si>
  <si>
    <t>https://b2beez.ru/images/detailed/167/6246041280.jpg</t>
  </si>
  <si>
    <t>K-379</t>
  </si>
  <si>
    <t>Кольца 4T CB/CG Ø62,50mm (150/175cc 0,50) "KOSO"</t>
  </si>
  <si>
    <t>https://b2beez.ru/images/detailed/167/6241667187.jpg</t>
  </si>
  <si>
    <t>K-3806</t>
  </si>
  <si>
    <t>Кольца 4T CB/CG Ø55,00mm (125/140cc STD: 1P55FMJ) "HND"</t>
  </si>
  <si>
    <t>https://b2beez.ru/images/detailed/167/6224627885.jpg</t>
  </si>
  <si>
    <t>K-3807</t>
  </si>
  <si>
    <t>Кольца 4T CB/CG Ø56,50mm (125/140cc STD) "HND"</t>
  </si>
  <si>
    <t>https://b2beez.ru/images/detailed/167/orig_6hix-dm.jpg</t>
  </si>
  <si>
    <t>K-3810</t>
  </si>
  <si>
    <t>Кольца 4T CB/CG Ø63,50mm (150/200cc STD) "HND"</t>
  </si>
  <si>
    <t>https://b2beez.ru/images/detailed/167/6249329721.jpg</t>
  </si>
  <si>
    <t>K-3811</t>
  </si>
  <si>
    <t>Кольца 4T CB/CG Ø61,00mm (150/175cc STD) "HND"</t>
  </si>
  <si>
    <t>https://b2beez.ru/images/detailed/167/6249329790.jpg</t>
  </si>
  <si>
    <t>K-3813</t>
  </si>
  <si>
    <t>Кольца 4T CB/CG Ø67,00mm (200/250cc STD) "HND"</t>
  </si>
  <si>
    <t>https://b2beez.ru/images/detailed/167/6224627885_akme-th.jpg</t>
  </si>
  <si>
    <t>K-3815</t>
  </si>
  <si>
    <t>Кольца 4T CB/CG Ø70,00mm (200/250cc 1,00) "HND"</t>
  </si>
  <si>
    <t>https://b2beez.ru/images/detailed/167/6224627885_85si-9q.jpg</t>
  </si>
  <si>
    <t>K-3857</t>
  </si>
  <si>
    <t>Кольца 4T CB/CG Ø62,00mm (150/175cc STD) "HQNSAI"</t>
  </si>
  <si>
    <t>https://b2beez.ru/images/detailed/167/6249329829.jpg</t>
  </si>
  <si>
    <t>K-3934</t>
  </si>
  <si>
    <t>Крышка генератора (левая) 4T CG/CB 125/250 (под электростартер) "KOMATCU"</t>
  </si>
  <si>
    <t>https://b2beez.ru/images/detailed/167/orig_jhuh-3t.jpg</t>
  </si>
  <si>
    <t>K-4007</t>
  </si>
  <si>
    <t>Кольца 4T CB/CG Ø54,00mm (125/140cc STD) "TKT"</t>
  </si>
  <si>
    <t>https://b2beez.ru/images/detailed/167/6321407416.jpg</t>
  </si>
  <si>
    <t>K-4608</t>
  </si>
  <si>
    <t>Кольца 4T CB/CG Ø54,00mm (125/140cc STD) "TOR"</t>
  </si>
  <si>
    <t>https://b2beez.ru/images/detailed/167/orig_v4nw-nc.jpg</t>
  </si>
  <si>
    <t>K-4610</t>
  </si>
  <si>
    <t>Кольца 4T CB/CG Ø61,00mm (150/175cc STD) "TOR"</t>
  </si>
  <si>
    <t>https://b2beez.ru/images/detailed/167/6224627926_end8-lj.jpg</t>
  </si>
  <si>
    <t>K-4615</t>
  </si>
  <si>
    <t>Кольца 4T CB/CG Ø70,00mm (250cc STD) "TOR"</t>
  </si>
  <si>
    <t>https://b2beez.ru/images/detailed/167/6243482222.jpg</t>
  </si>
  <si>
    <t>K-4680</t>
  </si>
  <si>
    <t>Кольца 4T CB/CG Ø54,00mm (125/140cc STD) "TORO"</t>
  </si>
  <si>
    <t>https://b2beez.ru/images/detailed/167/6224628049_qoa0-3n.jpg</t>
  </si>
  <si>
    <t>K-4681</t>
  </si>
  <si>
    <t>Кольца 4T CB/CG Ø56,50mm (125/140cc STD) "TORO"</t>
  </si>
  <si>
    <t>https://b2beez.ru/images/detailed/167/6249568662.jpg</t>
  </si>
  <si>
    <t>K-4687</t>
  </si>
  <si>
    <t>Кольца 4T CB/CG Ø70,00mm (250cc STD) "TORO"</t>
  </si>
  <si>
    <t>https://b2beez.ru/images/detailed/167/orig_xhiy-ae.jpg</t>
  </si>
  <si>
    <t>K-4769</t>
  </si>
  <si>
    <t>Карбюратор CB/CG 200-250, TTR250 PZ30 (дроссель под трос) "KOMATCU"</t>
  </si>
  <si>
    <t>https://b2beez.ru/images/detailed/203/1_b4ig-37.jpg</t>
  </si>
  <si>
    <t>K-5268</t>
  </si>
  <si>
    <t>Кольца 4T CB/CG Ø63,50mm (150/200cc STD) "KJT"</t>
  </si>
  <si>
    <t>https://b2beez.ru/images/detailed/168/orig_ubjd-w7.jpg</t>
  </si>
  <si>
    <t>K-5315</t>
  </si>
  <si>
    <t>Кольца 4T CB/CG Ø63,50mm (150/200cc STD) "ZUNA" (mod.A)</t>
  </si>
  <si>
    <t>https://b2beez.ru/images/detailed/168/6243482344_p25a-nq.jpg</t>
  </si>
  <si>
    <t>K-5483</t>
  </si>
  <si>
    <t>Кольца Zongshen CB125 .STD (Ø56,5 OHC) оригинал Taiwan "SEE"</t>
  </si>
  <si>
    <t>https://b2beez.ru/images/detailed/168/orig_jtxn-wp.jpg</t>
  </si>
  <si>
    <t>K-5484</t>
  </si>
  <si>
    <t>Кольца Zongshen CB125 0,25 (Ø56,75 OHC) оригинал Taiwan "SEE"</t>
  </si>
  <si>
    <t>https://b2beez.ru/images/detailed/168/6224627712.jpg</t>
  </si>
  <si>
    <t>K-5485</t>
  </si>
  <si>
    <t>Кольца Zongshen CB125 0,50 (Ø57 OHC) оригинал Taiwan "SEE"</t>
  </si>
  <si>
    <t>https://b2beez.ru/images/detailed/168/6224627712_0qo6-zo.jpg</t>
  </si>
  <si>
    <t>K-5486</t>
  </si>
  <si>
    <t>Кольца Zongshen CB150 .STD (Ø61 OHC) оригинал Taiwan "SEE"</t>
  </si>
  <si>
    <t>https://b2beez.ru/images/detailed/168/6243482180.jpg</t>
  </si>
  <si>
    <t>K-5488</t>
  </si>
  <si>
    <t>Кольца Zongshen CB150 0,50 (Ø61,5 OHC) оригинал Taiwan "SEE"</t>
  </si>
  <si>
    <t>https://b2beez.ru/images/detailed/168/6243482180_98pm-sy.jpg</t>
  </si>
  <si>
    <t>K-5491</t>
  </si>
  <si>
    <t>Кольца Zongshen CB200 0,50 (Ø64 OHC) оригинал Taiwan "SEE"</t>
  </si>
  <si>
    <t>https://b2beez.ru/images/detailed/168/6224628507_5gj8-v5.jpg</t>
  </si>
  <si>
    <t>K-5495</t>
  </si>
  <si>
    <t>Кольца Zongshen CG125 .STD (Ø56,5 OHV) оригинал Taiwan "SEE"</t>
  </si>
  <si>
    <t>https://b2beez.ru/images/detailed/168/6224627712_pxkn-23.jpg</t>
  </si>
  <si>
    <t>K-5496</t>
  </si>
  <si>
    <t>Кольца Zongshen CG125 0,25 (Ø56,75 OHV) оригинал Taiwan "SEE"</t>
  </si>
  <si>
    <t>https://b2beez.ru/images/detailed/168/6224627712_ngw3-p0.jpg</t>
  </si>
  <si>
    <t>K-5497</t>
  </si>
  <si>
    <t>Кольца Zongshen CG125 0,50 (Ø57 OHV) оригинал Taiwan "SEE"</t>
  </si>
  <si>
    <t>https://b2beez.ru/images/detailed/168/6224627712_u6br-aq.jpg</t>
  </si>
  <si>
    <t>K-5498</t>
  </si>
  <si>
    <t>Кольца Zongshen CG150 .STD (Ø62, p-15, OHV) оригинал Taiwan "SEE"</t>
  </si>
  <si>
    <t>https://b2beez.ru/images/detailed/168/6224628507_jnia-yx.jpg</t>
  </si>
  <si>
    <t>K-5499</t>
  </si>
  <si>
    <t>Кольца Zongshen CG150 0,25 (Ø62,25, p-15, OHV) оригинал Taiwan "SEE"</t>
  </si>
  <si>
    <t>https://b2beez.ru/images/detailed/168/6243482180_vtaj-a4.jpg</t>
  </si>
  <si>
    <t>K-5502</t>
  </si>
  <si>
    <t>Кольца Zongshen CG200 0,25 (Ø63,75 OHV) оригинал Taiwan "SEE"</t>
  </si>
  <si>
    <t>https://b2beez.ru/images/detailed/168/6243482180_gfw5-9s.jpg</t>
  </si>
  <si>
    <t>K-5503</t>
  </si>
  <si>
    <t>Кольца Zongshen CG200 0,50 (Ø64 OHV) оригинал Taiwan "SEE"</t>
  </si>
  <si>
    <t>https://b2beez.ru/images/detailed/168/6243482180_uq7c-pb.jpg</t>
  </si>
  <si>
    <t>K-572</t>
  </si>
  <si>
    <t>Карбюратор CB/CG 200-250, TTR250 PZ30 (дроссель под трос) "BEEZMOTO"</t>
  </si>
  <si>
    <t>https://b2beez.ru/images/detailed/168/orig_3nue-s1.jpg</t>
  </si>
  <si>
    <t>K-6405</t>
  </si>
  <si>
    <t>Шестерня коленвала 4T CB250, Shineray XY250GY (169FMM) (под маслонасос) "KOMATCU"</t>
  </si>
  <si>
    <t>https://b2beez.ru/images/detailed/168/6243482647.jpg</t>
  </si>
  <si>
    <t>K-6471</t>
  </si>
  <si>
    <t>Картер 4T CB150 (в сборе) "KOMATCU" (mod.A)</t>
  </si>
  <si>
    <t>https://b2beez.ru/images/detailed/168/orig_znry-mb.jpg</t>
  </si>
  <si>
    <t>K-6504</t>
  </si>
  <si>
    <t>Коммутатор (тюнинг) Zonghsen CG125/150 (золотистый) "SNE" (mod.A)</t>
  </si>
  <si>
    <t>https://b2beez.ru/images/detailed/168/6243482191.jpg</t>
  </si>
  <si>
    <t>K-6507</t>
  </si>
  <si>
    <t>Копирный вал КПП 4T CG125/150 "KOMATCU" (mod.A)</t>
  </si>
  <si>
    <t>https://b2beez.ru/images/detailed/168/6243482351.jpg</t>
  </si>
  <si>
    <t>K-6527</t>
  </si>
  <si>
    <t>Пробка слива масла (болт) 4T CB/CG 125/150 (+масляный фильтр) "KOMATCU"</t>
  </si>
  <si>
    <t>https://b2beez.ru/images/detailed/168/orig_vv3b-44.jpg</t>
  </si>
  <si>
    <t>K-6559</t>
  </si>
  <si>
    <t>Фиксатор переключения передач 4T CG150 "KOMATCU" (mod.A)</t>
  </si>
  <si>
    <t>https://b2beez.ru/images/detailed/168/6243482543.jpg</t>
  </si>
  <si>
    <t>K-6652</t>
  </si>
  <si>
    <t>Кольца 4T CB133 .STD (Ø58,50) "GONGYU"</t>
  </si>
  <si>
    <t>https://b2beez.ru/images/detailed/168/orig_qlxn-84.jpg</t>
  </si>
  <si>
    <t>K-6654</t>
  </si>
  <si>
    <t>Кольца 4T CB200 .STD (Ø63,50) "BEEZMOTO"</t>
  </si>
  <si>
    <t>https://b2beez.ru/images/detailed/168/6717468927.jpg</t>
  </si>
  <si>
    <t>K-6656</t>
  </si>
  <si>
    <t>Кольца 4T CB250 .STD (Ø69,00) "GONGYU"</t>
  </si>
  <si>
    <t>https://b2beez.ru/images/detailed/168/6243482186.jpg</t>
  </si>
  <si>
    <t>K-6667</t>
  </si>
  <si>
    <t>Кольца 4T CG180 .STD (Ø59,60) "GONGYU"</t>
  </si>
  <si>
    <t>https://b2beez.ru/images/detailed/168/6243482381.jpg</t>
  </si>
  <si>
    <t>K-6668</t>
  </si>
  <si>
    <t>Кольца 4T CG200 .STD (Ø63,00) "GONGYU"</t>
  </si>
  <si>
    <t>https://b2beez.ru/images/detailed/168/6224628481_83eu-qp.jpg</t>
  </si>
  <si>
    <t>K-6670</t>
  </si>
  <si>
    <t>Кольца 4T CG210 .STD (Ø63,00) "GONGYU"</t>
  </si>
  <si>
    <t>https://b2beez.ru/images/detailed/168/6243482239.jpg</t>
  </si>
  <si>
    <t>K-6783</t>
  </si>
  <si>
    <t>Кольца 4T CB/CG Ø57,00mm (125/140cc 0,50) "SUNY" (mod.B)</t>
  </si>
  <si>
    <t>https://b2beez.ru/images/detailed/168/6243482293.jpg</t>
  </si>
  <si>
    <t>K-6784</t>
  </si>
  <si>
    <t>Кольца 4T CB/CG Ø57,25mm (125/140cc 0,75) "SUNY" (mod.B)</t>
  </si>
  <si>
    <t>https://b2beez.ru/images/detailed/168/orig_hwn8-aj.jpg</t>
  </si>
  <si>
    <t>K-6785</t>
  </si>
  <si>
    <t>Кольца 4T CB/CG Ø57,50mm (125/140cc 1,00) "SUNY" (mod.B)</t>
  </si>
  <si>
    <t>https://b2beez.ru/images/detailed/168/6249329668.jpg</t>
  </si>
  <si>
    <t>K-6792</t>
  </si>
  <si>
    <t>Кольца 4T CB/CG Ø62,25mm (150/175cc 0,25) "SUNY" (mod.B)</t>
  </si>
  <si>
    <t>https://b2beez.ru/images/detailed/168/6243482271.jpg</t>
  </si>
  <si>
    <t>K-6794</t>
  </si>
  <si>
    <t>Кольца 4T CB/CG Ø62,75mm (150/175cc 0,75) "SUNY" (mod.B)</t>
  </si>
  <si>
    <t>https://b2beez.ru/images/detailed/168/6243482097.jpg</t>
  </si>
  <si>
    <t>K-6802</t>
  </si>
  <si>
    <t>Кольца 4T CB/CG Ø63,75mm (150/200cc 0,25) "SUNY" (mod.B)</t>
  </si>
  <si>
    <t>https://b2beez.ru/images/detailed/168/6243482074.jpg</t>
  </si>
  <si>
    <t>K-6804</t>
  </si>
  <si>
    <t>Кольца 4T CB/CG Ø64,25mm (150/200cc 0,75) "SUNY" (mod.B)</t>
  </si>
  <si>
    <t>https://b2beez.ru/images/detailed/168/6243482193.jpg</t>
  </si>
  <si>
    <t>K-6806</t>
  </si>
  <si>
    <t>Кольца 4T CB/CG Ø67,00mm (200/250cc STD) "SUNY" (mod.A)</t>
  </si>
  <si>
    <t>https://b2beez.ru/images/detailed/168/6321408708.jpg</t>
  </si>
  <si>
    <t>M-465</t>
  </si>
  <si>
    <t>Фильтр масляный Yamaha YBR125 (сетка) "KOMATCU"</t>
  </si>
  <si>
    <t>https://b2beez.ru/images/detailed/169/orig_dha0-tb.jpg</t>
  </si>
  <si>
    <t>M-628</t>
  </si>
  <si>
    <t>Маслонасос 4T CG125/150 "KOMATCU" (mod.A)</t>
  </si>
  <si>
    <t>https://b2beez.ru/images/detailed/169/orig_c5o9-94.jpg</t>
  </si>
  <si>
    <t>N-1894</t>
  </si>
  <si>
    <t>Отбойник двигателя боковой (черный) "KOMATCU"</t>
  </si>
  <si>
    <t>https://b2beez.ru/images/detailed/170/orig_vu34-eg.jpg</t>
  </si>
  <si>
    <t>N-1895</t>
  </si>
  <si>
    <t>Отбойник двигателя боковой (оранжевый) "KOMATCU"</t>
  </si>
  <si>
    <t>https://b2beez.ru/images/detailed/170/orig_mylo-de.jpg</t>
  </si>
  <si>
    <t>N-1896</t>
  </si>
  <si>
    <t>Отбойник двигателя боковой (синий) "KOMATCU"</t>
  </si>
  <si>
    <t>https://b2beez.ru/images/detailed/170/orig_rdxe-a6.jpg</t>
  </si>
  <si>
    <t>N-1897</t>
  </si>
  <si>
    <t>Отбойник двигателя боковой (фиолетовый) "KOMATCU"</t>
  </si>
  <si>
    <t>https://b2beez.ru/images/detailed/170/orig_j2u5-kb.jpg</t>
  </si>
  <si>
    <t>N-1899</t>
  </si>
  <si>
    <t>Отбойники универсальные (оранжевые) "KOMATCU"</t>
  </si>
  <si>
    <t>https://b2beez.ru/images/detailed/170/orig_xt3n-f3.jpg</t>
  </si>
  <si>
    <t>N-1900</t>
  </si>
  <si>
    <t>Отбойники универсальные (синие) (L-118 mm,D-48 mm)"KOMATCU"</t>
  </si>
  <si>
    <t>https://b2beez.ru/images/detailed/170/orig_es40-y1.jpg</t>
  </si>
  <si>
    <t>N-2284</t>
  </si>
  <si>
    <t>Подножкка пассажирская с креплением (левая) Zongshen ZS200 "LJW"</t>
  </si>
  <si>
    <t>https://b2beez.ru/images/detailed/170/orig_2hys-mv.jpg</t>
  </si>
  <si>
    <t>N-3296</t>
  </si>
  <si>
    <t>Рычаги руля складные (в сборе) Pitbike, ATV (BSE) "KOMATCU"</t>
  </si>
  <si>
    <t>https://b2beez.ru/images/detailed/205/1_va95-2s.jpg</t>
  </si>
  <si>
    <t>N-437</t>
  </si>
  <si>
    <t>Слайдеры рамы двигателя Kawasaki (красные) "RIDE IT"</t>
  </si>
  <si>
    <t>https://b2beez.ru/images/detailed/171/6243482267.jpg</t>
  </si>
  <si>
    <t>N-442</t>
  </si>
  <si>
    <t>Отбойники двигателя боковые (серебристые) "RIDE IT"</t>
  </si>
  <si>
    <t>https://b2beez.ru/images/detailed/171/6243482500.jpg</t>
  </si>
  <si>
    <t>N-517</t>
  </si>
  <si>
    <t>Рычаг включения сцепления 4T CG150 "BEEZMOTO"</t>
  </si>
  <si>
    <t>https://b2beez.ru/images/detailed/171/orig_fijs-3m.jpg</t>
  </si>
  <si>
    <t>N-573</t>
  </si>
  <si>
    <t>Педаль тормоза Yamaha YBR125 "KOMATCU"</t>
  </si>
  <si>
    <t>https://b2beez.ru/images/detailed/171/orig_tnkq-vn.jpg</t>
  </si>
  <si>
    <t>N-574</t>
  </si>
  <si>
    <t>Рычаг руля левый Yamaha YBR125 (с креплением, +концевой выключатель) "KOMATCU"</t>
  </si>
  <si>
    <t>https://b2beez.ru/images/detailed/204/1_k5n8-0n.jpg</t>
  </si>
  <si>
    <t>O-1052</t>
  </si>
  <si>
    <t>Стоп-сигнал (в сборе) Yamaha YBR125 (диодный, 15 LED, красный) (стоп/габорит) "KOMATCU"</t>
  </si>
  <si>
    <t>https://b2beez.ru/images/detailed/171/6243482531.jpg</t>
  </si>
  <si>
    <t>O-2376</t>
  </si>
  <si>
    <t>Крепление фары Zongshen, Lifan 125/150 "KOMATCU" (mod.A)</t>
  </si>
  <si>
    <t>https://b2beez.ru/images/detailed/172/6923372116.jpg</t>
  </si>
  <si>
    <t>O-2381</t>
  </si>
  <si>
    <t>Маховик (обгонная муфта) Honda CBF "KOMATCU" (mod.A)</t>
  </si>
  <si>
    <t>https://b2beez.ru/images/detailed/172/6243482277.jpg</t>
  </si>
  <si>
    <t>O-713</t>
  </si>
  <si>
    <t>Ремкомплект сцепления 4T KTT125 157FMI CB125 (диски ведомые) "HONGJU"</t>
  </si>
  <si>
    <t>https://b2beez.ru/images/detailed/172/6243482650.jpg</t>
  </si>
  <si>
    <t>P-1026</t>
  </si>
  <si>
    <t>Поршень 4T CB/CG Ø62,50mm, p-15 (150/175cc 0,50:162FMJ, 162FMK) "RED"</t>
  </si>
  <si>
    <t>https://b2beez.ru/images/detailed/172/orig_vsig-um.jpg</t>
  </si>
  <si>
    <t>P-1032</t>
  </si>
  <si>
    <t>Поршень 4T CB/CG Ø64,00mm, p-15 (150/200cc 0,50:163FML) "RED"</t>
  </si>
  <si>
    <t>https://b2beez.ru/images/detailed/172/6243482372.jpg</t>
  </si>
  <si>
    <t>P-1033</t>
  </si>
  <si>
    <t>Поршень 4T CB/CG Ø64,25mm, p-15 (150/200cc 0,75:163FML) "TNT"</t>
  </si>
  <si>
    <t>https://b2beez.ru/images/detailed/172/orig_vcs3-v0.jpg</t>
  </si>
  <si>
    <t>P-1034</t>
  </si>
  <si>
    <t>Поршень 4T CB/CG Ø64,50mm, p-15 (150/200cc 1,00:163FML) "TNT"</t>
  </si>
  <si>
    <t>https://b2beez.ru/images/detailed/172/orig_8wvz-22.jpg</t>
  </si>
  <si>
    <t>P-1038</t>
  </si>
  <si>
    <t>Поршень 4T CB/CG Ø67,75mm, p-16 (200/250cc 0,75:167FML, 167FMM) "TT"</t>
  </si>
  <si>
    <t>https://b2beez.ru/images/detailed/172/6246067054.jpg</t>
  </si>
  <si>
    <t>P-1039</t>
  </si>
  <si>
    <t>Поршень 4T CB/CG Ø68,00mm, p-16 (200/250cc 1,00:167FML, 167FMM) "TT"</t>
  </si>
  <si>
    <t>https://b2beez.ru/images/detailed/172/orig_y9tj-0e.jpg</t>
  </si>
  <si>
    <t>P-1694</t>
  </si>
  <si>
    <t>Прокладки двигателя (набор) 4T CG150 (полный) "PREMIUM GASKETS"</t>
  </si>
  <si>
    <t>https://b2beez.ru/images/detailed/172/6243482477.jpg</t>
  </si>
  <si>
    <t>P-1697</t>
  </si>
  <si>
    <t>Прокладки цилиндра (набор) 4T CG 125 (полный) "PREMIUM GASKETS"</t>
  </si>
  <si>
    <t>https://b2beez.ru/images/detailed/172/6243482535.jpg</t>
  </si>
  <si>
    <t>P-1701</t>
  </si>
  <si>
    <t>Прокладка глушителя 4T CB/CG 125-200 "BEEZMOTO"</t>
  </si>
  <si>
    <t>https://b2beez.ru/images/detailed/172/orig_dvd9-ub.jpg</t>
  </si>
  <si>
    <t>P-1702</t>
  </si>
  <si>
    <t>Прокладка глушителя 4T CG150 x 10шт "BEEZMOTO"</t>
  </si>
  <si>
    <t>https://b2beez.ru/images/detailed/172/orig_2c5x-mo.jpg</t>
  </si>
  <si>
    <t>P-1743</t>
  </si>
  <si>
    <t>Проводка Honda WH125 "KOMATCU"</t>
  </si>
  <si>
    <t>https://b2beez.ru/images/detailed/173/6243482694.jpg</t>
  </si>
  <si>
    <t>P-1794</t>
  </si>
  <si>
    <t>Сальник коленвала Viper, Irbis, Lifan 125/200 (20*34*7) "HND"</t>
  </si>
  <si>
    <t>https://b2beez.ru/images/detailed/173/6243482633.jpg</t>
  </si>
  <si>
    <t>P-2517</t>
  </si>
  <si>
    <t>Поршень 4T CB/CG Ø62,00mm, p-15 (150/175cc STD:162FMJ, 162FMK) "RED"</t>
  </si>
  <si>
    <t>https://b2beez.ru/images/detailed/173/6243482365_o8bl-hm.jpg</t>
  </si>
  <si>
    <t>P-2911</t>
  </si>
  <si>
    <t>Цепь ГРМ Yamaha YBR125 "LIPAI"</t>
  </si>
  <si>
    <t>https://b2beez.ru/images/detailed/173/orig_l8pu-22.jpg</t>
  </si>
  <si>
    <t>P-2912</t>
  </si>
  <si>
    <t>Успокоитель цепи ГРМ (комплект) Yamaha YBR125 "KOMATCU"</t>
  </si>
  <si>
    <t>https://b2beez.ru/images/detailed/173/6246874702.jpg</t>
  </si>
  <si>
    <t>P-2920</t>
  </si>
  <si>
    <t>Втулки маятника Yamaha YBR125 "KOMATCU"</t>
  </si>
  <si>
    <t>https://b2beez.ru/images/detailed/173/orig_d4kn-lt.jpg</t>
  </si>
  <si>
    <t>P-2921</t>
  </si>
  <si>
    <t>Поршень Yamaha YBR125 .STD(Ø54,00)"KOMATCU"</t>
  </si>
  <si>
    <t>https://b2beez.ru/images/detailed/173/orig_r9d1-kx.jpg</t>
  </si>
  <si>
    <t>P-2926</t>
  </si>
  <si>
    <t>Пластик Yamaha YBR125 задний хвост "KOMATCU"</t>
  </si>
  <si>
    <t>https://b2beez.ru/images/detailed/173/orig_g38m-vr.jpg</t>
  </si>
  <si>
    <t>P-2971</t>
  </si>
  <si>
    <t>Поршень 4T CB/CG Ø62,00mm, p-15 (150/175cc STD:162FMJ, 162FMK) "JIN"</t>
  </si>
  <si>
    <t>https://b2beez.ru/images/detailed/173/orig_e8ty-ht.jpg</t>
  </si>
  <si>
    <t>P-3004</t>
  </si>
  <si>
    <t>Цепь ГРМ 4T CB150 (3x4-100L) "RCP"</t>
  </si>
  <si>
    <t>https://b2beez.ru/images/detailed/173/6243482624.jpg</t>
  </si>
  <si>
    <t>P-3778</t>
  </si>
  <si>
    <t>Прокладки цилиндра (набор) 4T CB 250 (водяное охлаждение) "KOMATCU"</t>
  </si>
  <si>
    <t>https://b2beez.ru/images/detailed/173/6243482627.jpg</t>
  </si>
  <si>
    <t>P-4493</t>
  </si>
  <si>
    <t>Прокладки двигателя (набор) 4T CG125 (полный) "DJ" (mod:A)</t>
  </si>
  <si>
    <t>https://b2beez.ru/images/detailed/173/6243482539.jpg</t>
  </si>
  <si>
    <t>P-5191</t>
  </si>
  <si>
    <t>Прокладки двигателя (набор) 4T CG125 (полный) "MANLE"</t>
  </si>
  <si>
    <t>https://b2beez.ru/images/detailed/174/orig_kecx-9g.jpg</t>
  </si>
  <si>
    <t>P-5241</t>
  </si>
  <si>
    <t>Прокладки цилиндра (набор) 4T CG 250 (полный) "ZUNA"</t>
  </si>
  <si>
    <t>https://b2beez.ru/images/detailed/174/6243482506.jpg</t>
  </si>
  <si>
    <t>P-5242</t>
  </si>
  <si>
    <t>Прокладки цилиндра (набор) 4T CG 250 (полный) "MANLE"</t>
  </si>
  <si>
    <t>https://b2beez.ru/images/detailed/174/6243482503.jpg</t>
  </si>
  <si>
    <t>P-5589</t>
  </si>
  <si>
    <t>Поршень Zongshen CB125 .STD (Ø56,5 OHC) оригинал Taiwan "SEE"</t>
  </si>
  <si>
    <t>https://b2beez.ru/images/detailed/174/6243482586.jpg</t>
  </si>
  <si>
    <t>P-5592</t>
  </si>
  <si>
    <t>Поршень Zongshen CB150 .STD (Ø61 OHC) оригинал Taiwan "SEE"</t>
  </si>
  <si>
    <t>https://b2beez.ru/images/detailed/174/6243482333.jpg</t>
  </si>
  <si>
    <t>P-5593</t>
  </si>
  <si>
    <t>Поршень Zongshen CB150 0,25 (Ø61,25 OHC) оригинал Taiwan "SEE"</t>
  </si>
  <si>
    <t>https://b2beez.ru/images/detailed/174/6243482333_q8iv-6f.jpg</t>
  </si>
  <si>
    <t>P-5594</t>
  </si>
  <si>
    <t>Поршень Zongshen CB150 0,50 (Ø61,5 OHC) оригинал Taiwan "SEE"</t>
  </si>
  <si>
    <t>https://b2beez.ru/images/detailed/174/6243482333_q86w-vj.jpg</t>
  </si>
  <si>
    <t>P-5596</t>
  </si>
  <si>
    <t>Поршень Zongshen CB200 0,25 (Ø63,75 OHC) оригинал Taiwan "SEE"</t>
  </si>
  <si>
    <t>https://b2beez.ru/images/detailed/174/6243482326_9jvr-fw.jpg</t>
  </si>
  <si>
    <t>P-5597</t>
  </si>
  <si>
    <t>Поршень Zongshen CB200 0,50 (Ø64 OHC) оригинал Taiwan "SEE"</t>
  </si>
  <si>
    <t>https://b2beez.ru/images/detailed/174/6243482346.jpg</t>
  </si>
  <si>
    <t>P-5605</t>
  </si>
  <si>
    <t>Поршень Zongshen CG150 0,25 (Ø62,25, p-15, OHV) оригинал Taiwan "SEE"</t>
  </si>
  <si>
    <t>https://b2beez.ru/images/detailed/174/6243482460.jpg</t>
  </si>
  <si>
    <t>P-5606</t>
  </si>
  <si>
    <t>Поршень Zongshen CG150 0,50 (Ø62,5, p-15, OHV) оригинал Taiwan "SEE"</t>
  </si>
  <si>
    <t>https://b2beez.ru/images/detailed/174/orig_q9hk-pq.jpg</t>
  </si>
  <si>
    <t>P-5608</t>
  </si>
  <si>
    <t>Поршень Zongshen CG200 0,25 (Ø63,75 OHV) оригинал Taiwan "SEE"</t>
  </si>
  <si>
    <t>https://b2beez.ru/images/detailed/174/orig_wno9-xn.jpg</t>
  </si>
  <si>
    <t>P-5609</t>
  </si>
  <si>
    <t>Поршень Zongshen CG200 0,50 (Ø64 OHV) оригинал Taiwan "SEE"</t>
  </si>
  <si>
    <t>https://b2beez.ru/images/detailed/174/6246549827.jpg</t>
  </si>
  <si>
    <t>P-6345</t>
  </si>
  <si>
    <t>Прокладки двигателя (набор) 4T CB125 "KOMATCU" (mod.A)</t>
  </si>
  <si>
    <t>https://b2beez.ru/images/detailed/174/orig_je2s-o7.jpg</t>
  </si>
  <si>
    <t>P-6374</t>
  </si>
  <si>
    <t>Прокладки цилиндра (набор) 4T CG 150 (полный) "KOMATCU" (mod.A)</t>
  </si>
  <si>
    <t>https://b2beez.ru/images/detailed/174/orig_ggyf-cj.jpg</t>
  </si>
  <si>
    <t>P-6423</t>
  </si>
  <si>
    <t>Сальник вилки Zongshen, Lifan 200 (37*50*11) "KOMATCU" (mod.A)</t>
  </si>
  <si>
    <t>https://b2beez.ru/images/detailed/174/orig_1bvi-ze.jpg</t>
  </si>
  <si>
    <t>P-6694</t>
  </si>
  <si>
    <t>Поршень 4T CB/CG Ø56,75mm, p-15 (125/140cc 0,25) "SUNY" (mod.B)</t>
  </si>
  <si>
    <t>https://b2beez.ru/images/detailed/175/6243482295.jpg</t>
  </si>
  <si>
    <t>P-6696</t>
  </si>
  <si>
    <t>Поршень 4T CB/CG Ø57,00mm, p-15 (125/140cc 0,50) "SUNY" (mod.B)</t>
  </si>
  <si>
    <t>https://b2beez.ru/images/detailed/175/6243482320.jpg</t>
  </si>
  <si>
    <t>R-2374</t>
  </si>
  <si>
    <t>Подшипники руля Yamaha YBR125 "GEHUI"</t>
  </si>
  <si>
    <t>https://b2beez.ru/images/detailed/177/6243482432.jpg</t>
  </si>
  <si>
    <t>R-418</t>
  </si>
  <si>
    <t>Ремкомплект суппорта тормозного (диск) Zongshen, Lifan 125/150 (перед) "BEEZMOTO"</t>
  </si>
  <si>
    <t>https://b2beez.ru/images/detailed/177/7175034200.jpg</t>
  </si>
  <si>
    <t>S-1252</t>
  </si>
  <si>
    <t>Трос спидометра Zongshen, Lifan 125/150 (внутренняя - наружная резьбы) "KOMATCU"</t>
  </si>
  <si>
    <t>https://b2beez.ru/images/detailed/178/6243482659.jpg</t>
  </si>
  <si>
    <t>S-2021</t>
  </si>
  <si>
    <t>Корзина сцепления (в сборе) 4T CB175 "HONGJU" (mod:A)</t>
  </si>
  <si>
    <t>https://b2beez.ru/images/detailed/179/6243482195.jpg</t>
  </si>
  <si>
    <t>S-2036</t>
  </si>
  <si>
    <t>Сепаратор закрытый HK1512 (коробка передач 4T CВ125/150) "KOMATCU"</t>
  </si>
  <si>
    <t>https://b2beez.ru/images/detailed/179/orig_kml3-hi.jpg</t>
  </si>
  <si>
    <t>S-2037</t>
  </si>
  <si>
    <t>Корзина сцепления (в сборе) CBF150 "HONGJU"</t>
  </si>
  <si>
    <t>https://b2beez.ru/images/detailed/179/6243482275.jpg</t>
  </si>
  <si>
    <t>S-2038</t>
  </si>
  <si>
    <t>Корзина сцепления (в сборе) Suzuki GT "HONGJU"</t>
  </si>
  <si>
    <t>https://b2beez.ru/images/detailed/179/6243482140.jpg</t>
  </si>
  <si>
    <t>S-2457</t>
  </si>
  <si>
    <t>Шестерня первичная корзины сцепления 4T CB/CG 125/150 "BEEZMOTO"</t>
  </si>
  <si>
    <t>https://b2beez.ru/images/detailed/179/orig_w17d-72.jpg</t>
  </si>
  <si>
    <t>S-4742</t>
  </si>
  <si>
    <t>Втулка крепления электростартера 4T CB/CG 125/150</t>
  </si>
  <si>
    <t>https://b2beez.ru/images/detailed/181/6243482065.jpg</t>
  </si>
  <si>
    <t>S-4825</t>
  </si>
  <si>
    <t>Корзина сцепления (в сборе) CBF150 "KOMATCU" (mod.A)</t>
  </si>
  <si>
    <t>https://b2beez.ru/images/detailed/181/6243482208.jpg</t>
  </si>
  <si>
    <t>T-1167</t>
  </si>
  <si>
    <t>Колодки тормозные (диск) Aprilia RX/RS "KOMATCU" (mod.A)</t>
  </si>
  <si>
    <t>https://b2beez.ru/images/detailed/182/orig_a0uu-9l.jpg</t>
  </si>
  <si>
    <t>V-1292</t>
  </si>
  <si>
    <t>Поршневая (ЦПГ) 4T CG150 (Ø62.0, p-15) "BEEZMOTO"</t>
  </si>
  <si>
    <t>https://b2beez.ru/images/detailed/204/V-1292-21.jpg</t>
  </si>
  <si>
    <t>V-1293</t>
  </si>
  <si>
    <t>Поршневая (ЦПГ) 4T CG200 (Ø63.5,p-15) "BEEZMOTO"</t>
  </si>
  <si>
    <t>https://b2beez.ru/images/detailed/184/6950500603.jpg</t>
  </si>
  <si>
    <t>V-1302</t>
  </si>
  <si>
    <t>Поршневая (ЦПГ) 4T CG125 (Ø56.5,p-15) "KOMATCU"</t>
  </si>
  <si>
    <t>https://b2beez.ru/images/detailed/184/orig_ujux-t4.jpg</t>
  </si>
  <si>
    <t>V-1505</t>
  </si>
  <si>
    <t>Поршневая (ЦПГ) 4T CG175 (Ø62.0, p-15, h-74.5) (воздушно-масляное охлаждение, #0002) "GONGYU"</t>
  </si>
  <si>
    <t>https://b2beez.ru/images/detailed/185/orig_neom-fh.jpg</t>
  </si>
  <si>
    <t>V-1514</t>
  </si>
  <si>
    <t>Поршневая (ЦПГ) 4T CB250T (Ø53.0, p-15, h-76, TWIN) "GONGYU"</t>
  </si>
  <si>
    <t>https://b2beez.ru/images/detailed/185/orig_pxqg-ss.jpg</t>
  </si>
  <si>
    <t>V-1522</t>
  </si>
  <si>
    <t>Поршневая (ЦПГ) 4T CG200 (Ø63.5, p-15, h-76) (водяное охлаждение, с ребрами) "GONGYU"</t>
  </si>
  <si>
    <t>https://b2beez.ru/images/detailed/185/orig_j5st-3i.jpg</t>
  </si>
  <si>
    <t>V-1534</t>
  </si>
  <si>
    <t>Поршневая (ЦПГ) 4T CG200 (Ø63.0, p-15, h-75) (водяное охлаждение) "GONGYU"</t>
  </si>
  <si>
    <t>https://b2beez.ru/images/detailed/185/orig_xw0h-uh.jpg</t>
  </si>
  <si>
    <t>V-1539</t>
  </si>
  <si>
    <t>Поршневая (ЦПГ) 4T CB145 (Ø61.0, p-15, h-69) "GONGYU"</t>
  </si>
  <si>
    <t>https://b2beez.ru/images/detailed/185/orig_7izs-qs.jpg</t>
  </si>
  <si>
    <t>V-1541</t>
  </si>
  <si>
    <t>Поршневая (ЦПГ) 4T CG133 (Ø58.5, p-14, h-69) "GONGYU"</t>
  </si>
  <si>
    <t>https://b2beez.ru/images/detailed/185/orig_ymh1-na.jpg</t>
  </si>
  <si>
    <t>V-1543</t>
  </si>
  <si>
    <t>Цилиндр 4T Suzuki GD-110 (Ø51, h-72.5) "GONGYU"</t>
  </si>
  <si>
    <t>https://b2beez.ru/images/detailed/185/6243482635.jpg</t>
  </si>
  <si>
    <t>V-2138</t>
  </si>
  <si>
    <t>Вал заводной 4T CG125/150 "BEEZMOTO"</t>
  </si>
  <si>
    <t>https://b2beez.ru/images/detailed/186/orig_16kv-tr.jpg</t>
  </si>
  <si>
    <t>V-2257</t>
  </si>
  <si>
    <t>Поршневая (ЦПГ) 4T CG175 (Ø62.0, p-15, h-75.85) (водяное охлаждение) "GONGYU"</t>
  </si>
  <si>
    <t>https://b2beez.ru/images/detailed/186/orig_dk0c-2d.jpg</t>
  </si>
  <si>
    <t>V-2258</t>
  </si>
  <si>
    <t>Поршневая (ЦПГ) 4T CBF125 (Ø52.4, h-62,3) (черный) "GONGYU"</t>
  </si>
  <si>
    <t>https://b2beez.ru/images/detailed/186/orig_trwj-3b.jpg</t>
  </si>
  <si>
    <t>V-2261</t>
  </si>
  <si>
    <t>Поршневая (ЦПГ) 4T CBT113 (Ø51, h-78,2) "GONGYU"</t>
  </si>
  <si>
    <t>https://b2beez.ru/images/detailed/186/orig_pwsk-mc.jpg</t>
  </si>
  <si>
    <t>V-2262</t>
  </si>
  <si>
    <t>Поршневая (ЦПГ) 4T CBF125 (Ø52.4, h-62,3) "GONGYU"</t>
  </si>
  <si>
    <t>https://b2beez.ru/images/detailed/186/orig_x1g2-97.jpg</t>
  </si>
  <si>
    <t>V-2267</t>
  </si>
  <si>
    <t>Поршневая (ЦПГ) 4T CG200 (Ø63, h-87) (водяное охлаждение) "GONGYU"</t>
  </si>
  <si>
    <t>https://b2beez.ru/images/detailed/186/orig_bkte-ec.jpg</t>
  </si>
  <si>
    <t>V-2283</t>
  </si>
  <si>
    <t>Поршень 4T CG210 .STD (Ø63.0, р-15) (в сборе) "GONGYU"</t>
  </si>
  <si>
    <t>https://b2beez.ru/images/detailed/186/6243482466.jpg</t>
  </si>
  <si>
    <t>V-2301</t>
  </si>
  <si>
    <t>Поршень 4T CG180 .STD (Ø59.6, р-15) (в сборе) "GONGYU"</t>
  </si>
  <si>
    <t>https://b2beez.ru/images/detailed/186/6243482465.jpg</t>
  </si>
  <si>
    <t>V-2304</t>
  </si>
  <si>
    <t>Поршень Honda WAVE 150 .STD (Ø57.4, р-15) (в сборе) "GONGYU"</t>
  </si>
  <si>
    <t>https://b2beez.ru/images/detailed/186/6246063312.jpg</t>
  </si>
  <si>
    <t>Z-619</t>
  </si>
  <si>
    <t>Замок зажигания (комплект) Yamaha YBR125 (+крышка бака) "KOMATCU"</t>
  </si>
  <si>
    <t>https://b2beez.ru/images/detailed/204/Z-619-4.jpg</t>
  </si>
  <si>
    <t>B-109</t>
  </si>
  <si>
    <t>Рычаг эксцентрика тормоза Zongshen, Lifan 125/150 "JS"</t>
  </si>
  <si>
    <t>https://b2beez.ru/images/detailed/154/6243482638.jpg</t>
  </si>
  <si>
    <t>B-338</t>
  </si>
  <si>
    <t>Рычаг эксцентрика тормоза Suzuki 4T GN125 "MOZBA"</t>
  </si>
  <si>
    <t>https://b2beez.ru/images/detailed/154/6243482666.jpg</t>
  </si>
  <si>
    <t>B-339</t>
  </si>
  <si>
    <t>Рычаг эксцентрика тормоза 4T CG150 "MOZBA"</t>
  </si>
  <si>
    <t>https://b2beez.ru/images/detailed/154/6243482600.jpg</t>
  </si>
  <si>
    <t>B-999</t>
  </si>
  <si>
    <t>Кран топливный Yamaha YB100 "KOMATCU" (mod.A)</t>
  </si>
  <si>
    <t>https://b2beez.ru/images/detailed/154/6243482236.jpg</t>
  </si>
  <si>
    <t>C-1008</t>
  </si>
  <si>
    <t>Демпфер заднего колеса Zongshen ZS125J "KOMATCU"</t>
  </si>
  <si>
    <t>https://b2beez.ru/images/detailed/154/6243482043.jpg</t>
  </si>
  <si>
    <t>C-1014</t>
  </si>
  <si>
    <t>Крышка звезды передней Yamaha YBR125 (пластик) "KOMATCU"</t>
  </si>
  <si>
    <t>https://b2beez.ru/images/detailed/154/orig_17tb-tk.jpg</t>
  </si>
  <si>
    <t>C-1491</t>
  </si>
  <si>
    <t>Демпфер заднего колеса Zongshen ZS125J "ZZQ"</t>
  </si>
  <si>
    <t>https://b2beez.ru/images/detailed/155/6243482033.jpg</t>
  </si>
  <si>
    <t>C-1712</t>
  </si>
  <si>
    <t>Резинка демпферная Suzuki AX100 (черная) "HJ"</t>
  </si>
  <si>
    <t>https://b2beez.ru/images/detailed/155/6243482481.jpg</t>
  </si>
  <si>
    <t>C-1713</t>
  </si>
  <si>
    <t>Резинка демпферная Suzuki AX100 (красная, эластичная) "HJ"</t>
  </si>
  <si>
    <t>https://b2beez.ru/images/detailed/155/6243482446.jpg</t>
  </si>
  <si>
    <t>C-463</t>
  </si>
  <si>
    <t>Резинка демпферная Suzuki AX100 (силикон) "IRUBBER"</t>
  </si>
  <si>
    <t>https://b2beez.ru/images/detailed/156/6243482514.jpg</t>
  </si>
  <si>
    <t>C-960</t>
  </si>
  <si>
    <t>Звезда трансмиссии ведущая (передняя) 428-15T, 20мм, TTR 250, CB/CG 125-250 "BEEZMOTO"</t>
  </si>
  <si>
    <t>https://b2beez.ru/images/detailed/157/orig_to3m-zd.jpg</t>
  </si>
  <si>
    <t>G-1453</t>
  </si>
  <si>
    <t>Крышка головки цилиндра Yamaha YBR125 "LIPAI"</t>
  </si>
  <si>
    <t>https://b2beez.ru/images/detailed/161/orig_z9j9-qo.jpg</t>
  </si>
  <si>
    <t>G-1529</t>
  </si>
  <si>
    <t>Фланец крепления глушителя 4T CG200 "MOZBA"</t>
  </si>
  <si>
    <t>https://b2beez.ru/images/detailed/161/6243482524.jpg</t>
  </si>
  <si>
    <t>G-1530</t>
  </si>
  <si>
    <t>Фланец крепления глушителя 4T CG150 "MOZBA"</t>
  </si>
  <si>
    <t>https://b2beez.ru/images/detailed/161/6243482687.jpg</t>
  </si>
  <si>
    <t>G-1534</t>
  </si>
  <si>
    <t>Шпильки цилиндра (4шт) 4T CG125/150 (+гайки) "MOZBA"</t>
  </si>
  <si>
    <t>https://b2beez.ru/images/detailed/161/6243482555.jpg</t>
  </si>
  <si>
    <t>G-2830</t>
  </si>
  <si>
    <t>Прокладка головки цилиндра 4T CB150/175 (OHC 162FMJ) "KOMATCU" (mod.A)</t>
  </si>
  <si>
    <t>https://b2beez.ru/images/detailed/162/6243482562.jpg</t>
  </si>
  <si>
    <t>G-818</t>
  </si>
  <si>
    <t>Фланец крепления глушителя 4T CB/CG 125-250 (хром) "JS"</t>
  </si>
  <si>
    <t>https://b2beez.ru/images/detailed/162/6243482621.jpg</t>
  </si>
  <si>
    <t>K-131</t>
  </si>
  <si>
    <t>Кольца 4T CB/CG Ø56,75mm (125/140cc 0,25) "KOSO"</t>
  </si>
  <si>
    <t>https://b2beez.ru/images/detailed/166/6241667187.jpg</t>
  </si>
  <si>
    <t>K-134</t>
  </si>
  <si>
    <t>Кольца 4T CB/CG Ø57,50mm (125/140cc 1,00) "KOSO"</t>
  </si>
  <si>
    <t>https://b2beez.ru/images/detailed/166/6241667187_1f67-ns.jpg</t>
  </si>
  <si>
    <t>K-135</t>
  </si>
  <si>
    <t>Кольца 4T CB/CG Ø62,75mm (150/175cc 0,75) "KOSO"</t>
  </si>
  <si>
    <t>https://b2beez.ru/images/detailed/166/6241667187_3l53-zn.jpg</t>
  </si>
  <si>
    <t>K-137</t>
  </si>
  <si>
    <t>Кольца 4T CB/CG Ø63,75mm (150/200cc 0,25) "KOSO"</t>
  </si>
  <si>
    <t>https://b2beez.ru/images/detailed/166/6249568737.jpg</t>
  </si>
  <si>
    <t>K-139</t>
  </si>
  <si>
    <t>Кольца 4T CB/CG Ø64,25mm (150/200cc 0,75) "KOSO"</t>
  </si>
  <si>
    <t>https://b2beez.ru/images/detailed/166/orig_c1su-tq.jpg</t>
  </si>
  <si>
    <t>K-2712</t>
  </si>
  <si>
    <t>Ремкомплект карбюратора Suzuki AX100 (mod: A) "XINLONG"</t>
  </si>
  <si>
    <t>https://b2beez.ru/images/detailed/166/6243482505.jpg</t>
  </si>
  <si>
    <t>K-2713</t>
  </si>
  <si>
    <t>Ремкомплект карбюратора Suzuki AX100 (mod: B) "XINLONG"</t>
  </si>
  <si>
    <t>https://b2beez.ru/images/detailed/166/6243482474.jpg</t>
  </si>
  <si>
    <t>K-3448</t>
  </si>
  <si>
    <t>Крышка генератора (правая) Yamaha YBR125 "KOMATCU"</t>
  </si>
  <si>
    <t>https://b2beez.ru/images/detailed/167/orig_2w4d-pi.jpg</t>
  </si>
  <si>
    <t>K-3456</t>
  </si>
  <si>
    <t>Щуп масла Yamaha YBR125 "KOMATCU"</t>
  </si>
  <si>
    <t>https://b2beez.ru/images/detailed/167/6243482669.jpg</t>
  </si>
  <si>
    <t>K-380</t>
  </si>
  <si>
    <t>Кольца 4T CB/CG Ø63,50mm (150/200cc STD) "KOSO"</t>
  </si>
  <si>
    <t>https://b2beez.ru/images/detailed/167/6241667187_r6ep-jv.jpg</t>
  </si>
  <si>
    <t>K-3953</t>
  </si>
  <si>
    <t>Фиксатор переключения передач 4T CB125/150 "ZZQ"</t>
  </si>
  <si>
    <t>https://b2beez.ru/images/detailed/167/6243482601.jpg</t>
  </si>
  <si>
    <t>K-3964</t>
  </si>
  <si>
    <t>Кольца 4T CB/CG Ø63,50mm (150/200cc STD) "TKT"</t>
  </si>
  <si>
    <t>https://b2beez.ru/images/detailed/167/6224627832.jpg</t>
  </si>
  <si>
    <t>K-4008</t>
  </si>
  <si>
    <t>Кольца 4T CB/CG Ø56,50mm (125/140cc STD) "TKT"</t>
  </si>
  <si>
    <t>https://b2beez.ru/images/detailed/167/6224627832_gij7-k7.jpg</t>
  </si>
  <si>
    <t>K-4009</t>
  </si>
  <si>
    <t>Кольца 4T CB/CG Ø61,00mm (150/175cc STD) "TKT"</t>
  </si>
  <si>
    <t>https://b2beez.ru/images/detailed/167/6246903923.jpg</t>
  </si>
  <si>
    <t>K-4011</t>
  </si>
  <si>
    <t>Кольца 4T CB/CG Ø67,00mm (200/250cc STD) "TKT"</t>
  </si>
  <si>
    <t>https://b2beez.ru/images/detailed/167/6224627832_w0x4-me.jpg</t>
  </si>
  <si>
    <t>K-4012</t>
  </si>
  <si>
    <t>Кольца 4T CB/CG Ø69,00mm (200/250cc STD) "TKT"</t>
  </si>
  <si>
    <t>https://b2beez.ru/images/detailed/167/6224627832_ggbf-i8.jpg</t>
  </si>
  <si>
    <t>K-4013</t>
  </si>
  <si>
    <t>Кольца 4T CB/CG Ø70,00mm (250cc STD) "TKT"</t>
  </si>
  <si>
    <t>https://b2beez.ru/images/detailed/167/6224627832_9k9x-v1.jpg</t>
  </si>
  <si>
    <t>K-5487</t>
  </si>
  <si>
    <t>Кольца Zongshen CB150 0,25 (Ø61,25 OHC) оригинал Taiwan "SEE"</t>
  </si>
  <si>
    <t>https://b2beez.ru/images/detailed/168/6243482180_azbj-fn.jpg</t>
  </si>
  <si>
    <t>K-5490</t>
  </si>
  <si>
    <t>Кольца Zongshen CB200 0,25 (Ø63,75 OHC) оригинал Taiwan "SEE"</t>
  </si>
  <si>
    <t>https://b2beez.ru/images/detailed/168/6224628507.jpg</t>
  </si>
  <si>
    <t>K-6474</t>
  </si>
  <si>
    <t>Картер 4T CG125/250 (в сборе) "KOMATCU" (mod.A)</t>
  </si>
  <si>
    <t>https://b2beez.ru/images/detailed/168/orig_kez6-8l.jpg</t>
  </si>
  <si>
    <t>K-6661</t>
  </si>
  <si>
    <t>Кольца 4T KAYO140 .STD (Ø56,00) "BEEZMOTO"</t>
  </si>
  <si>
    <t>https://b2beez.ru/images/detailed/168/6719431349.jpg</t>
  </si>
  <si>
    <t>M-433</t>
  </si>
  <si>
    <t>Фильтр масляный 4T CG150 "BEEZMOTO"</t>
  </si>
  <si>
    <t>https://b2beez.ru/images/detailed/169/orig_nv49-0m.jpg</t>
  </si>
  <si>
    <t>N-1907</t>
  </si>
  <si>
    <t>Рычаг включения сцепления 4T CB125/150 "ZZQ"</t>
  </si>
  <si>
    <t>https://b2beez.ru/images/detailed/170/6243482579.jpg</t>
  </si>
  <si>
    <t>N-206</t>
  </si>
  <si>
    <t>Рычаги руля Zongshen, Lifan 125/150 (голые) (2 пары) "BEEZMOTO"</t>
  </si>
  <si>
    <t>https://b2beez.ru/images/detailed/170/orig_r6j2-op.jpg</t>
  </si>
  <si>
    <t>N-2286</t>
  </si>
  <si>
    <t>Подножкка пассажирская с креплением (левая) Zongshen GS200 "LJW"</t>
  </si>
  <si>
    <t>https://b2beez.ru/images/detailed/170/orig_hnn6-ee.jpg</t>
  </si>
  <si>
    <t>N-3106</t>
  </si>
  <si>
    <t>Фильтр масляный для Honda, Husqvarna, ATV (Ø38, h-35) (HF 116, KY-A-171) "BEEZMOTO"</t>
  </si>
  <si>
    <t>https://b2beez.ru/images/detailed/171/orig_o6wt-qh.jpg</t>
  </si>
  <si>
    <t>N-3110</t>
  </si>
  <si>
    <t>Фильтр масляный для Betamotor, KTM, Polaris, ATV (Ø41, h-52) (HF 157, KY-A-094 52MM)</t>
  </si>
  <si>
    <t>https://b2beez.ru/images/detailed/171/orig_t83s-ac.jpg</t>
  </si>
  <si>
    <t>N-3111</t>
  </si>
  <si>
    <t>Фильтр масляный для Daelim (Ø38, h-67) (HF 169, KY-A-117)</t>
  </si>
  <si>
    <t>https://b2beez.ru/images/detailed/171/orig_wq8t-r2.jpg</t>
  </si>
  <si>
    <t>N-3115</t>
  </si>
  <si>
    <t>Фильтр масляный для Honda, ATV (Ø69, h-45) (HF 111, KY-A-037)</t>
  </si>
  <si>
    <t>https://b2beez.ru/images/detailed/171/orig_8mj0-bp.jpg</t>
  </si>
  <si>
    <t>N-3117</t>
  </si>
  <si>
    <t>Фильтр масляный для Honda (Ø50, h-36) (HF 113, KY-A-154) (+прокладки) "KOMATCU"</t>
  </si>
  <si>
    <t>https://b2beez.ru/images/detailed/171/6243482558.jpg</t>
  </si>
  <si>
    <t>N-3118</t>
  </si>
  <si>
    <t>Фильтр масляный для Suzuki (Ø72, h-64) (HF 133, KY-A-038) "BEEZMOTO"</t>
  </si>
  <si>
    <t>https://b2beez.ru/images/detailed/171/orig_k3tn-i1.jpg</t>
  </si>
  <si>
    <t>N-3119</t>
  </si>
  <si>
    <t>Фильтр масляный для Betamotor, Suzuki (Ø60, h-33) (HF 136, KY-A-042) "BEEZMOTO"</t>
  </si>
  <si>
    <t>https://b2beez.ru/images/detailed/171/orig_y2r2-li.jpg</t>
  </si>
  <si>
    <t>N-3120</t>
  </si>
  <si>
    <t>Фильтр масляный для Yamaha, Racing Motorcycle, ATV (Ø38, h-45) (HF 142, KY-A-107) "KOMATCU"</t>
  </si>
  <si>
    <t>https://b2beez.ru/images/detailed/171/orig_27c3-x1.jpg</t>
  </si>
  <si>
    <t>N-3121</t>
  </si>
  <si>
    <t>Фильтр масляный для Yamaha (Ø76, h-41) (HF 144, KY-A-049)</t>
  </si>
  <si>
    <t>https://b2beez.ru/images/detailed/171/orig_zxnr-r4.jpg</t>
  </si>
  <si>
    <t>N-3123</t>
  </si>
  <si>
    <t>Фильтр масляный для Aprilia, BMW, Bombardier, KTM, MuZ, ATV (Ø56, h-53) (HF 151, KY-A-050)</t>
  </si>
  <si>
    <t>https://b2beez.ru/images/detailed/171/orig_ycns-zv.jpg</t>
  </si>
  <si>
    <t>N-439</t>
  </si>
  <si>
    <t>Слайдеры рамы двигателя Kawasaki (желтые) "RIDE IT"</t>
  </si>
  <si>
    <t>https://b2beez.ru/images/detailed/171/6243482390.jpg</t>
  </si>
  <si>
    <t>O-712</t>
  </si>
  <si>
    <t>Маховик (обгонная муфта) Honda CBF "HONGJU" (mod:B)</t>
  </si>
  <si>
    <t>https://b2beez.ru/images/detailed/172/6243482615.jpg</t>
  </si>
  <si>
    <t>P-1014</t>
  </si>
  <si>
    <t>Поршень 4T CB/CG Ø56,75mm, p-15 (125/140cc 0,25) "TNT"</t>
  </si>
  <si>
    <t>https://b2beez.ru/images/detailed/172/6243482634.jpg</t>
  </si>
  <si>
    <t>P-1016</t>
  </si>
  <si>
    <t>Поршень 4T CB/CG Ø57,25mm, p-15 (125/140cc 0,75) "TNT"</t>
  </si>
  <si>
    <t>https://b2beez.ru/images/detailed/172/6243482309.jpg</t>
  </si>
  <si>
    <t>P-1025</t>
  </si>
  <si>
    <t>Поршень 4T CB/CG Ø62,25mm, p-15 (150/175cc 0,25:162FMJ, 162FMK) "RED"</t>
  </si>
  <si>
    <t>https://b2beez.ru/images/detailed/172/orig_4jjv-jr.jpg</t>
  </si>
  <si>
    <t>P-1037</t>
  </si>
  <si>
    <t>Поршень 4T CB/CG Ø67,50mm, p-16 (200/250cc 0,50:167FML, 167FMM) "TT"</t>
  </si>
  <si>
    <t>https://b2beez.ru/images/detailed/172/6243482450_z7q9-7q.jpg</t>
  </si>
  <si>
    <t>P-1858</t>
  </si>
  <si>
    <t>Поршень 4T CB/CG Ø63,00mm, p-15 (150/175cc 1,00) "RED"</t>
  </si>
  <si>
    <t>https://b2beez.ru/images/detailed/173/6243482365.jpg</t>
  </si>
  <si>
    <t>P-2723</t>
  </si>
  <si>
    <t>Цепь ГРМ 4T CB150 (3x4-100L) "FUJI"</t>
  </si>
  <si>
    <t>https://b2beez.ru/images/detailed/173/6243482560.jpg</t>
  </si>
  <si>
    <t>P-2927</t>
  </si>
  <si>
    <t>Привод спидометра (редуктор) Yamaha YBR125 "KOMATCU"</t>
  </si>
  <si>
    <t>https://b2beez.ru/images/detailed/173/orig_l1a9-oz.jpg</t>
  </si>
  <si>
    <t>P-3776</t>
  </si>
  <si>
    <t>Прокладки двигателя (набор) 4T CG200 "KOMATCU"</t>
  </si>
  <si>
    <t>https://b2beez.ru/images/detailed/173/6243482498.jpg</t>
  </si>
  <si>
    <t>P-3777</t>
  </si>
  <si>
    <t>Прокладки двигателя (набор) 4T CG250 (Ø67mm) "KOMATCU"</t>
  </si>
  <si>
    <t>https://b2beez.ru/images/detailed/173/6243482577.jpg</t>
  </si>
  <si>
    <t>P-4649</t>
  </si>
  <si>
    <t>Прокладка крышки головки цилиндра 4T CG125/150 "ZR"</t>
  </si>
  <si>
    <t>https://b2beez.ru/images/detailed/174/6243482630.jpg</t>
  </si>
  <si>
    <t>P-5590</t>
  </si>
  <si>
    <t>Поршень Zongshen CB125 0,25 (Ø56,75 OHC) оригинал Taiwan "SEE"</t>
  </si>
  <si>
    <t>https://b2beez.ru/images/detailed/174/6243482398.jpg</t>
  </si>
  <si>
    <t>P-5601</t>
  </si>
  <si>
    <t>Поршень Zongshen CG125 .STD (Ø56,5 OHV) оригинал Taiwan "SEE"</t>
  </si>
  <si>
    <t>https://b2beez.ru/images/detailed/174/6246062418.jpg</t>
  </si>
  <si>
    <t>P-5602</t>
  </si>
  <si>
    <t>Поршень Zongshen CG125 0,25 (Ø56,75 OHV) оригинал Taiwan "SEE"</t>
  </si>
  <si>
    <t>https://b2beez.ru/images/detailed/174/orig_d9f9-mc.jpg</t>
  </si>
  <si>
    <t>P-6331</t>
  </si>
  <si>
    <t>Панель приборов (в сборе) Zongshen, Lifan 125/150 (200км/ч, квадратная, черная) "STEEL"</t>
  </si>
  <si>
    <t>https://b2beez.ru/images/detailed/174/orig_j96f-zn.jpg</t>
  </si>
  <si>
    <t>P-6414</t>
  </si>
  <si>
    <t>Сальник коленвала Viper, Irbis, Lifan 125/150 (14*28*7) "KOMATCU"</t>
  </si>
  <si>
    <t>https://b2beez.ru/images/detailed/174/6243482439.jpg</t>
  </si>
  <si>
    <t>P-6416</t>
  </si>
  <si>
    <t>Сальник переднего колеса Delta (20*35*7) x 10шт "BEEZMOTO"</t>
  </si>
  <si>
    <t>https://b2beez.ru/images/detailed/205/1_6ci7-zf.jpg</t>
  </si>
  <si>
    <t>R-1594</t>
  </si>
  <si>
    <t>Подшипники руля Yamaha YBR125 (D¹-48/47mm, d¹-25/28mm; D²-48/46mm, d²-31/30mm) "BEEZMOTO"</t>
  </si>
  <si>
    <t>https://b2beez.ru/images/detailed/176/6243482388.jpg</t>
  </si>
  <si>
    <t>S-2040</t>
  </si>
  <si>
    <t>Диски сцепления 4T KTT125 (диски, пружины, столик) "HONGJU"</t>
  </si>
  <si>
    <t>https://b2beez.ru/images/detailed/179/6243482095.jpg</t>
  </si>
  <si>
    <t>S-2575</t>
  </si>
  <si>
    <t>Электростартер Yamaha YBR125 (9 шлицов) "KOMATCU"</t>
  </si>
  <si>
    <t>https://b2beez.ru/images/detailed/179/orig_b38v-lz.jpg</t>
  </si>
  <si>
    <t>S-2577</t>
  </si>
  <si>
    <t>Толкатель сцепления Yamaha YBR125 "SDTW"</t>
  </si>
  <si>
    <t>https://b2beez.ru/images/detailed/179/6536295389.jpg</t>
  </si>
  <si>
    <t>V-1218</t>
  </si>
  <si>
    <t>Вал заводной Yamaha YBR125 "SDTW"</t>
  </si>
  <si>
    <t>https://b2beez.ru/images/detailed/184/orig_uhvm-a5.jpg</t>
  </si>
  <si>
    <t>V-1438</t>
  </si>
  <si>
    <t>Поршневая (ЦПГ) 4T CG200 (Ø63.5,p-15) (водяное охлаждение, OHV) "KOMATCU"</t>
  </si>
  <si>
    <t>https://b2beez.ru/images/detailed/185/orig_mlum-vj.jpg</t>
  </si>
  <si>
    <t>V-1500</t>
  </si>
  <si>
    <t>Поршневая (ЦПГ) 4T CB125 (Ø56.5, p-15, h-69) "GONGYU"</t>
  </si>
  <si>
    <t>https://b2beez.ru/images/detailed/185/orig_z2eo-0q.jpg</t>
  </si>
  <si>
    <t>V-1508</t>
  </si>
  <si>
    <t>Поршневая (ЦПГ) 4T CB125 (Ø56.5, p-15, h-68) "GONGYU"</t>
  </si>
  <si>
    <t>https://b2beez.ru/images/detailed/185/orig_hp97-a1.jpg</t>
  </si>
  <si>
    <t>V-1512</t>
  </si>
  <si>
    <t>Поршневая (ЦПГ) 4T CG200 (Ø63.0, p-15, h-76.5) (ZUBR, водяное охлаждение) "GONGYU"</t>
  </si>
  <si>
    <t>https://b2beez.ru/images/detailed/185/orig_akd3-kf.jpg</t>
  </si>
  <si>
    <t>V-1515</t>
  </si>
  <si>
    <t>Поршневая (ЦПГ) 4T CG175 (Ø62.0, p-15, h-72.4) (водяное охлаждение) "GONGYU"</t>
  </si>
  <si>
    <t>https://b2beez.ru/images/detailed/185/orig_r5yp-iw.jpg</t>
  </si>
  <si>
    <t>V-1521</t>
  </si>
  <si>
    <t>Поршневая (ЦПГ) 4T CG175 (Ø62.0, p-15, h-74.5) (водяное охлаждение) "GONGYU"</t>
  </si>
  <si>
    <t>https://b2beez.ru/images/detailed/185/orig_4680-n9.jpg</t>
  </si>
  <si>
    <t>V-1523</t>
  </si>
  <si>
    <t>Поршневая (ЦПГ) 4T CG180 (Ø59.6, p-15, h-77) (водяное охлаждение, с ребрами) "GONGYU"</t>
  </si>
  <si>
    <t>https://b2beez.ru/images/detailed/185/orig_rqn3-a8.jpg</t>
  </si>
  <si>
    <t>V-1526</t>
  </si>
  <si>
    <t>Поршневая (ЦПГ) 4T CG175 (Ø62.0, p-15, h-74.5) (водяное охлаждение, с ребрами) "GONGYU"</t>
  </si>
  <si>
    <t>https://b2beez.ru/images/detailed/185/orig_1kcg-g8.jpg</t>
  </si>
  <si>
    <t>V-1533</t>
  </si>
  <si>
    <t>Поршневая (ЦПГ) 4T CG180 (Ø59.6, p-15, h-79) "GONGYU"</t>
  </si>
  <si>
    <t>https://b2beez.ru/images/detailed/185/orig_izm8-r3.jpg</t>
  </si>
  <si>
    <t>V-1535</t>
  </si>
  <si>
    <t>Поршневая (ЦПГ) 4T CG210 (Ø63.0, p-15, h-78) (водяное охлаждение, с ребрами) "GONGYU"</t>
  </si>
  <si>
    <t>https://b2beez.ru/images/detailed/185/orig_8ldy-20.jpg</t>
  </si>
  <si>
    <t>V-1540</t>
  </si>
  <si>
    <t>Поршневая (ЦПГ) 4T CG180 (Ø59.6, p-15, h-77) (водяное охлаждение, с ребрами, #0001) "GONGYU"</t>
  </si>
  <si>
    <t>https://b2beez.ru/images/detailed/185/orig_a8y0-ng.jpg</t>
  </si>
  <si>
    <t>V-2137</t>
  </si>
  <si>
    <t>Вал заводной 4T CB125/150 "BEEZMOTO"</t>
  </si>
  <si>
    <t>https://b2beez.ru/images/detailed/186/orig_7ekx-gv.jpg</t>
  </si>
  <si>
    <t>V-458</t>
  </si>
  <si>
    <t>Пружины заводного вала (2шт) 4T CB/CG 125/150</t>
  </si>
  <si>
    <t>https://b2beez.ru/images/detailed/187/6243482661.jpg</t>
  </si>
  <si>
    <t>V-879</t>
  </si>
  <si>
    <t>Поршневая (ЦПГ) Honda WH125 (Ø52,4) "JIN"</t>
  </si>
  <si>
    <t>https://b2beez.ru/images/detailed/187/orig_42fg-ua.jpg</t>
  </si>
  <si>
    <t>Z-605</t>
  </si>
  <si>
    <t>Звезды трансмиссии (пара) Zongshen ZS125J 420-15T + 420-39T "DGH"</t>
  </si>
  <si>
    <t>https://b2beez.ru/images/detailed/204/Z-605.jpg</t>
  </si>
  <si>
    <t>C-2449</t>
  </si>
  <si>
    <t>Поршневая (ЦПГ) 2T DT175 (Ø66) "GONGYU"</t>
  </si>
  <si>
    <t>https://b2beez.ru/images/detailed/156/orig_02r8-ae.jpg</t>
  </si>
  <si>
    <t>K-3647</t>
  </si>
  <si>
    <t>Щуп масла 4T CB/CG 125/150 Ø19.0mm, L-125mm (красный) "QHK"</t>
  </si>
  <si>
    <t>https://b2beez.ru/images/detailed/167/6243482603.jpg</t>
  </si>
  <si>
    <t>K-3648</t>
  </si>
  <si>
    <t>Щуп масла 4T CB/CG 125/150 Ø19.0mm, L-125mm (зеленый) "QHK"</t>
  </si>
  <si>
    <t>https://b2beez.ru/images/detailed/167/6243482649.jpg</t>
  </si>
  <si>
    <t>C-1473</t>
  </si>
  <si>
    <t>Солнцезащитный экран для сиденья мотоцикла (600*360mm) "SOFT SEAT"</t>
  </si>
  <si>
    <t>https://b2beez.ru/images/detailed/155/6243482581.jpg</t>
  </si>
  <si>
    <t>D-7706</t>
  </si>
  <si>
    <t>Диски сцепления 4T CB125T (5шт) "BEEZMOTO"</t>
  </si>
  <si>
    <t>https://b2beez.ru/images/detailed/160/orig_deez-a3.jpg</t>
  </si>
  <si>
    <t>K-1952</t>
  </si>
  <si>
    <t>Ключ замка зажигания (заготовка) Suzuki (черный) "KOMATCU"</t>
  </si>
  <si>
    <t>https://b2beez.ru/images/detailed/166/orig_e0ix-iv.jpg</t>
  </si>
  <si>
    <t>P-1011</t>
  </si>
  <si>
    <t>Поршень 4T CB/CG Ø57,50mm, p-15 (125/140cc 1,00) "TNT"</t>
  </si>
  <si>
    <t>https://b2beez.ru/images/detailed/172/orig_5dcz-2q.jpg</t>
  </si>
  <si>
    <t>K-4461</t>
  </si>
  <si>
    <t>Карбюратор CB/CG 125-200 PZ27 (ручной дроссель) "BEEZMOTO"</t>
  </si>
  <si>
    <t>https://b2beez.ru/images/detailed/167/orig_9yh2-7n.jpg</t>
  </si>
  <si>
    <t>K-7340</t>
  </si>
  <si>
    <t>Колодки тормозные перед Suzuki CSF600S GSX600F 750F (полный комплект) "BEEZMOTO"</t>
  </si>
  <si>
    <t>https://b2beez.ru/images/detailed/169/orig_uy9p-vk.jpg</t>
  </si>
  <si>
    <t>K-8993</t>
  </si>
  <si>
    <t>Колодки тормозные зад Suzuki GSXR600 750 1000 K4 K5 "BEEZMOTO"</t>
  </si>
  <si>
    <t>https://b2beez.ru/images/detailed/169/orig_6zj6-1i.jpg</t>
  </si>
  <si>
    <t>P-3646</t>
  </si>
  <si>
    <t>Прокладки двигателя (набор) 4T CB150 "BEEZMOTO"</t>
  </si>
  <si>
    <t>https://b2beez.ru/images/detailed/173/6808401187.jpg</t>
  </si>
  <si>
    <t>C-635</t>
  </si>
  <si>
    <t>Поршень 4T CB/CG Ø56,50mm, p-15 (125/140cc STD) "TMMP"</t>
  </si>
  <si>
    <t>https://b2beez.ru/images/detailed/156/orig_lvrd-cx.jpg</t>
  </si>
  <si>
    <t>C-939</t>
  </si>
  <si>
    <t>Ремкомплект карбюратора CG125 "TMMP"</t>
  </si>
  <si>
    <t>https://b2beez.ru/images/detailed/157/6423657538.jpg</t>
  </si>
  <si>
    <t>C-1298</t>
  </si>
  <si>
    <t>Маховик (обгонная муфта) 4T CB/CG 125/150 (74mm) "TMMP"</t>
  </si>
  <si>
    <t>https://b2beez.ru/images/detailed/155/orig_fuhy-g2.jpg</t>
  </si>
  <si>
    <t>N-8011</t>
  </si>
  <si>
    <t>Ножка переключения передач KAYO 125/140 (откидная, хром) "KOMATCU"</t>
  </si>
  <si>
    <t>https://b2beez.ru/images/detailed/203/1_nrjz-qv.jpg</t>
  </si>
  <si>
    <t>P-2925-U1</t>
  </si>
  <si>
    <t>Пластик Yamaha YBR125 переднее крыло (красный) "KOMATCU" (Трещина, нарушение лкп)</t>
  </si>
  <si>
    <t>https://b2beez.ru/images/detailed/204/P-2925-U1-2.jpg</t>
  </si>
  <si>
    <t>P-6544</t>
  </si>
  <si>
    <t>Поршень 4T CB/CG Ø56,50mm, p-15 (125/140cc STD) оригинал Taiwan "SEE"</t>
  </si>
  <si>
    <t>https://b2beez.ru/images/detailed/175/6243482339.jpg</t>
  </si>
  <si>
    <t>K-3809</t>
  </si>
  <si>
    <t>Кольца 4T CB/CG Ø:62,00mm (150/175 cc STD) "HONDA"</t>
  </si>
  <si>
    <t>https://b2beez.ru/images/detailed/167/6224627885_z9az-48.jpg</t>
  </si>
  <si>
    <t>R-2708</t>
  </si>
  <si>
    <t>Ремкомплект карбюратора 4T GY6 150 (+основная и пусковая мембраны) "BEEZMOTO"</t>
  </si>
  <si>
    <t>https://b2beez.ru/images/detailed/177/orig_4cai-o9.jpg</t>
  </si>
  <si>
    <t>B-289B</t>
  </si>
  <si>
    <t>Бак топливный Yamaha YBR125 (синий) "KOMATCU"</t>
  </si>
  <si>
    <t>https://b2beez.ru/images/detailed/154/6295553947.jpg</t>
  </si>
  <si>
    <t>Z-1660-U1</t>
  </si>
  <si>
    <t>Зеркала Yamaha YBR 125 (M8/10) (круглые, черные, складная ножка, правая резьба) "BEEZMOTO" (Не комплект)</t>
  </si>
  <si>
    <t>K-9254</t>
  </si>
  <si>
    <t>Карбюратор PWK 30 (чёрный) "BEEZMOTO"</t>
  </si>
  <si>
    <t>https://b2beez.ru/images/detailed/169/orig_rvm2-y8.jpg</t>
  </si>
  <si>
    <t>P-1793</t>
  </si>
  <si>
    <t>Сальник картера (левый) CG125 (22*35*7) "BEEZMOTO"</t>
  </si>
  <si>
    <t>https://b2beez.ru/images/detailed/173/orig_mz8r-75.jpg</t>
  </si>
  <si>
    <t>K-4613</t>
  </si>
  <si>
    <t>Кольца 4T CB/CG Ø67,00mm (200/250cc STD) "TOR"</t>
  </si>
  <si>
    <t>https://b2beez.ru/images/detailed/167/6224627926_ht94-1n.jpg</t>
  </si>
  <si>
    <t>K-4771</t>
  </si>
  <si>
    <t>Карбюратор CB/CG 200-250, TTR250 PZ30 (ручной дроссель) "BEEZMOTO"</t>
  </si>
  <si>
    <t>https://b2beez.ru/images/detailed/167/orig_azlk-99.jpg</t>
  </si>
  <si>
    <t>K-7747</t>
  </si>
  <si>
    <t>Шестерни КПП 4T CG125/150 (+вал) "BEEZMOTO"</t>
  </si>
  <si>
    <t>https://b2beez.ru/images/detailed/169/orig_4kcq-gr.jpg</t>
  </si>
  <si>
    <t>N-3255</t>
  </si>
  <si>
    <t>Ножка кикстартера KAYO/TTR 125/140 "KOMATCU"</t>
  </si>
  <si>
    <t>https://b2beez.ru/images/detailed/171/6400429111.jpg</t>
  </si>
  <si>
    <t>K-1077-U1</t>
  </si>
  <si>
    <t>Коммутатор 4T CG125 "CHENHAO" (А-class)(Скол)</t>
  </si>
  <si>
    <t>На мотоциклы (отечественные)</t>
  </si>
  <si>
    <t>Крыло переднее (хром) ИЖ 5 "SDTW"</t>
  </si>
  <si>
    <t>https://b2beez.ru/images/detailed/48/orig_d4ns-wq.jpg</t>
  </si>
  <si>
    <t>G-2239</t>
  </si>
  <si>
    <t>Прокладки двигателя (набор) МУРАВЕЙ (электрокартон) "Россия"</t>
  </si>
  <si>
    <t>https://b2beez.ru/images/detailed/162/6155488539.jpg</t>
  </si>
  <si>
    <t>G-2240</t>
  </si>
  <si>
    <t>Прокладки двигателя (набор) МУРАВЕЙ (паронит) "Россия"</t>
  </si>
  <si>
    <t>https://b2beez.ru/images/detailed/162/6155486192.jpg</t>
  </si>
  <si>
    <t>A-1634</t>
  </si>
  <si>
    <t>Амортизаторы (пара) ЯВА 340mm, регулируемые (хром) "SDTW"</t>
  </si>
  <si>
    <t>https://b2beez.ru/images/detailed/153/orig_ek86-87.jpg</t>
  </si>
  <si>
    <t>K-6180</t>
  </si>
  <si>
    <t>Блоки кнопок руля (пара) ЯВА 350, 638 "BEEZMOTO"</t>
  </si>
  <si>
    <t>https://b2beez.ru/images/detailed/168/7080840544.jpg</t>
  </si>
  <si>
    <t>N-2397</t>
  </si>
  <si>
    <t>Вкладыши шатуна МТ, ДНЕПР (0,25mm) JING</t>
  </si>
  <si>
    <t>https://b2beez.ru/images/detailed/170/6242636177_svmk-mv.jpg</t>
  </si>
  <si>
    <t>N-2401</t>
  </si>
  <si>
    <t>Вкладыши шатуна МТ, ДНЕПР (1,25mm) JING</t>
  </si>
  <si>
    <t>https://b2beez.ru/images/detailed/170/6242636177_0egj-id.jpg</t>
  </si>
  <si>
    <t>S-4715</t>
  </si>
  <si>
    <t>Внутренний барабан сцепления (столик) ЯВА 350 "JING" (mod.C)</t>
  </si>
  <si>
    <t>https://b2beez.ru/images/detailed/181/6808396988.jpg</t>
  </si>
  <si>
    <t>S-131</t>
  </si>
  <si>
    <t>Диски сцепления ЯВА (текстолит, 5шт, комплект) "BEEZMOTO"</t>
  </si>
  <si>
    <t>https://b2beez.ru/images/detailed/178/orig_8gjw-uq.jpg</t>
  </si>
  <si>
    <t>K-8240</t>
  </si>
  <si>
    <t>Карбюратор К65Ж БУРАН (квадратный) "BEEZMOTO"</t>
  </si>
  <si>
    <t>https://b2beez.ru/images/detailed/169/orig_hbhv-wb.jpg</t>
  </si>
  <si>
    <t>K-3544</t>
  </si>
  <si>
    <t>Карбюратор К65Т МТ, ДНЕПР, УРАЛ (квадратный) "BEEZMOTO"</t>
  </si>
  <si>
    <t>https://b2beez.ru/images/detailed/167/orig_5pvz-uo.jpg</t>
  </si>
  <si>
    <t>G-407</t>
  </si>
  <si>
    <t>Клапаны УРАЛ (комплект-4шт, L-92mm) "SDTW"</t>
  </si>
  <si>
    <t>https://b2beez.ru/images/detailed/162/orig_xo8p-om.jpg</t>
  </si>
  <si>
    <t>N-2489</t>
  </si>
  <si>
    <t>Коленвал ИЖ ПЛАНЕТА (+подшипники) (втулка) "SDTW"</t>
  </si>
  <si>
    <t>https://b2beez.ru/images/detailed/170/orig_sj48-wi.jpg</t>
  </si>
  <si>
    <t>K-914</t>
  </si>
  <si>
    <t>Колено глушителя (пара) (хром) ЯВА 638 ЛЮКС EVO</t>
  </si>
  <si>
    <t>https://b2beez.ru/images/detailed/169/6242637739.jpg</t>
  </si>
  <si>
    <t>Z-1157</t>
  </si>
  <si>
    <t>Контакты зажигания МТ, ДНЕПР, УРАЛ, К-750 "JING" (mod.A)</t>
  </si>
  <si>
    <t>https://b2beez.ru/images/detailed/204/1_agos-go.jpg</t>
  </si>
  <si>
    <t>S-4433</t>
  </si>
  <si>
    <t>Корзина сцепления ИЖ ПЛАНЕТА (узкая) (+храповик) "SDTW"</t>
  </si>
  <si>
    <t>https://b2beez.ru/images/detailed/204/1_lvjr-t8.jpg</t>
  </si>
  <si>
    <t>C-2169</t>
  </si>
  <si>
    <t>Натяжитель цепи трансмиссии (пара) ЯВА "VCH"</t>
  </si>
  <si>
    <t>https://b2beez.ru/images/detailed/156/6528796256.jpg</t>
  </si>
  <si>
    <t>N-2500</t>
  </si>
  <si>
    <t>Ножка кикстартера ИЖ (Планета/Юпитер 4-5) "JING"</t>
  </si>
  <si>
    <t>https://b2beez.ru/images/detailed/204/1_1pqo-g4.jpg</t>
  </si>
  <si>
    <t>N-2499</t>
  </si>
  <si>
    <t>Ножка переключения передач ИЖ ЮПИТЕР JING</t>
  </si>
  <si>
    <t>https://b2beez.ru/images/detailed/170/6847209956.jpg</t>
  </si>
  <si>
    <t>P-6127</t>
  </si>
  <si>
    <t>Палец поршня (10*31) ВЕРХОВИНА JING (mod.A)</t>
  </si>
  <si>
    <t>https://b2beez.ru/images/detailed/174/6249259856.jpg</t>
  </si>
  <si>
    <t>N-2558</t>
  </si>
  <si>
    <t>Палец поршня (15*51,5) МУРАВЕЙ, ТУЛА JING</t>
  </si>
  <si>
    <t>https://b2beez.ru/images/detailed/170/6155817372.jpg</t>
  </si>
  <si>
    <t>R-3645</t>
  </si>
  <si>
    <t>Подшипник руля МИНСК "SDTW"</t>
  </si>
  <si>
    <t>https://b2beez.ru/images/detailed/177/orig_e3dy-yo.jpg</t>
  </si>
  <si>
    <t>N-2991</t>
  </si>
  <si>
    <t>Рычаги руля ИЖ (пара, с креплением) "JING" (mod.A)</t>
  </si>
  <si>
    <t>https://b2beez.ru/images/detailed/171/6494808326.jpg</t>
  </si>
  <si>
    <t>P-1289</t>
  </si>
  <si>
    <t>Спидометр ИЖ</t>
  </si>
  <si>
    <t>https://b2beez.ru/images/detailed/204/2_d0xy-by.jpg</t>
  </si>
  <si>
    <t>T-164</t>
  </si>
  <si>
    <t>Трос переднего тормоза ИЖ (уп.1шт, желтый)</t>
  </si>
  <si>
    <t>https://b2beez.ru/images/detailed/182/6242639327.jpg</t>
  </si>
  <si>
    <t>02034268</t>
  </si>
  <si>
    <t>Зеркала JAWA (круглые) "SDTW"</t>
  </si>
  <si>
    <t>https://b2beez.ru/images/detailed/47/orig_uc8s-ve.jpg</t>
  </si>
  <si>
    <t>K-4869</t>
  </si>
  <si>
    <t>Карбюратор К68У + К68У-1 МТ, ДНЕПР, УРАЛ "BEEZMOTO"</t>
  </si>
  <si>
    <t>https://b2beez.ru/images/detailed/168/orig_7yi9-u0.jpg</t>
  </si>
  <si>
    <t>N-2561</t>
  </si>
  <si>
    <t>Рычаг переключения передач (КПП) МУРАВЕЙ</t>
  </si>
  <si>
    <t>https://b2beez.ru/images/detailed/170/orig_4edp-8q.jpg</t>
  </si>
  <si>
    <t>T-152</t>
  </si>
  <si>
    <t>Трос сцепления УРАЛ (1200mm, 1000mm) "SDTW"</t>
  </si>
  <si>
    <t>https://b2beez.ru/images/detailed/182/orig_3boy-nj.jpg</t>
  </si>
  <si>
    <t>Z-0342</t>
  </si>
  <si>
    <t>Зеркала JAWA (M10) (круглые, правая/левая резьба) "BEEZMOTO"</t>
  </si>
  <si>
    <t>https://b2beez.ru/images/detailed/188/6911607257.jpg</t>
  </si>
  <si>
    <t>S-178</t>
  </si>
  <si>
    <t>Амортизаторы (пара) МТ, ДНЕПР, УРАЛ 350mm (регулируемый, Ø12mm, чёрный, хром) "SDTW"</t>
  </si>
  <si>
    <t>https://b2beez.ru/images/detailed/179/7158571964.jpg</t>
  </si>
  <si>
    <t>C-773-U1</t>
  </si>
  <si>
    <t>Коленвал ИЖ ЮПИТЕР (втулка) (пара) "World Motors" (только правый)</t>
  </si>
  <si>
    <t>N-2505-U3</t>
  </si>
  <si>
    <t>Панель приборов (в сборе) ИЖ JING (Сломан сброс суточного пробега)</t>
  </si>
  <si>
    <t>S-4410-U1</t>
  </si>
  <si>
    <t>Сальники (набор) ЯВА 6V "TMMP" (Не комплект)</t>
  </si>
  <si>
    <t>S-4335</t>
  </si>
  <si>
    <t>Сальники (набор) ИЖ ЮПИТЕР (8шт) "Чайковский завод РТД"</t>
  </si>
  <si>
    <t>https://b2beez.ru/images/detailed/181/6246015920.jpg</t>
  </si>
  <si>
    <t>A-1820</t>
  </si>
  <si>
    <t>Амортизаторы (пара) МУРАВЕЙ 345mm "SDTW"</t>
  </si>
  <si>
    <t>https://b2beez.ru/images/detailed/153/orig_7t0b-v5.jpg</t>
  </si>
  <si>
    <t>N-2519-U1</t>
  </si>
  <si>
    <t>Фара круглая ИЖ, МТ, ДНЕПР "JING" (Без стекла)</t>
  </si>
  <si>
    <t>https://b2beez.ru/images/detailed/204/N-2519-U1-2.jpg</t>
  </si>
  <si>
    <t>K-6189</t>
  </si>
  <si>
    <t>Вал заводной (КПП) ИЖ (+сектор кикстартера) "SDTW"</t>
  </si>
  <si>
    <t>https://b2beez.ru/images/detailed/168/orig_bpc7-pf.jpg</t>
  </si>
  <si>
    <t>K-2409</t>
  </si>
  <si>
    <t>Карбюратор ЯВА 350 12V (JAWA 638) "SDTW"</t>
  </si>
  <si>
    <t>https://b2beez.ru/images/detailed/166/orig_3htr-n7.jpg</t>
  </si>
  <si>
    <t>S-879</t>
  </si>
  <si>
    <t>Сальник привода спидометра ЯВА, сцепления Карпатый (8*16*7) GUFERO "AA"</t>
  </si>
  <si>
    <t>https://b2beez.ru/images/detailed/182/orig_ihrc-dm.jpg</t>
  </si>
  <si>
    <t>T-3733</t>
  </si>
  <si>
    <t>Трос сцепления ЯВА (1300mm (600mm-500mm)) "SDTW"</t>
  </si>
  <si>
    <t>https://b2beez.ru/images/detailed/183/orig_qfyf-u2.jpg</t>
  </si>
  <si>
    <t>G-1385</t>
  </si>
  <si>
    <t>Трос корректора (монетки) ИЖ (1050mm, 950mm) 'SDTW'</t>
  </si>
  <si>
    <t>https://b2beez.ru/images/detailed/161/orig_v1ry-q5.jpg</t>
  </si>
  <si>
    <t>N-2487</t>
  </si>
  <si>
    <t>Замок бардачка (пара) ИЖ "SDTW"</t>
  </si>
  <si>
    <t>https://b2beez.ru/images/detailed/204/2_yv3n-vq.jpg</t>
  </si>
  <si>
    <t>A-449</t>
  </si>
  <si>
    <t>Амортизаторы (пара) ИЖ 325mm, регулируемые, без рычага (хром) "NDT"</t>
  </si>
  <si>
    <t>https://b2beez.ru/images/detailed/153/orig_8czx-gv.jpg</t>
  </si>
  <si>
    <t>A-713</t>
  </si>
  <si>
    <t>Амортизаторы (пара) МИНСК 340mm, регулируемые (хром) "NDT"</t>
  </si>
  <si>
    <t>https://b2beez.ru/images/detailed/153/6242635728.jpg</t>
  </si>
  <si>
    <t>C-1447</t>
  </si>
  <si>
    <t>Звезда трансмиссии (передняя) ЯВА 428-19T (mod:best) "ACV"</t>
  </si>
  <si>
    <t>https://b2beez.ru/images/detailed/155/orig_p2t7-0l.jpg</t>
  </si>
  <si>
    <t>C-1455</t>
  </si>
  <si>
    <t>Звезда трансмиссии (передняя) МУРАВЕЙ 428-11T(сталь 20) "ACV"</t>
  </si>
  <si>
    <t>https://b2beez.ru/images/detailed/155/orig_rbny-bm.jpg</t>
  </si>
  <si>
    <t>C-1861</t>
  </si>
  <si>
    <t>Звезда трансмиссии (передняя) МИНСК 428-14T</t>
  </si>
  <si>
    <t>https://b2beez.ru/images/detailed/155/orig_pbva-dg.jpg</t>
  </si>
  <si>
    <t>C-1862</t>
  </si>
  <si>
    <t>Звезда трансмиссии (передняя) МИНСК 428-14T "MANLE"</t>
  </si>
  <si>
    <t>https://b2beez.ru/images/detailed/155/orig_jb32-ln.jpg</t>
  </si>
  <si>
    <t>C-2287</t>
  </si>
  <si>
    <t>Венец (задняя звезда трансмиссии) (43Т) ВОСХОД "SDTW"</t>
  </si>
  <si>
    <t>https://b2beez.ru/images/detailed/156/orig_ihjv-f1.jpg</t>
  </si>
  <si>
    <t>C-2305</t>
  </si>
  <si>
    <t>Звезда трансмиссии (передняя) ИЖ 520-13T "JING" (mod.A)</t>
  </si>
  <si>
    <t>https://b2beez.ru/images/detailed/156/orig_lhlz-7i.jpg</t>
  </si>
  <si>
    <t>C-979</t>
  </si>
  <si>
    <t>Звезда трансмиссии (передняя) ИЖ 520-15T "FES"</t>
  </si>
  <si>
    <t>https://b2beez.ru/images/detailed/157/orig_uqa7-gp.jpg</t>
  </si>
  <si>
    <t>C-984</t>
  </si>
  <si>
    <t>Звезда трансмиссии (передняя) МИНСК 428-15T "DGH"</t>
  </si>
  <si>
    <t>https://b2beez.ru/images/detailed/157/orig_8p2y-5i.jpg</t>
  </si>
  <si>
    <t>C-996</t>
  </si>
  <si>
    <t>Звезда трансмиссии (передняя) МУРАВЕЙ 428-11T "DGH"</t>
  </si>
  <si>
    <t>https://b2beez.ru/images/detailed/157/6242635537.jpg</t>
  </si>
  <si>
    <t>C-997</t>
  </si>
  <si>
    <t>Звезда трансмиссии (передняя) МУРАВЕЙ 428-13T "DGH"</t>
  </si>
  <si>
    <t>https://b2beez.ru/images/detailed/157/orig_1g2r-ir.jpg</t>
  </si>
  <si>
    <t>G-1536</t>
  </si>
  <si>
    <t>Натяжитель троса ИЖ "MOZBA"</t>
  </si>
  <si>
    <t>https://b2beez.ru/images/detailed/161/6242638276.jpg</t>
  </si>
  <si>
    <t>G-2226</t>
  </si>
  <si>
    <t>Трос газа ЯВА (960mm) "SDTW"</t>
  </si>
  <si>
    <t>https://b2beez.ru/images/detailed/161/6242639239.jpg</t>
  </si>
  <si>
    <t>G-2609</t>
  </si>
  <si>
    <t>Коромысла клапанов (рокеры) УРАЛ (4шт) "SDTW"</t>
  </si>
  <si>
    <t>https://b2beez.ru/images/detailed/204/1_gdqk-gz.jpg</t>
  </si>
  <si>
    <t>G-2613</t>
  </si>
  <si>
    <t>Бегунок МТ, ДНЕПР (с планкой) "JING" (mod.A)</t>
  </si>
  <si>
    <t>https://b2beez.ru/images/detailed/162/orig_2av9-wy.jpg</t>
  </si>
  <si>
    <t>G-2634</t>
  </si>
  <si>
    <t>Щетки генератора ЯВА 6V (голые) "JING" (mod.A)</t>
  </si>
  <si>
    <t>https://b2beez.ru/images/detailed/162/6224525345.jpg</t>
  </si>
  <si>
    <t>G-3214</t>
  </si>
  <si>
    <t>Щетки генератора МТ, К-750 "SPARK"</t>
  </si>
  <si>
    <t>https://b2beez.ru/images/detailed/162/6228051941.jpg</t>
  </si>
  <si>
    <t>G-770</t>
  </si>
  <si>
    <t>Трос газа ИЖ (L-965mm)(L-1150mm)(уп.1шт) "SDTW"</t>
  </si>
  <si>
    <t>https://b2beez.ru/images/detailed/162/orig_2128-07.jpg</t>
  </si>
  <si>
    <t>G-871</t>
  </si>
  <si>
    <t>Щетки генератора ЯВА 12V (с щеткодержателем) "SPARK" (mod:A)</t>
  </si>
  <si>
    <t>https://b2beez.ru/images/detailed/162/orig_v4r4-tp.jpg</t>
  </si>
  <si>
    <t>G-989</t>
  </si>
  <si>
    <t>Щетки генератора ЯВА 12V (с щеткодержателем) "SPARK" (mod:B)</t>
  </si>
  <si>
    <t>https://b2beez.ru/images/detailed/162/orig_3mhj-bl.jpg</t>
  </si>
  <si>
    <t>I-78</t>
  </si>
  <si>
    <t>Сепаратор верхней головки шатуна (16*20*20) ЯВА 350 "BEEZMOTO"</t>
  </si>
  <si>
    <t>https://b2beez.ru/images/detailed/165/orig_6l6n-ka.jpg</t>
  </si>
  <si>
    <t>K-1193</t>
  </si>
  <si>
    <t>Конденсатор МТ, ДНЕПР 12V "SPARK"</t>
  </si>
  <si>
    <t>https://b2beez.ru/images/detailed/166/6242638086.jpg</t>
  </si>
  <si>
    <t>K-3385</t>
  </si>
  <si>
    <t>Блоки кнопок руля (пара) ИЖ (нового образца) "XVP"</t>
  </si>
  <si>
    <t>https://b2beez.ru/images/detailed/204/1_d69s-yn.jpg</t>
  </si>
  <si>
    <t>K-36</t>
  </si>
  <si>
    <t>Кран топливный МТ, ДНЕПР, УРАЛ, К-750 "BEEZMOTO"</t>
  </si>
  <si>
    <t>https://b2beez.ru/images/detailed/167/orig_vzi5-k4.jpg</t>
  </si>
  <si>
    <t>K-4852</t>
  </si>
  <si>
    <t>Карбюратор К65Г МУРАВЕЙ "SDTW"</t>
  </si>
  <si>
    <t>https://b2beez.ru/images/detailed/204/1_27ix-ef.jpg</t>
  </si>
  <si>
    <t>K-4859</t>
  </si>
  <si>
    <t>Карбюратор К65И ИЖ ПЛАНЕТА (квадратный) "BEEZMOTO"</t>
  </si>
  <si>
    <t>https://b2beez.ru/images/detailed/167/orig_gecy-w7.jpg</t>
  </si>
  <si>
    <t>K-4868</t>
  </si>
  <si>
    <t>Карбюратор К65Т МТ, ДНЕПР, УРАЛ (квадратный) "SDTW"</t>
  </si>
  <si>
    <t>https://b2beez.ru/images/detailed/168/orig.jpg</t>
  </si>
  <si>
    <t>K-5201</t>
  </si>
  <si>
    <t>Кран топливный ИЖ, МИНСК (ПП3) "BEEZMOTO"</t>
  </si>
  <si>
    <t>https://b2beez.ru/images/detailed/168/6494808349.jpg</t>
  </si>
  <si>
    <t>K-5792</t>
  </si>
  <si>
    <t>Спица колеса ИЖ (L-140mm, D-4,0mm) (компл, 36шт) "BEEZMOTO"</t>
  </si>
  <si>
    <t>https://b2beez.ru/images/detailed/168/6913390845.jpg</t>
  </si>
  <si>
    <t>K-6187</t>
  </si>
  <si>
    <t>Вал заводной (КПП) ВОСХОД (+сектор кикстартера) "SDTW"</t>
  </si>
  <si>
    <t>https://b2beez.ru/images/detailed/168/orig_s3eo-u2.jpg</t>
  </si>
  <si>
    <t>K-6236</t>
  </si>
  <si>
    <t>Кольца МИНСК 2р. (Ø52,50) "JING" (mod.A)</t>
  </si>
  <si>
    <t>https://b2beez.ru/images/detailed/168/orig_5113-u0.jpg</t>
  </si>
  <si>
    <t>K-6238</t>
  </si>
  <si>
    <t>Кольца МТ, ДНЕПР, УРАЛ .STD (Ø78,00) (8 шт. комплект) "JING"</t>
  </si>
  <si>
    <t>https://b2beez.ru/images/detailed/168/orig_6ool-cu.jpg</t>
  </si>
  <si>
    <t>K-6253</t>
  </si>
  <si>
    <t>Крыло заднее (хром) ИЖ 5 "SDTW"</t>
  </si>
  <si>
    <t>https://b2beez.ru/images/detailed/168/orig_fp02-5u.jpg</t>
  </si>
  <si>
    <t>K-6258</t>
  </si>
  <si>
    <t>Подшипник выжимной (КПП) МТ, ДНЕПР, УРАЛ "JING"</t>
  </si>
  <si>
    <t>https://b2beez.ru/images/detailed/168/orig_7cdz-ld.jpg</t>
  </si>
  <si>
    <t>K-6269</t>
  </si>
  <si>
    <t>Ремкомплект карбюратора К65И ИЖ ПЛАНЕТА (квадратный) "JING" (mod.B)</t>
  </si>
  <si>
    <t>https://b2beez.ru/images/detailed/168/6242638717_r80p-2p.jpg</t>
  </si>
  <si>
    <t>K-6271</t>
  </si>
  <si>
    <t>Ремкомплект карбюратора К68И ИЖ ПЛАНЕТА (круглый) "JING" (mod.A)</t>
  </si>
  <si>
    <t>https://b2beez.ru/images/detailed/168/6242638732.jpg</t>
  </si>
  <si>
    <t>K-6279</t>
  </si>
  <si>
    <t>Шатун ИЖ ПЛАНЕТА (+втулка, нижний сепаратор, палец, шайбы) "JING" (mod.B)</t>
  </si>
  <si>
    <t>https://b2beez.ru/images/detailed/204/1_pjja-19.jpg</t>
  </si>
  <si>
    <t>K-6291</t>
  </si>
  <si>
    <t>Шпонка ИЖ(овальная, генератора) (12х4х6мм) "JING" (mod.A)</t>
  </si>
  <si>
    <t>https://b2beez.ru/images/detailed/168/6224525436.jpg</t>
  </si>
  <si>
    <t>K-6292</t>
  </si>
  <si>
    <t>Шпонка 12*5*4 ИЖ (коленвала) (сегментная) "JING" (mod.A)</t>
  </si>
  <si>
    <t>https://b2beez.ru/images/detailed/168/orig_4q3y-06.png</t>
  </si>
  <si>
    <t>K-6293</t>
  </si>
  <si>
    <t>Шпонка МТ, ДНЕПР, УРАЛ, К-750 (сегментная, коленвала, пара, б+м) "JING" (mod.A)</t>
  </si>
  <si>
    <t>https://b2beez.ru/images/detailed/168/6224525135.jpg</t>
  </si>
  <si>
    <t>K-6612</t>
  </si>
  <si>
    <t>Ножка переключения передач МИНСК "SDTW"</t>
  </si>
  <si>
    <t>https://b2beez.ru/images/detailed/168/orig_geuk-1l.jpg</t>
  </si>
  <si>
    <t>K-710</t>
  </si>
  <si>
    <t>Катушка зажигания ЯВА 6V "JIANXING"</t>
  </si>
  <si>
    <t>https://b2beez.ru/images/detailed/169/6242637616.jpg</t>
  </si>
  <si>
    <t>N-2411</t>
  </si>
  <si>
    <t>Палец поршня (21*66) МТ, ДНЕПР, УРАЛ "SDTW"</t>
  </si>
  <si>
    <t>https://b2beez.ru/images/detailed/170/6242638402.jpg</t>
  </si>
  <si>
    <t>N-2416</t>
  </si>
  <si>
    <t>Проводка МТ, ДНЕПР "SDTW"</t>
  </si>
  <si>
    <t>https://b2beez.ru/images/detailed/170/orig_jvp6-0h.jpg</t>
  </si>
  <si>
    <t>N-2418</t>
  </si>
  <si>
    <t>Реле поворотов МТ, ДНЕПР 12V "JING"</t>
  </si>
  <si>
    <t>https://b2beez.ru/images/detailed/204/1_5ocp-2k.jpg</t>
  </si>
  <si>
    <t>N-2422</t>
  </si>
  <si>
    <t>Рычаги руля МТ, ДНЕПР (пара) (с креплением) "JING"</t>
  </si>
  <si>
    <t>https://b2beez.ru/images/detailed/170/orig_yt3k-t8.jpg</t>
  </si>
  <si>
    <t>N-2425</t>
  </si>
  <si>
    <t>Стоп-сигнал (в сборе) ИЖ, МТ, ДНЕПР "JING" (mod A)</t>
  </si>
  <si>
    <t>https://b2beez.ru/images/detailed/204/2_rawz-42.jpg</t>
  </si>
  <si>
    <t>N-2430</t>
  </si>
  <si>
    <t>Щетки генератора (пара) МТ, ДНЕПР, УРАЛ 6V "JING"</t>
  </si>
  <si>
    <t>https://b2beez.ru/images/detailed/170/orig_3c60-21.jpg</t>
  </si>
  <si>
    <t>N-2441</t>
  </si>
  <si>
    <t>Кольца МТ, ДНЕПР, УРАЛ .STD (Ø78,00) (4 шт. комплект) "JING" mod A</t>
  </si>
  <si>
    <t>https://b2beez.ru/images/detailed/170/6242637929.jpg</t>
  </si>
  <si>
    <t>N-2459</t>
  </si>
  <si>
    <t>Штанги ГРМ (толкатели) УРАЛ (L-230mm) x 4шт "SDTW"</t>
  </si>
  <si>
    <t>https://b2beez.ru/images/detailed/170/orig_xwo2-1m.jpg</t>
  </si>
  <si>
    <t>N-2461</t>
  </si>
  <si>
    <t>Вилочка переключения передач (+вал) (компл) ЯВА 350 "JING"</t>
  </si>
  <si>
    <t>https://b2beez.ru/images/detailed/170/6246902739.jpg</t>
  </si>
  <si>
    <t>N-2463</t>
  </si>
  <si>
    <t>Замок зажигания ЯВА 350, 638, 639, 640 (12V) "SDTW"</t>
  </si>
  <si>
    <t>https://b2beez.ru/images/detailed/170/orig_uz09-45.jpg</t>
  </si>
  <si>
    <t>N-2464</t>
  </si>
  <si>
    <t>Контакты зажигания ЯВА 6V "JING" (mod.A)</t>
  </si>
  <si>
    <t>https://b2beez.ru/images/detailed/170/6242638120.jpg</t>
  </si>
  <si>
    <t>N-2466</t>
  </si>
  <si>
    <t>Кольца ЯВА 12V 1р. (Ø58,25) (3шт) "JING"</t>
  </si>
  <si>
    <t>https://b2beez.ru/images/detailed/170/6242637967_k20x-up.jpg</t>
  </si>
  <si>
    <t>N-2467</t>
  </si>
  <si>
    <t>Кольца ЯВА 12V 2р. (Ø58,50) (3шт) "JING"</t>
  </si>
  <si>
    <t>https://b2beez.ru/images/detailed/170/6242637967_b0fx-ln.jpg</t>
  </si>
  <si>
    <t>N-2468</t>
  </si>
  <si>
    <t>Кольца ЯВА 12V 3р. (Ø58,75) (3шт) "JING"</t>
  </si>
  <si>
    <t>https://b2beez.ru/images/detailed/170/6242637967_xoqo-4n.jpg</t>
  </si>
  <si>
    <t>N-2469</t>
  </si>
  <si>
    <t>Кольца ЯВА 12V 4р. (Ø59,00) (3шт) "JING"</t>
  </si>
  <si>
    <t>https://b2beez.ru/images/detailed/170/6242637967_jk9v-9o.jpg</t>
  </si>
  <si>
    <t>N-2471</t>
  </si>
  <si>
    <t>Кольца ЯВА 6V 1р. (Ø58,25) (3шт) "JING"</t>
  </si>
  <si>
    <t>https://b2beez.ru/images/detailed/170/6242638010_nfbl-nv.jpg</t>
  </si>
  <si>
    <t>N-2473</t>
  </si>
  <si>
    <t>Кольца ЯВА 6V 3р. (Ø58,75) (3шт) "JING"</t>
  </si>
  <si>
    <t>https://b2beez.ru/images/detailed/170/6242638010_t3gb-1o.jpg</t>
  </si>
  <si>
    <t>N-2474</t>
  </si>
  <si>
    <t>Кольца ЯВА 6V 4р. (Ø59,00) (3шт) "JING"</t>
  </si>
  <si>
    <t>https://b2beez.ru/images/detailed/170/6242638010_ctl0-3a.jpg</t>
  </si>
  <si>
    <t>N-2479</t>
  </si>
  <si>
    <t>Вал переключения передач (КПП) ИЖ ПЛАНЕТА "SDTW"</t>
  </si>
  <si>
    <t>https://b2beez.ru/images/detailed/170/orig_ue8o-7l.jpg</t>
  </si>
  <si>
    <t>N-2481</t>
  </si>
  <si>
    <t>Втулка передней вилки ИЖ (текстолит) (пара) "JING"</t>
  </si>
  <si>
    <t>https://b2beez.ru/images/detailed/170/orig_fgpy-ga.jpg</t>
  </si>
  <si>
    <t>N-2486</t>
  </si>
  <si>
    <t>Замок бардачка коляски ИЖ "SDTW"</t>
  </si>
  <si>
    <t>https://b2beez.ru/images/detailed/170/orig_79h0-2n.jpg</t>
  </si>
  <si>
    <t>N-2497</t>
  </si>
  <si>
    <t>Пенал (морковка) ИЖ 5 "JING"</t>
  </si>
  <si>
    <t>https://b2beez.ru/images/detailed/170/6242638456.jpg</t>
  </si>
  <si>
    <t>N-2503</t>
  </si>
  <si>
    <t>Палец поршня (14*51) ИЖ ЮПИТЕР "JING"</t>
  </si>
  <si>
    <t>https://b2beez.ru/images/detailed/170/6242638405.jpg</t>
  </si>
  <si>
    <t>N-2507</t>
  </si>
  <si>
    <t>Проводка ИЖ "JING"</t>
  </si>
  <si>
    <t>https://b2beez.ru/images/detailed/170/orig_zqqn-4o.jpg</t>
  </si>
  <si>
    <t>N-2509</t>
  </si>
  <si>
    <t>Прокладка головки цилиндра ИЖ ПЛАНЕТА (медь x 2) "JING"</t>
  </si>
  <si>
    <t>https://b2beez.ru/images/detailed/170/orig_pt78-56.jpg</t>
  </si>
  <si>
    <t>N-2523</t>
  </si>
  <si>
    <t>Бардачок (правый) (+крышка) ИЖ "SDTW"</t>
  </si>
  <si>
    <t>https://b2beez.ru/images/detailed/170/orig_fpzq-83.jpg</t>
  </si>
  <si>
    <t>N-2536</t>
  </si>
  <si>
    <t>КЭТ МИНСК, ВОСХОД 6V "JING"</t>
  </si>
  <si>
    <t>https://b2beez.ru/images/detailed/170/orig_uv3q-y4.jpg</t>
  </si>
  <si>
    <t>N-2544</t>
  </si>
  <si>
    <t>Сектор заводной ВОСХОД "JING"</t>
  </si>
  <si>
    <t>N-2550</t>
  </si>
  <si>
    <t>Ножка переключения передач ВОСХОД "SDTW"</t>
  </si>
  <si>
    <t>https://b2beez.ru/images/detailed/170/orig_ovjz-ou.jpg</t>
  </si>
  <si>
    <t>N-2559</t>
  </si>
  <si>
    <t>Полуось МУРАВЕЙ "JING" (mod:A)</t>
  </si>
  <si>
    <t>https://b2beez.ru/images/detailed/204/1_jtj1-7k.jpg</t>
  </si>
  <si>
    <t>N-2832</t>
  </si>
  <si>
    <t>Пружина кикстартера ИЖ (1-234)"JING"</t>
  </si>
  <si>
    <t>https://b2beez.ru/images/detailed/171/6242638635.jpg</t>
  </si>
  <si>
    <t>O-2337</t>
  </si>
  <si>
    <t>Стекло поворота ЯВА 350 "JING" (mod.A)</t>
  </si>
  <si>
    <t>https://b2beez.ru/images/detailed/172/orig_w22r-zf.jpg</t>
  </si>
  <si>
    <t>O-2468</t>
  </si>
  <si>
    <t>Стоп-сигнал (в сборе) ЯВА 350 12V "КРЕСТ" "HEFEI"</t>
  </si>
  <si>
    <t>https://b2beez.ru/images/detailed/172/orig_z6zh-ky.jpg</t>
  </si>
  <si>
    <t>P-6189</t>
  </si>
  <si>
    <t>Прокладки двигателя (набор) МИНСК 6V "JING" (mod.A)</t>
  </si>
  <si>
    <t>https://b2beez.ru/images/detailed/174/6242638670.jpg</t>
  </si>
  <si>
    <t>P-6190</t>
  </si>
  <si>
    <t>Прокладки двигателя (набор) МТ, ДНЕПР "JING" (mod.A)</t>
  </si>
  <si>
    <t>https://b2beez.ru/images/detailed/174/orig_i48n-pd.jpg</t>
  </si>
  <si>
    <t>R-3088</t>
  </si>
  <si>
    <t>Подшипник редуктора 3304 20*52*22.2 (мост МТ) "JING" (mod.A)</t>
  </si>
  <si>
    <t>https://b2beez.ru/images/detailed/177/6242638579.jpg</t>
  </si>
  <si>
    <t>R-3095</t>
  </si>
  <si>
    <t>Реле поворотов ЯВА 12V "SDTW"</t>
  </si>
  <si>
    <t>https://b2beez.ru/images/detailed/204/1_wdsk-ff.jpg</t>
  </si>
  <si>
    <t>R-3096</t>
  </si>
  <si>
    <t>Реле поворотов ЯВА 6V "SDTW"</t>
  </si>
  <si>
    <t>https://b2beez.ru/images/detailed/204/2_emsf-qn.jpg</t>
  </si>
  <si>
    <t>S-1270</t>
  </si>
  <si>
    <t>Трос спидометра ИЖ (900mm) "SDTW"</t>
  </si>
  <si>
    <t>https://b2beez.ru/images/detailed/178/orig_bjlm-ql.jpg</t>
  </si>
  <si>
    <t>S-1277</t>
  </si>
  <si>
    <t>Трос спидометра МТ, ДНЕПР (желтый) "GENUINE"</t>
  </si>
  <si>
    <t>https://b2beez.ru/images/detailed/178/6233135416.jpg</t>
  </si>
  <si>
    <t>S-1307</t>
  </si>
  <si>
    <t>Трос сцепления МТ, ДНЕПР (1200mm, 1000mm)" SDTW"</t>
  </si>
  <si>
    <t>https://b2beez.ru/images/detailed/178/orig_h41i-de.jpg</t>
  </si>
  <si>
    <t>S-3352</t>
  </si>
  <si>
    <t>Трос спидометра МУРАВЕЙ (уп.1шт) "PTA" (#RBR)</t>
  </si>
  <si>
    <t>https://b2beez.ru/images/detailed/180/6224525201.jpg</t>
  </si>
  <si>
    <t>S-4050</t>
  </si>
  <si>
    <t>Трос сцепления ИЖ (1260mm, уп.1шт, желтый) "MANLE"</t>
  </si>
  <si>
    <t>https://b2beez.ru/images/detailed/181/orig_3rbb-py.jpg</t>
  </si>
  <si>
    <t>S-4409</t>
  </si>
  <si>
    <t>Сальники (набор) ЯВА 12V "TMMP"</t>
  </si>
  <si>
    <t>https://b2beez.ru/images/detailed/181/6242638923.jpg</t>
  </si>
  <si>
    <t>S-4410</t>
  </si>
  <si>
    <t>Сальники (набор) ЯВА 6V "TMMP"</t>
  </si>
  <si>
    <t>https://b2beez.ru/images/detailed/181/6242638933.jpg</t>
  </si>
  <si>
    <t>S-4426</t>
  </si>
  <si>
    <t>Трос сцепления ВОСХОД (1230mm) "SDTW"</t>
  </si>
  <si>
    <t>https://b2beez.ru/images/detailed/181/orig_61hr-je.jpg</t>
  </si>
  <si>
    <t>S-4431</t>
  </si>
  <si>
    <t>Шестерня корзины сцепления ЯВА 350 "JING"</t>
  </si>
  <si>
    <t>https://b2beez.ru/images/detailed/181/6224525143.jpg</t>
  </si>
  <si>
    <t>S-4432</t>
  </si>
  <si>
    <t>Диски сцепления ИЖ (6шт, текстолитовые) "JING"</t>
  </si>
  <si>
    <t>https://b2beez.ru/images/detailed/181/6242636282.jpg</t>
  </si>
  <si>
    <t>S-4697</t>
  </si>
  <si>
    <t>Корзина сцепления МИНСК, ВОСХОД "SDTW"</t>
  </si>
  <si>
    <t>https://b2beez.ru/images/detailed/181/orig_2bds-rm.jpg</t>
  </si>
  <si>
    <t>S-4699</t>
  </si>
  <si>
    <t>Ремкомплект сцепления (барабана) ИЖ "JING" (mod.A)</t>
  </si>
  <si>
    <t>https://b2beez.ru/images/detailed/181/orig_wcwt-xu.jpg</t>
  </si>
  <si>
    <t>S-4723</t>
  </si>
  <si>
    <t>Трос спидометра МУРАВЕЙ (L-1380mm) "JING"</t>
  </si>
  <si>
    <t>https://b2beez.ru/images/detailed/181/orig_b9v6-4o.jpg</t>
  </si>
  <si>
    <t>T-392</t>
  </si>
  <si>
    <t>Колодки тормозные (барабан, зад) ИЖ "UNION"</t>
  </si>
  <si>
    <t>https://b2beez.ru/images/detailed/183/orig_g686-1t.jpg</t>
  </si>
  <si>
    <t>T-543</t>
  </si>
  <si>
    <t>Колодки тормозные (барабан, задние) ЯВА D-165mm, B-34mm "PITON"</t>
  </si>
  <si>
    <t>https://b2beez.ru/images/detailed/183/orig_x8ly-k3.jpg</t>
  </si>
  <si>
    <t>T-7</t>
  </si>
  <si>
    <t>Трос газа ЯВА (L-1050mm) (L-1165mm) "BEEZMOTO"</t>
  </si>
  <si>
    <t>https://b2beez.ru/images/detailed/183/orig_q5kb-4v.jpg</t>
  </si>
  <si>
    <t>T-738</t>
  </si>
  <si>
    <t>Трос переднего тормоза ИЖ (1050mm, уп.1шт) "KOMATCU"</t>
  </si>
  <si>
    <t>https://b2beez.ru/images/detailed/183/6242639304.jpg</t>
  </si>
  <si>
    <t>Z-1156</t>
  </si>
  <si>
    <t>Контактный прерыватель МУРАВЕЙ "JING" (mod.A)</t>
  </si>
  <si>
    <t>https://b2beez.ru/images/detailed/188/6242635627.jpg</t>
  </si>
  <si>
    <t>Z-1159</t>
  </si>
  <si>
    <t>Контакты зажигания ЯВА 6V "JING" (mod.B)</t>
  </si>
  <si>
    <t>https://b2beez.ru/images/detailed/188/6242638130.jpg</t>
  </si>
  <si>
    <t>Z-1160</t>
  </si>
  <si>
    <t>Крышка бака топливного ИЖ (хром) "SDTW"</t>
  </si>
  <si>
    <t>https://b2beez.ru/images/detailed/188/orig_w4yl-ho.jpg</t>
  </si>
  <si>
    <t>Z-1164</t>
  </si>
  <si>
    <t>Планка ПМК МТ, ДНЕПР, УРАЛ "JING" (mod.A)</t>
  </si>
  <si>
    <t>https://b2beez.ru/images/detailed/188/6249329411.jpg</t>
  </si>
  <si>
    <t>Z-1203</t>
  </si>
  <si>
    <t>Дуги безопасности ИЖ (хром) "JING" (mod.A)</t>
  </si>
  <si>
    <t>https://b2beez.ru/images/detailed/188/6242636565.jpg</t>
  </si>
  <si>
    <t>Z-1264</t>
  </si>
  <si>
    <t>Провод контактного прерывателя (130mm) "SPARK"</t>
  </si>
  <si>
    <t>https://b2beez.ru/images/detailed/188/6242638623.jpg</t>
  </si>
  <si>
    <t>Z-1265</t>
  </si>
  <si>
    <t>Бегунок МТ, ДНЕПР (БЗС) "JING"</t>
  </si>
  <si>
    <t>https://b2beez.ru/images/detailed/188/6369649830.jpg</t>
  </si>
  <si>
    <t>Z-244</t>
  </si>
  <si>
    <t>Контактный прерыватель ИЖ ПЛАНЕТА (в сборе) "SPARK"</t>
  </si>
  <si>
    <t>https://b2beez.ru/images/detailed/188/6242638046.jpg</t>
  </si>
  <si>
    <t>Z-247</t>
  </si>
  <si>
    <t>Контактный прерыватель ИЖ ЮПИТЕР (в сборе) "SPARK" (mod A)</t>
  </si>
  <si>
    <t>https://b2beez.ru/images/detailed/188/6242638097.jpg</t>
  </si>
  <si>
    <t>Z-693</t>
  </si>
  <si>
    <t>Звезда трансмиссии (передняя) ЯВА 428-13T (сталь 20) "ACV"</t>
  </si>
  <si>
    <t>https://b2beez.ru/images/detailed/204/Z-693-2.jpg</t>
  </si>
  <si>
    <t>Z-694</t>
  </si>
  <si>
    <t>Звезда трансмиссии (передняя) ЯВА 428-16T (сталь 20) "ACV"</t>
  </si>
  <si>
    <t>https://b2beez.ru/images/detailed/204/Z-694-2.jpg</t>
  </si>
  <si>
    <t>Z-696</t>
  </si>
  <si>
    <t>Звезда трансмиссии (задняя) ИЖ 520-42T (со ступицей) (сталь 20) "SDTW"</t>
  </si>
  <si>
    <t>https://b2beez.ru/images/detailed/204/Z-696-4.jpg</t>
  </si>
  <si>
    <t>C-1456</t>
  </si>
  <si>
    <t>Звезда трансмиссии (передняя) МУРАВЕЙ 428-13T (сталь 20) "ACV"</t>
  </si>
  <si>
    <t>https://b2beez.ru/images/detailed/155/orig_n6vd-vs.jpg</t>
  </si>
  <si>
    <t>C-1857</t>
  </si>
  <si>
    <t>Звезда трансмиссии (передняя) ИЖ 520-18T "ZUNA"</t>
  </si>
  <si>
    <t>https://b2beez.ru/images/detailed/155/orig_yrwe-q1.jpg</t>
  </si>
  <si>
    <t>C-2294</t>
  </si>
  <si>
    <t>Звезда трансмиссии (задняя) МИНСК 428-43T "JING" (mod.A)</t>
  </si>
  <si>
    <t>https://b2beez.ru/images/detailed/204/1_bhpg-uq.jpg</t>
  </si>
  <si>
    <t>C-972</t>
  </si>
  <si>
    <t>Звезда трансмиссии (передняя) ЯВА 428-13T "DGH"</t>
  </si>
  <si>
    <t>https://b2beez.ru/images/detailed/157/orig_dpaq-xd.jpg</t>
  </si>
  <si>
    <t>C-973</t>
  </si>
  <si>
    <t>Звезда трансмиссии (передняя) ЯВА 428-16T "DGH"</t>
  </si>
  <si>
    <t>https://b2beez.ru/images/detailed/157/orig_q710-vx.jpg</t>
  </si>
  <si>
    <t>C-975</t>
  </si>
  <si>
    <t>Звезда трансмиссии (передняя) ЯВА 428-18T "DGH"</t>
  </si>
  <si>
    <t>https://b2beez.ru/images/detailed/157/orig_hw54-sl.jpg</t>
  </si>
  <si>
    <t>C-998</t>
  </si>
  <si>
    <t>Звезда трансмиссии (передняя) МУРАВЕЙ 428-15T "DGH"</t>
  </si>
  <si>
    <t>https://b2beez.ru/images/detailed/157/orig_c99s-1v.jpg</t>
  </si>
  <si>
    <t>G-2637</t>
  </si>
  <si>
    <t>Щетки генератора МТ, К-750 "JING" (mod.A)</t>
  </si>
  <si>
    <t>https://b2beez.ru/images/detailed/162/6224525165.jpg</t>
  </si>
  <si>
    <t>K-4557</t>
  </si>
  <si>
    <t>Вал заводной (КПП) МИНСК "TERI"</t>
  </si>
  <si>
    <t>https://b2beez.ru/images/detailed/167/6242635852.jpg</t>
  </si>
  <si>
    <t>K-4854</t>
  </si>
  <si>
    <t>Карбюратор К65Д ИЖ ЮПИТЕР (квадратный) "BEEZMOTO"</t>
  </si>
  <si>
    <t>https://b2beez.ru/images/detailed/167/orig_qx1x-5l.jpg</t>
  </si>
  <si>
    <t>K-5790</t>
  </si>
  <si>
    <t>Спица колеса МТ, ДНЕПР (короткая) (L-125mm, D-4.5mm) (компл, 36шт) "SDTW"</t>
  </si>
  <si>
    <t>https://b2beez.ru/images/detailed/204/2_civf-lx.jpg</t>
  </si>
  <si>
    <t>N-2273</t>
  </si>
  <si>
    <t>Рычаги руля ИЖ (барабан) (пара, голые) (#001) "LJW"</t>
  </si>
  <si>
    <t>https://b2beez.ru/images/detailed/170/6242638807.jpg</t>
  </si>
  <si>
    <t>N-2275</t>
  </si>
  <si>
    <t>Рычаги руля ИЖ (барабан) (пара, голые) (#002) "LJW"</t>
  </si>
  <si>
    <t>https://b2beez.ru/images/detailed/170/6242638806.jpg</t>
  </si>
  <si>
    <t>N-2398</t>
  </si>
  <si>
    <t>Вкладыши шатуна МТ, ДНЕПР (0,50mm) "JING"</t>
  </si>
  <si>
    <t>https://b2beez.ru/images/detailed/170/6242636177_neky-vt.jpg</t>
  </si>
  <si>
    <t>N-2400</t>
  </si>
  <si>
    <t>Вкладыши шатуна МТ, ДНЕПР (1,00mm) "JING"</t>
  </si>
  <si>
    <t>https://b2beez.ru/images/detailed/170/6242636177_rzd8-sy.jpg</t>
  </si>
  <si>
    <t>N-2409</t>
  </si>
  <si>
    <t>Муфта кардана (резиновая) (голая) МТ, ДНЕПР "JING"</t>
  </si>
  <si>
    <t>https://b2beez.ru/images/detailed/170/6913388684.jpg</t>
  </si>
  <si>
    <t>N-2548</t>
  </si>
  <si>
    <t>Натяжитель цепи трансмиссии ВОСХОД "JING"</t>
  </si>
  <si>
    <t>https://b2beez.ru/images/detailed/170/orig_x1fg-dc.jpg</t>
  </si>
  <si>
    <t>N-2560</t>
  </si>
  <si>
    <t>Ножка переключения передач МУРАВЕЙ "JING"</t>
  </si>
  <si>
    <t>https://b2beez.ru/images/detailed/170/6847205400.jpg</t>
  </si>
  <si>
    <t>P-6124</t>
  </si>
  <si>
    <t>Втулка передней вилки ИЖ (металлокерамика) (пара) "SDTW"</t>
  </si>
  <si>
    <t>https://b2beez.ru/images/detailed/174/orig_0w8l-6y.jpg</t>
  </si>
  <si>
    <t>R-2373</t>
  </si>
  <si>
    <t>Подшипник руля 706 ИЖ (+смазка) "SDTW"</t>
  </si>
  <si>
    <t>https://b2beez.ru/images/detailed/177/orig_8q4e-ml.jpg</t>
  </si>
  <si>
    <t>T-1101</t>
  </si>
  <si>
    <t>Трос переднего тормоза ЯВА (1300mm, уп.1шт) EVO</t>
  </si>
  <si>
    <t>https://b2beez.ru/images/detailed/182/6313100692.jpg</t>
  </si>
  <si>
    <t>T-1132</t>
  </si>
  <si>
    <t>Трос переднего тормоза МТ, ДНЕПР (уп.1шт) "JING" (mod.B)</t>
  </si>
  <si>
    <t>https://b2beez.ru/images/detailed/182/6423081543.jpg</t>
  </si>
  <si>
    <t>T-391</t>
  </si>
  <si>
    <t>Колодки тормозные (барабан, перед) ИЖ D-175mm, B-30mm</t>
  </si>
  <si>
    <t>https://b2beez.ru/images/detailed/183/orig_3vk4-kb.jpg</t>
  </si>
  <si>
    <t>T-1104</t>
  </si>
  <si>
    <t>Трос газа МУРАВЕЙ (1900mm, уп.1шт) "SDTW"</t>
  </si>
  <si>
    <t>https://b2beez.ru/images/detailed/182/orig_gxwk-e2.jpg</t>
  </si>
  <si>
    <t>S-4698</t>
  </si>
  <si>
    <t>Подшипник коленвала 6206-2RS (30*62*16) (к-л ЯВА, ступица ATV-500) "JING" (mod.A)</t>
  </si>
  <si>
    <t>https://b2beez.ru/images/detailed/181/6242638517.jpg</t>
  </si>
  <si>
    <t>C-762</t>
  </si>
  <si>
    <t>Глушитель ИЖ ПЛАНЕТА "SDTW"</t>
  </si>
  <si>
    <t>https://b2beez.ru/images/detailed/156/6313100784.jpg</t>
  </si>
  <si>
    <t>C-763</t>
  </si>
  <si>
    <t>Колено глушителя МТ 650 (пара) "TMMP"</t>
  </si>
  <si>
    <t>https://b2beez.ru/images/detailed/156/6337325490.jpg</t>
  </si>
  <si>
    <t>C-942</t>
  </si>
  <si>
    <t>Ремкомплект карбюратора JAWA350 12V "TMMP"</t>
  </si>
  <si>
    <t>https://b2beez.ru/images/detailed/157/6242638690.jpg</t>
  </si>
  <si>
    <t>C-948</t>
  </si>
  <si>
    <t>Ремкомплект карбюратора К65Г МУРАВЕЙ "СПб"</t>
  </si>
  <si>
    <t>https://b2beez.ru/images/detailed/157/6913387635.jpg</t>
  </si>
  <si>
    <t>C-949</t>
  </si>
  <si>
    <t>Ремкомплект карбюратора К65Д ИЖ ЮПИТЕР "СПб"</t>
  </si>
  <si>
    <t>https://b2beez.ru/images/detailed/157/6242638683.jpg</t>
  </si>
  <si>
    <t>C-951</t>
  </si>
  <si>
    <t>Ремкомплект карбюратора К68Д ИЖ ЮПИТЕР (круглый) "СПб"</t>
  </si>
  <si>
    <t>https://b2beez.ru/images/detailed/157/6242638753.jpg</t>
  </si>
  <si>
    <t>C-953</t>
  </si>
  <si>
    <t>Ремкомплект карбюратора К65Т МТ, ДНЕПР, УРАЛ (квадратный) "SDTW"</t>
  </si>
  <si>
    <t>https://b2beez.ru/images/detailed/157/orig_vxok-fv.jpg</t>
  </si>
  <si>
    <t>C-1384</t>
  </si>
  <si>
    <t>Катушка зажигания ЯВА 250-350 CDI Z49 (модель 360-559-35) "TMMP"</t>
  </si>
  <si>
    <t>https://b2beez.ru/images/detailed/155/6242637637.jpg</t>
  </si>
  <si>
    <t>C-1393</t>
  </si>
  <si>
    <t>Сиденье (в сборе) ИЖ (+морковка) "TMMP"</t>
  </si>
  <si>
    <t>https://b2beez.ru/images/detailed/155/orig_xnj7-iw.jpg</t>
  </si>
  <si>
    <t>K-602</t>
  </si>
  <si>
    <t>Карбюратор ЯВА 350 6V (JAWA 634)</t>
  </si>
  <si>
    <t>https://b2beez.ru/images/detailed/168/orig_n1qa-ag.jpg</t>
  </si>
  <si>
    <t>K-643</t>
  </si>
  <si>
    <t>Карбюратор К68Д ИЖ ЮПИТЕР снегоход РЫСЬ (круглый) "BEEZMOTO"</t>
  </si>
  <si>
    <t>https://b2beez.ru/images/detailed/168/orig_5gkj-n3.jpg</t>
  </si>
  <si>
    <t>A-3677</t>
  </si>
  <si>
    <t>Амортизаторы (пара) ЯВА/CZ 320mm, регулируемые, черные пружины "NDT"</t>
  </si>
  <si>
    <t>https://b2beez.ru/images/detailed/153/orig_yv0b-s4.jpg</t>
  </si>
  <si>
    <t>C-2185</t>
  </si>
  <si>
    <t>Звезда трансмиссии (задняя) МУРАВЕЙ 428-27T "SDTW"</t>
  </si>
  <si>
    <t>https://b2beez.ru/images/detailed/156/orig_q6yw-ol.jpg</t>
  </si>
  <si>
    <t>S-4717</t>
  </si>
  <si>
    <t>Трос спидометра ИЖ (880mm) 'SDTW"</t>
  </si>
  <si>
    <t>https://b2beez.ru/images/detailed/181/orig_ao8c-bn.jpg</t>
  </si>
  <si>
    <t>T-1077</t>
  </si>
  <si>
    <t>Трос переднего тормоза МИНСК (1090mm, 935mm) 'SDTW'</t>
  </si>
  <si>
    <t>https://b2beez.ru/images/detailed/182/orig_cc9o-os.jpg</t>
  </si>
  <si>
    <t>На скутеры</t>
  </si>
  <si>
    <t>R-825</t>
  </si>
  <si>
    <t>Ролики вариатора Honda 16*13 8,5г "DONGXIN"</t>
  </si>
  <si>
    <t>https://b2beez.ru/images/detailed/178/orig_v7sf-pp.jpg</t>
  </si>
  <si>
    <t>K-2664</t>
  </si>
  <si>
    <t>Колодки тормозные (диск) Yamaha JOG 90, BW'S 100 (черные) "BEEZMOTO"</t>
  </si>
  <si>
    <t>https://b2beez.ru/images/detailed/166/orig_efkp-qm.jpg</t>
  </si>
  <si>
    <t>K-6574</t>
  </si>
  <si>
    <t>Колодки тормозные (диск) Suzuki AD110 "BEEZMOTO"</t>
  </si>
  <si>
    <t>https://b2beez.ru/images/detailed/168/orig_90x5-sv.jpg</t>
  </si>
  <si>
    <t>S-1241</t>
  </si>
  <si>
    <t>Скользители (слайдеры) Yamaha JOG 90 (тюнинг, серые) "BEEZMOTO</t>
  </si>
  <si>
    <t>https://b2beez.ru/images/detailed/178/6741715575.jpg</t>
  </si>
  <si>
    <t>D-4265</t>
  </si>
  <si>
    <t>Диск тормозной 4T GY6 50 "BEEZMOTO"</t>
  </si>
  <si>
    <t>https://b2beez.ru/images/detailed/159/orig_s2eb-en.jpg</t>
  </si>
  <si>
    <t>G-2632</t>
  </si>
  <si>
    <t>Головка цилиндра 4T GY6 125 (в сборе) (без крышки) (d=21/24)"BEEZMOTO"</t>
  </si>
  <si>
    <t>https://b2beez.ru/images/detailed/162/6828570723.jpg</t>
  </si>
  <si>
    <t>K-3332</t>
  </si>
  <si>
    <t>Карбюратор 4T GY6 80 D-18мм 139QMB/139QMA (+топливный фильтр)"BEEZMOTO"</t>
  </si>
  <si>
    <t>https://b2beez.ru/images/detailed/167/orig_mmwa-c1.jpg</t>
  </si>
  <si>
    <t>V-1361</t>
  </si>
  <si>
    <t>Поршневая (ЦПГ) 2T Stels 50 (Ø40 p-12) "BEEZMOTO"</t>
  </si>
  <si>
    <t>https://b2beez.ru/images/detailed/184/orig_yuqy-f4.jpg</t>
  </si>
  <si>
    <t>L-86</t>
  </si>
  <si>
    <t>Лепестковый клапан 2T APRILIA, GILERA, PIAGGIO (горизонтальный цилиндр) "BEEZMOTO"</t>
  </si>
  <si>
    <t>https://b2beez.ru/images/detailed/169/6741854755.jpg</t>
  </si>
  <si>
    <t>K-1290</t>
  </si>
  <si>
    <t>Коммутатор (тюнинг) 2T Stels 50 (1E40QMB) (FLAME RACING CDI) "BEEZMOTO"</t>
  </si>
  <si>
    <t>https://b2beez.ru/images/detailed/166/6916305718.jpg</t>
  </si>
  <si>
    <t>K-521</t>
  </si>
  <si>
    <t>Колодки сцепления Honda LEAD 90 "BEEZMOTO"</t>
  </si>
  <si>
    <t>https://b2beez.ru/images/detailed/168/orig_9a3i-xz.jpg</t>
  </si>
  <si>
    <t>K-7750</t>
  </si>
  <si>
    <t>Колодки сцепления 4T GY6 50, Honda DIO AF34 "BEEZMOTO"</t>
  </si>
  <si>
    <t>https://b2beez.ru/images/detailed/169/orig_m6bo-0p.jpg</t>
  </si>
  <si>
    <t>C-1291</t>
  </si>
  <si>
    <t>Катушка зажигания Honda DIO, GY6 50-150 (+насвечник) "BEEZMOTO"</t>
  </si>
  <si>
    <t>https://b2beez.ru/images/detailed/155/orig_cft3-ow.jpg</t>
  </si>
  <si>
    <t>009483</t>
  </si>
  <si>
    <t>Ключ замка зажигания (заготовка) Yamaha (красный) "KOMATCU"</t>
  </si>
  <si>
    <t>https://b2beez.ru/images/detailed/47/orig_ov5m-jq.jpg</t>
  </si>
  <si>
    <t>R-1008</t>
  </si>
  <si>
    <t>Редуктор (в сборе) Honda LEAD 90 "BEEZMOTO"</t>
  </si>
  <si>
    <t>https://b2beez.ru/images/detailed/176/7062959173.jpg</t>
  </si>
  <si>
    <t>P-7033</t>
  </si>
  <si>
    <t>Поршень 2T Stels 50 .STD (Ø40,00 p-12) "BEEZMOTO"</t>
  </si>
  <si>
    <t>https://b2beez.ru/images/detailed/175/7064685590.jpg</t>
  </si>
  <si>
    <t>C-3829</t>
  </si>
  <si>
    <t>Поршневая (ЦПГ) Honda DIO ZX 50 (Ø40, p-12) "BEEZMOTO"</t>
  </si>
  <si>
    <t>https://b2beez.ru/images/detailed/156/6950482075.jpg</t>
  </si>
  <si>
    <t>V-165</t>
  </si>
  <si>
    <t>Вариатор передний (тюнинг) Honda DIO AF27 (ролики латунь 9шт, палец, пр. сцепления) "DLH"</t>
  </si>
  <si>
    <t>https://b2beez.ru/images/detailed/185/7160338526.jpg</t>
  </si>
  <si>
    <t>Пластик Honda DIO AF27/28 комплект (голова, клюв, лючок, спойлер, бока пара) "MONSTER" (mod.B)</t>
  </si>
  <si>
    <t>https://b2beez.ru/images/detailed/48/6705957413.jpg</t>
  </si>
  <si>
    <t>S-3966</t>
  </si>
  <si>
    <t>Сектор заводной (полумесяц) 4T GY6 125/150 (L-129mm) (+втулки) "STEEL MARK"</t>
  </si>
  <si>
    <t>https://b2beez.ru/images/detailed/181/6837505594.jpg</t>
  </si>
  <si>
    <t>C-1636</t>
  </si>
  <si>
    <t>Поршневая (ЦПГ) 4T GY6 100 (Ø50.0, уменьшенная GY6 125) "AHG"</t>
  </si>
  <si>
    <t>https://b2beez.ru/images/detailed/155/orig_m6jt-w3.jpg</t>
  </si>
  <si>
    <t>Z-1001</t>
  </si>
  <si>
    <t>Замок зажигания (комплект) Honda DIO Live AF34 (2 провода) "KOMATCU"</t>
  </si>
  <si>
    <t>https://b2beez.ru/images/detailed/188/6194684623.jpg</t>
  </si>
  <si>
    <t>Пластик Honda DIO AF34/35 передний (клюв) "KOMATCU"</t>
  </si>
  <si>
    <t>https://b2beez.ru/images/detailed/205/1_7t5r-x2.jpg</t>
  </si>
  <si>
    <t>K-2206</t>
  </si>
  <si>
    <t>Коммутатор 2T TB50, Suzuki RUN STAR</t>
  </si>
  <si>
    <t>https://b2beez.ru/images/detailed/166/6224782073.jpg</t>
  </si>
  <si>
    <t>V-91</t>
  </si>
  <si>
    <t>Вариатор передний (тюнинг) 4T GY6 50 (Ø89mm, медно-граф. втулка, ролики 10г латунь) "KOSO"</t>
  </si>
  <si>
    <t>https://b2beez.ru/images/detailed/187/orig_9vuw-7d.jpg</t>
  </si>
  <si>
    <t>V-89</t>
  </si>
  <si>
    <t>Вариатор передний (тюнинг) 4T GY6 150 (медно-граф. втулка, ролики латунь 6шт(1шт.- 12g) "KOSO"</t>
  </si>
  <si>
    <t>https://b2beez.ru/images/detailed/187/orig_wdnd-g2.jpg</t>
  </si>
  <si>
    <t>S-999</t>
  </si>
  <si>
    <t>Сектор заводной (полумесяц) Yamaha JOG 90, 2T Stels 50 (+пружина, втулка) "BEEZMOTO"</t>
  </si>
  <si>
    <t>https://b2beez.ru/images/detailed/182/orig_4n6l-8k.jpg</t>
  </si>
  <si>
    <t>V-625</t>
  </si>
  <si>
    <t>Вал заводной 4T GY6 125/150 (в сборе) (L=159mm, с сектором, ножка заводная, хроповик) "BEEZMOTO"</t>
  </si>
  <si>
    <t>https://b2beez.ru/images/detailed/187/orig_7o84-99.jpg</t>
  </si>
  <si>
    <t>R-2745</t>
  </si>
  <si>
    <t>Мембрана карбюратора (с заслонкой) 4T GY6 125 (Ø22mm, основная) "BEEZMOTO"</t>
  </si>
  <si>
    <t>https://b2beez.ru/images/detailed/177/orig_siwc-o0.jpg</t>
  </si>
  <si>
    <t>K-0145</t>
  </si>
  <si>
    <t>Коммутатор (тюнинг) 4T GY6 50 (красный) "BEEZMOTO"</t>
  </si>
  <si>
    <t>https://b2beez.ru/images/detailed/165/7099750154.jpg</t>
  </si>
  <si>
    <t>S-8032</t>
  </si>
  <si>
    <t>Сальники вилки Yamaha BWS (30*40,5*10,5 x 2шт) "BEEZMOTO"</t>
  </si>
  <si>
    <t>https://b2beez.ru/images/detailed/182/orig_ayil-xe.jpg</t>
  </si>
  <si>
    <t>S-771</t>
  </si>
  <si>
    <t>Сальник коленвала 4T GY6 125/150 (19,8*30*5) "BEEZMOTO"</t>
  </si>
  <si>
    <t>https://b2beez.ru/images/detailed/182/orig_xrdj-fh.jpg</t>
  </si>
  <si>
    <t>P-1782</t>
  </si>
  <si>
    <t>Сальник коленвала Yamaha JOG 50 (20*30*6) "BEEZMOTO"</t>
  </si>
  <si>
    <t>https://b2beez.ru/images/detailed/173/6653086880.jpg</t>
  </si>
  <si>
    <t>G-1905</t>
  </si>
  <si>
    <t>Сальники клапанов (пара) 4T GY6 50 (+ сухари, шайбы) "BEEZMOTO"</t>
  </si>
  <si>
    <t>https://b2beez.ru/images/detailed/204/G-1905_oreu-qv.jpg</t>
  </si>
  <si>
    <t>P-8322</t>
  </si>
  <si>
    <t>Пружина торкдрайвера 4T GY6 150 (2500RPM) "KOMATCU"</t>
  </si>
  <si>
    <t>https://b2beez.ru/images/detailed/175/6287756963.jpg</t>
  </si>
  <si>
    <t>P-3521</t>
  </si>
  <si>
    <t>Пружина торкдрайвера 4T GY6 50 (2000RPM) "KOMATCU"</t>
  </si>
  <si>
    <t>https://b2beez.ru/images/detailed/173/6287756984.jpg</t>
  </si>
  <si>
    <t>P-5182</t>
  </si>
  <si>
    <t>Пружина торкдрайвера Honda DIO (2500RPM) "KOMATCU"</t>
  </si>
  <si>
    <t>https://b2beez.ru/images/detailed/174/6287756939.jpg</t>
  </si>
  <si>
    <t>P-1954</t>
  </si>
  <si>
    <t>Пружина торкдрайвера 4T GY6 125/150 (2500RPM) (чёрный)</t>
  </si>
  <si>
    <t>https://b2beez.ru/images/detailed/173/6228734334.jpg</t>
  </si>
  <si>
    <t>P-3840</t>
  </si>
  <si>
    <t>Пружина торкдрайвера Honda DIO50(2500RPM) (чёрный)</t>
  </si>
  <si>
    <t>https://b2beez.ru/images/detailed/173/6228734354.jpg</t>
  </si>
  <si>
    <t>Кольца 4T GY6 60 .STD (Ø44,00) "TMMP"</t>
  </si>
  <si>
    <t>https://b2beez.ru/images/detailed/48/6224628385.jpg</t>
  </si>
  <si>
    <t>Прокладки цилиндра (набор) 4T GY6 100 Ø50mm "BEEZMOTO"</t>
  </si>
  <si>
    <t>https://b2beez.ru/images/detailed/48/orig_incj-6e.jpg</t>
  </si>
  <si>
    <t>P-6778</t>
  </si>
  <si>
    <t>Поршень 4T GY6 150 .STD (Ø57,40) "HY"</t>
  </si>
  <si>
    <t>https://b2beez.ru/images/detailed/175/6417447581.jpg</t>
  </si>
  <si>
    <t>R-1071</t>
  </si>
  <si>
    <t>Редуктор (в сборе) Honda DIO "KOMATCU"</t>
  </si>
  <si>
    <t>https://b2beez.ru/images/detailed/203/1_u5na-p5.jpg</t>
  </si>
  <si>
    <t>C-1918</t>
  </si>
  <si>
    <t>Поршневая (ЦПГ) 4T GY6 80 (Ø47.0) "BEEZMOTO" (mod:A)</t>
  </si>
  <si>
    <t>https://b2beez.ru/images/detailed/155/orig_snkv-6x.jpg</t>
  </si>
  <si>
    <t>H-264</t>
  </si>
  <si>
    <t>Хомут бензошланга (Ø10mm) "GUANG"</t>
  </si>
  <si>
    <t>https://b2beez.ru/images/detailed/163/orig_loeo-wn.jpg</t>
  </si>
  <si>
    <t>C-2211</t>
  </si>
  <si>
    <t>Поршневая (ЦПГ) Suzuki AD 65 (Ø44, p-10) "BEEZMOTO"</t>
  </si>
  <si>
    <t>https://b2beez.ru/images/detailed/156/orig_c49h-5i.jpg</t>
  </si>
  <si>
    <t>S-671</t>
  </si>
  <si>
    <t>Пружина возвратная заводной ножки 4T GY6 125/150</t>
  </si>
  <si>
    <t>https://b2beez.ru/images/detailed/182/6242640938.jpg</t>
  </si>
  <si>
    <t>Бендикс 4T GY6 50 139QMB, Honda DIO (14 зуб,63 зуб) "TMMP"</t>
  </si>
  <si>
    <t>https://b2beez.ru/images/detailed/48/6265240820.jpg</t>
  </si>
  <si>
    <t>G-2693</t>
  </si>
  <si>
    <t>Головка цилиндра 4T GY6 80 (Ø47) (в сборе) (+крышка) (d=16/18) "KOMATCU"</t>
  </si>
  <si>
    <t>https://b2beez.ru/images/detailed/162/orig_tc2l-jo.jpg</t>
  </si>
  <si>
    <t>S-3524</t>
  </si>
  <si>
    <t>Сайлентблок 28*20*10 (D*L*d) (маятника DIO) "KOMATCU"</t>
  </si>
  <si>
    <t>https://b2beez.ru/images/detailed/180/orig_tqz2-78.jpg</t>
  </si>
  <si>
    <t>S-3973</t>
  </si>
  <si>
    <t>Сектор заводной (полумесяц) 4T GY6 50 (L-65mm) (+втулка) "KOMATCU"</t>
  </si>
  <si>
    <t>https://b2beez.ru/images/detailed/181/6381742114.jpg</t>
  </si>
  <si>
    <t>V-52</t>
  </si>
  <si>
    <t>Вариатор задний Honda DIO, TACT, LEAD 50 (с барабаном) LIPAI "KOMATCU"</t>
  </si>
  <si>
    <t>https://b2beez.ru/images/detailed/187/orig_xwoc-j6.jpg</t>
  </si>
  <si>
    <t>G-1775</t>
  </si>
  <si>
    <t>Головка цилиндра 4T GY6 80 (Ø47) (голая, +клапаны Ø16/18.5mm) "BEEZMOTO"</t>
  </si>
  <si>
    <t>https://b2beez.ru/images/detailed/161/orig_91oe-l2.jpg</t>
  </si>
  <si>
    <t>P-3729</t>
  </si>
  <si>
    <t>Поршень Suzuki AD 100 .STD (Ø52,50 p-12) "LIPAI"</t>
  </si>
  <si>
    <t>https://b2beez.ru/images/detailed/173/6850340263.jpg</t>
  </si>
  <si>
    <t>V-603</t>
  </si>
  <si>
    <t>Вариатор передний Yamaha JOG 3KJ "KOMATCU"</t>
  </si>
  <si>
    <t>https://b2beez.ru/images/detailed/187/orig_r6vs-id.jpg</t>
  </si>
  <si>
    <t>V-604</t>
  </si>
  <si>
    <t>Вариатор передний Honda LEAD AF48 "KOMATCU"</t>
  </si>
  <si>
    <t>https://b2beez.ru/images/detailed/187/orig_1icv-gg.jpg</t>
  </si>
  <si>
    <t>K-2202</t>
  </si>
  <si>
    <t>Катушка зажигания Suzuki AD50 (+насвечник) "KOMATCU"</t>
  </si>
  <si>
    <t>https://b2beez.ru/images/detailed/166/orig_mv67-f6.jpg</t>
  </si>
  <si>
    <t>C-1030</t>
  </si>
  <si>
    <t>Поршневая (ЦПГ) 4T ARN 125 (Ø52.4, p-15, h-69) (Keeway, Stels) "KOMATCU"</t>
  </si>
  <si>
    <t>https://b2beez.ru/images/detailed/154/orig_a59t-78.jpg</t>
  </si>
  <si>
    <t>P-2111</t>
  </si>
  <si>
    <t>Пластик Honda DIO AF27 передний (голова) (черный) "KOMATCU"</t>
  </si>
  <si>
    <t>https://b2beez.ru/images/detailed/203/1_r8zg-mc.jpg</t>
  </si>
  <si>
    <t>Пластик Honda DIO AF34/35 задний (хвост)</t>
  </si>
  <si>
    <t>https://b2beez.ru/images/detailed/92/7174833212.jpg</t>
  </si>
  <si>
    <t>P-3486</t>
  </si>
  <si>
    <t>Пластик Honda DIO AF 27/28 передний (бардачок) "KOMATCU"</t>
  </si>
  <si>
    <t>https://b2beez.ru/images/detailed/173/orig_hk8s-25.jpg</t>
  </si>
  <si>
    <t>R-2122</t>
  </si>
  <si>
    <t>Электроклапан карбюратора Yamaha JOG 5BM, 4JP (D-21, h-20, под китайский карбюратор) "KOMATCU"</t>
  </si>
  <si>
    <t>https://b2beez.ru/images/detailed/204/1_flab-xd.jpg</t>
  </si>
  <si>
    <t>K-1491</t>
  </si>
  <si>
    <t>Коленвал Honda DIO AF34 (под сепаратор 17mm) (щеки 32.5mm, +сепаратор) "BEEZMOTO"</t>
  </si>
  <si>
    <t>https://b2beez.ru/images/detailed/166/orig_shjw-7a.jpg</t>
  </si>
  <si>
    <t>K-4243</t>
  </si>
  <si>
    <t>Коленвал Suzuki LET'S (под сепаратор 14mm) (каленые резьбы, +сепаратор) "KOMATCU"</t>
  </si>
  <si>
    <t>https://b2beez.ru/images/detailed/167/orig_ljhv-6s.jpg</t>
  </si>
  <si>
    <t>P-5219</t>
  </si>
  <si>
    <t>Прокладки двигателя (набор) Honda DIO Ø39mm "BEEZMOTO"</t>
  </si>
  <si>
    <t>https://b2beez.ru/images/detailed/174/6725250091.jpg</t>
  </si>
  <si>
    <t>D-2390</t>
  </si>
  <si>
    <t>Вынос открытого руля на скутер 50/150cc (алюминиевый, L-155mm, под руль Ø21/23mm, под траверсу Ø22/23mm, черный) "KOMATCU"</t>
  </si>
  <si>
    <t>https://b2beez.ru/images/detailed/158/orig_cgnu-br.jpg</t>
  </si>
  <si>
    <t>D-2532</t>
  </si>
  <si>
    <t>Вынос открытого руля на скутер 50/150cc (алюминиевый, L-155mm, под руль Ø21/23mm, под траверсу Ø22/23mm, серебряный) "KOMATCU"</t>
  </si>
  <si>
    <t>https://b2beez.ru/images/detailed/158/orig_qlj0-io.jpg</t>
  </si>
  <si>
    <t>E-8222</t>
  </si>
  <si>
    <t>Элемент воздушного фильтра Honda DIO AF18 (поролон сухой, чёрный) "AM"</t>
  </si>
  <si>
    <t>https://b2beez.ru/images/detailed/160/6226324182.jpg</t>
  </si>
  <si>
    <t>E-3070</t>
  </si>
  <si>
    <t>Элемент воздушного фильтра Honda DIO AF27/28, TACT AF24/30/31/51 (поролон сухой, черный) "AM"</t>
  </si>
  <si>
    <t>https://b2beez.ru/images/detailed/160/orig_wvwc-k3.jpg</t>
  </si>
  <si>
    <t>E-2301</t>
  </si>
  <si>
    <t>Элемент воздушного фильтра Honda LEAD AF20/HF05 (поролон сухой, чёрный) "AM"</t>
  </si>
  <si>
    <t>https://b2beez.ru/images/detailed/160/6226324112.jpg</t>
  </si>
  <si>
    <t>E-5583</t>
  </si>
  <si>
    <t>Элемент воздушного фильтра Honda LEAD AF48/JF06 (поролон сухой, черный) "AM"</t>
  </si>
  <si>
    <t>https://b2beez.ru/images/detailed/160/orig_yt81-bb.jpg</t>
  </si>
  <si>
    <t>E-5830</t>
  </si>
  <si>
    <t>Элемент воздушного фильтра Yamaha GEAR (поролон сухой, белый) "AM"</t>
  </si>
  <si>
    <t>https://b2beez.ru/images/detailed/160/orig_0p3c-p5.jpg</t>
  </si>
  <si>
    <t>Пластик Honda DIO AF27/28 комплект (голова, клюв, лючок, спойлер, бока пара) "REPSOL" (mod:C)</t>
  </si>
  <si>
    <t>https://b2beez.ru/images/detailed/48/orig_ks23-kj.jpg</t>
  </si>
  <si>
    <t>Пластик Honda DIO AF27/28 комплект (голова, клюв, лючок, спойлер, бока пара) "MONSTER" (mod.A)</t>
  </si>
  <si>
    <t>https://b2beez.ru/images/detailed/48/6705957726.jpg</t>
  </si>
  <si>
    <t>V-1367</t>
  </si>
  <si>
    <t>Поршневая (ЦПГ) 4T GY6 50 (Ø39.0) "KOMATCU"</t>
  </si>
  <si>
    <t>https://b2beez.ru/images/detailed/185/7096480058.jpg</t>
  </si>
  <si>
    <t>K-1497</t>
  </si>
  <si>
    <t>Коленвал Honda DIO AF34 (+сепаратор, щеки 32,5mm) "KOMATCU"</t>
  </si>
  <si>
    <t>https://b2beez.ru/images/detailed/166/orig_3auf-lg.jpg</t>
  </si>
  <si>
    <t>F-0265</t>
  </si>
  <si>
    <t>Фара (голая) Honda DIO AF18/25 "BEEZMOTO"</t>
  </si>
  <si>
    <t>https://b2beez.ru/images/detailed/160/orig_4lnb-fc.jpg</t>
  </si>
  <si>
    <t>F-8732</t>
  </si>
  <si>
    <t>Фара (в сборе) Honda DIO AF34/35 (патрон с лампой) "BEEZMOTO"</t>
  </si>
  <si>
    <t>https://b2beez.ru/images/detailed/160/6873356252.jpg</t>
  </si>
  <si>
    <t>F-2769</t>
  </si>
  <si>
    <t>Фара (голая) Honda DIO AF35 "BEEZMOTO"</t>
  </si>
  <si>
    <t>https://b2beez.ru/images/detailed/160/6872930697.jpg</t>
  </si>
  <si>
    <t>F-7553</t>
  </si>
  <si>
    <t>Фара (голая) Honda DIO AF56 "BEEZMOTO"</t>
  </si>
  <si>
    <t>https://b2beez.ru/images/detailed/160/6872944464.jpg</t>
  </si>
  <si>
    <t>F-4202</t>
  </si>
  <si>
    <t>Фара (в сборе) Honda LEAD AF48 "BEEZMOTO"</t>
  </si>
  <si>
    <t>https://b2beez.ru/images/detailed/160/6872948134.jpg</t>
  </si>
  <si>
    <t>F-9799</t>
  </si>
  <si>
    <t>Фара (в сборе) Suzuki LETS 2 "BEEZMOTO"</t>
  </si>
  <si>
    <t>https://b2beez.ru/images/detailed/160/6872942100.jpg</t>
  </si>
  <si>
    <t>B-785</t>
  </si>
  <si>
    <t>Кран вакуумный Suzuki AD50 "BEEZMOTO"</t>
  </si>
  <si>
    <t>K-4245</t>
  </si>
  <si>
    <t>Коленвал Yamaha JOG 50 (2JА) (под сепаратор 14mm) (+сепаратор, шпонка) "KOMATCU"</t>
  </si>
  <si>
    <t>https://b2beez.ru/images/detailed/167/orig_ys5n-lg.jpg</t>
  </si>
  <si>
    <t>P-6804</t>
  </si>
  <si>
    <t>Поршень 4T GY6 50 .STD (Ø39,00) "BEEZMOTO"</t>
  </si>
  <si>
    <t>https://b2beez.ru/images/detailed/175/7064717315.jpg</t>
  </si>
  <si>
    <t>A-265</t>
  </si>
  <si>
    <t>Амортизатор GY6, HONDA DIO 290mm, регулируемый (Ø10mm, красный) "NDT"</t>
  </si>
  <si>
    <t>https://b2beez.ru/images/detailed/153/orig_cf1h-lq.jpg</t>
  </si>
  <si>
    <t>S-2660</t>
  </si>
  <si>
    <t>Шланг тормозной гидравлический 1250mm "BEEZMOTO"</t>
  </si>
  <si>
    <t>https://b2beez.ru/images/detailed/179/orig_u1kx-ph.jpg</t>
  </si>
  <si>
    <t>R-2715</t>
  </si>
  <si>
    <t>Ремкомплект карбюратора 4T GY6 80 "BEEZMOTO"</t>
  </si>
  <si>
    <t>https://b2beez.ru/images/detailed/177/6494808545.jpg</t>
  </si>
  <si>
    <t>T-5655</t>
  </si>
  <si>
    <t>Трос газа Honda DIO AF34 (1450mm, под два троса, желтый) "KOMATCU"</t>
  </si>
  <si>
    <t>https://b2beez.ru/images/detailed/183/6717467845.jpg</t>
  </si>
  <si>
    <t>C4</t>
  </si>
  <si>
    <t>Сальники (набор) Honda TACT AF-16 (4шт) (24х40х7, 17х30х5, 15х25.5х7, 34х39х3) "KOMATCU"</t>
  </si>
  <si>
    <t>https://b2beez.ru/images/detailed/157/orig_wu6h-qd.jpg</t>
  </si>
  <si>
    <t>V-830</t>
  </si>
  <si>
    <t>Элемент воздушного фильтра Honda DIO AF18, Tact AF16 (поролон, двухслойный)</t>
  </si>
  <si>
    <t>https://b2beez.ru/images/detailed/187/orig_wwby-ve.jpg</t>
  </si>
  <si>
    <t>V-832</t>
  </si>
  <si>
    <t>Элемент воздушного фильтра Yamaha JOG (AXIS, APRIO-50/90cc) (1E40QMB) "KOMATCU"</t>
  </si>
  <si>
    <t>https://b2beez.ru/images/detailed/187/orig_2he1-3s.jpg</t>
  </si>
  <si>
    <t>V-2104</t>
  </si>
  <si>
    <t>Элемент воздушного фильтра 4T GY6 125-150 (круг) 152QMI,157QMJ "KOMATCU"</t>
  </si>
  <si>
    <t>https://b2beez.ru/images/detailed/204/V-2104-2.jpg</t>
  </si>
  <si>
    <t>V-2110</t>
  </si>
  <si>
    <t>Элемент воздушного фильтра 4T GY6 125-150 (треугольник) 152QMI,157QMJ</t>
  </si>
  <si>
    <t>https://b2beez.ru/images/detailed/204/V-2110-2_bqz2-7t.jpg</t>
  </si>
  <si>
    <t>P-2113</t>
  </si>
  <si>
    <t>Пластик Honda DIO AF 34/35 панели приборов "KOMATCU"</t>
  </si>
  <si>
    <t>https://b2beez.ru/images/detailed/173/6923372345.jpg</t>
  </si>
  <si>
    <t>R-2664</t>
  </si>
  <si>
    <t>Ремень вариатора 650 * 16,0 Honda DIO "BEEZMOTO"</t>
  </si>
  <si>
    <t>https://b2beez.ru/images/detailed/177/orig_rv6f-1f.jpg</t>
  </si>
  <si>
    <t>P-4000</t>
  </si>
  <si>
    <t>Прокладки цилиндра (набор) 4T GY6 50 Ø39mm "BEEZMOTO"</t>
  </si>
  <si>
    <t>https://b2beez.ru/images/detailed/173/orig_gqho-nw.jpg</t>
  </si>
  <si>
    <t>A-0282</t>
  </si>
  <si>
    <t>Амортизатор GY6, HONDA DIO 310mm, стандартный (черный) "NDT"</t>
  </si>
  <si>
    <t>https://b2beez.ru/images/detailed/153/orig_kckz-pd.jpg</t>
  </si>
  <si>
    <t>Пластик Honda DIO AF27/28 комплект (голова, клюв, лючок, спойлер, бока пара) "REPSOL" (mod.A)</t>
  </si>
  <si>
    <t>https://b2beez.ru/images/detailed/48/orig_7wdr-u1.jpg</t>
  </si>
  <si>
    <t>Пластик Honda DIO AF34/35 комплект (голова, клюв, лючок, спойлер, бока пара) "REPSOL"</t>
  </si>
  <si>
    <t>https://b2beez.ru/images/detailed/48/orig_43qk-of.jpg</t>
  </si>
  <si>
    <t>Пластик Honda DIO AF27/28 комплект (голова, клюв, лючок, бока пара) "REPSOL"</t>
  </si>
  <si>
    <t>https://b2beez.ru/images/detailed/48/orig_0nd3-4v.jpg</t>
  </si>
  <si>
    <t>G-295</t>
  </si>
  <si>
    <t>Головка цилиндра Yamaha JOG 72, 2T Stels 72 (Ø47) "BEEZMOTO"</t>
  </si>
  <si>
    <t>https://b2beez.ru/images/detailed/162/orig_q4dd-fg.jpg</t>
  </si>
  <si>
    <t>T-1329</t>
  </si>
  <si>
    <t>Трос замка седла 4T GY6 50-150 (190*250mm) "BEEZMOTO"</t>
  </si>
  <si>
    <t>https://b2beez.ru/images/detailed/182/orig_dsnz-b5.jpg</t>
  </si>
  <si>
    <t>R-237</t>
  </si>
  <si>
    <t>Реле электростартера Honda, Yamaha, Suzuki "BEEZMOTO"</t>
  </si>
  <si>
    <t>https://b2beez.ru/images/detailed/177/6545700542.jpg</t>
  </si>
  <si>
    <t>K-893</t>
  </si>
  <si>
    <t>Коленвал Honda DIO AF34/35 (под сепаратор 17mm) (+сепаратор, сальники, щеки 32,5mm) "BEEZMOTO"</t>
  </si>
  <si>
    <t>https://b2beez.ru/images/detailed/169/orig_xarg-jm.jpg</t>
  </si>
  <si>
    <t>A-869</t>
  </si>
  <si>
    <t>Адаптер для второго амортизатора Zongshen STORM (12-13" колесо) KOMATCU</t>
  </si>
  <si>
    <t>https://b2beez.ru/images/detailed/153/orig_kzsd-j7.jpg</t>
  </si>
  <si>
    <t>A-629</t>
  </si>
  <si>
    <t>Амортизатор GY6, HONDA DIO 335mm, регулируемый (Ø10mm, красный металлик) "NDT"</t>
  </si>
  <si>
    <t>https://b2beez.ru/images/detailed/153/orig_qhzb-tv.jpg</t>
  </si>
  <si>
    <t>A-253</t>
  </si>
  <si>
    <t>Амортизатор GY6, HONDA DIO 290mm, регулируемый (черный) "NDT"</t>
  </si>
  <si>
    <t>https://b2beez.ru/images/detailed/204/A-253-2_4kcu-13.jpg</t>
  </si>
  <si>
    <t>A-259</t>
  </si>
  <si>
    <t>Амортизатор GY6, HONDA DIO 290mm, стандартный (красный) NDT</t>
  </si>
  <si>
    <t>https://b2beez.ru/images/detailed/153/7160360477.jpg</t>
  </si>
  <si>
    <t>A-4138</t>
  </si>
  <si>
    <t>Амортизатор GY6, HONDA DIO 290mm, стандартный (красный) "LUXUPART"</t>
  </si>
  <si>
    <t>https://b2beez.ru/images/detailed/153/orig_rm2n-nk.jpg</t>
  </si>
  <si>
    <t>A-260</t>
  </si>
  <si>
    <t>Амортизатор GY6, HONDA DIO 295mm, стандартный (черный) D-10mm "NDT"</t>
  </si>
  <si>
    <t>https://b2beez.ru/images/detailed/153/orig_qned-2p.jpg</t>
  </si>
  <si>
    <t>A-1884</t>
  </si>
  <si>
    <t>Амортизатор JOG 235mm, регулируемый (чёрный) "NDT"</t>
  </si>
  <si>
    <t>https://b2beez.ru/images/detailed/153/orig_t4x2-ej.jpg</t>
  </si>
  <si>
    <t>A-350</t>
  </si>
  <si>
    <t>Амортизатор JOG 235mm, регулируемый (чёрно-дымчатый) "NDT"</t>
  </si>
  <si>
    <t>https://b2beez.ru/images/detailed/153/orig_sizn-60.jpg</t>
  </si>
  <si>
    <t>B-169</t>
  </si>
  <si>
    <t>Бендикс 4T GY6 50 "BEEZMOTO"</t>
  </si>
  <si>
    <t>https://b2beez.ru/images/detailed/154/7062963614.jpg</t>
  </si>
  <si>
    <t>B-742</t>
  </si>
  <si>
    <t>Бензонасос вакуумный Honda DIO "BEEZMOTO"</t>
  </si>
  <si>
    <t>https://b2beez.ru/images/detailed/154/6741832915.jpg</t>
  </si>
  <si>
    <t>G-3362</t>
  </si>
  <si>
    <t>Вал рокеров GY6 50 (комплект) "BEEZMOTO"</t>
  </si>
  <si>
    <t>https://b2beez.ru/images/detailed/162/6741816210.jpg</t>
  </si>
  <si>
    <t>V-48</t>
  </si>
  <si>
    <t>Вариатор задний 4T GY6 125/150 (с барабаном) "KOMATCU"</t>
  </si>
  <si>
    <t>https://b2beez.ru/images/detailed/187/6847198295.jpg</t>
  </si>
  <si>
    <t>V-2380</t>
  </si>
  <si>
    <t>Вариатор передний Yamaha JOG 50 (d-13mm, палец, щека, ступица) "BEEZMOTO"</t>
  </si>
  <si>
    <t>https://b2beez.ru/images/detailed/186/orig_q2l4-wa.jpg</t>
  </si>
  <si>
    <t>009716</t>
  </si>
  <si>
    <t>Вариатор задний Yamaha JOG 50 (с барабаном) "LUXUPART"</t>
  </si>
  <si>
    <t>https://b2beez.ru/images/detailed/91/7180960301.jpg</t>
  </si>
  <si>
    <t>V-1726</t>
  </si>
  <si>
    <t>Вариатор задний Yamaha JOG 90 (без барабана) "LUXUPART"</t>
  </si>
  <si>
    <t>https://b2beez.ru/images/detailed/186/7180913194.jpg</t>
  </si>
  <si>
    <t>V-172</t>
  </si>
  <si>
    <t>Вариатор передний (тюнинг) 4T GY6 50 спорт (ролики латунь 9шт, палец Ø20mm, пружины сцеплени, Ø101mm) "DLH"</t>
  </si>
  <si>
    <t>https://b2beez.ru/images/detailed/186/7160344678.jpg</t>
  </si>
  <si>
    <t>V-611</t>
  </si>
  <si>
    <t>Вариатор передний 4T GY6 125/150 (палец, щека) "LUXUPART"</t>
  </si>
  <si>
    <t>https://b2beez.ru/images/detailed/187/orig_4ngb-8t.jpg</t>
  </si>
  <si>
    <t>V-2378</t>
  </si>
  <si>
    <t>Вариатор передний Honda DIO AF34 (палец, щека) "KOMATCU"</t>
  </si>
  <si>
    <t>https://b2beez.ru/images/detailed/204/1_9r58-gb.jpg</t>
  </si>
  <si>
    <t>V-2379</t>
  </si>
  <si>
    <t>Вариатор передний Suzuki LET'S "KOMATCU"</t>
  </si>
  <si>
    <t>https://b2beez.ru/images/detailed/186/orig_e2ec-ur.jpg</t>
  </si>
  <si>
    <t>V-2729</t>
  </si>
  <si>
    <t>Вариатор передний Yamaha JOG 90, 2T Stels 50 (d-16mm, палец) "KOMATCU"</t>
  </si>
  <si>
    <t>https://b2beez.ru/images/detailed/186/orig_jqxa-9p.jpg</t>
  </si>
  <si>
    <t>S-2855</t>
  </si>
  <si>
    <t>Втулка для сектора в крышку вариатора 4T GY6 125/150 "KOMATCU"</t>
  </si>
  <si>
    <t>https://b2beez.ru/images/detailed/179/orig_c32n-wp.jpg</t>
  </si>
  <si>
    <t>S-7527</t>
  </si>
  <si>
    <t>Втулка для сектора в крышку вариатора 4T GY6 50 "BEEZMOTO"</t>
  </si>
  <si>
    <t>https://b2beez.ru/images/detailed/182/orig_bk4i-t6.jpg</t>
  </si>
  <si>
    <t>S-1986</t>
  </si>
  <si>
    <t>Втулка для сектора в крышку вариатора Yamaha JOG 50 KOMATCU</t>
  </si>
  <si>
    <t>https://b2beez.ru/images/detailed/179/6731489931.jpg</t>
  </si>
  <si>
    <t>G-1165</t>
  </si>
  <si>
    <t>Глушитель Honda DIO AF35/LEAD 48 "KOMATCU"</t>
  </si>
  <si>
    <t>https://b2beez.ru/images/detailed/161/orig_j1g7-1d.jpg</t>
  </si>
  <si>
    <t>G-1063</t>
  </si>
  <si>
    <t>Глушитель Honda LEAD 90 "KOMATCU"</t>
  </si>
  <si>
    <t>https://b2beez.ru/images/detailed/161/6265192419.jpg</t>
  </si>
  <si>
    <t>G-1039</t>
  </si>
  <si>
    <t>Головка цилиндра 4T GY6 150 (Ø57.4) (в сборе) (+крышка) (d=23/28) "KOMATCU"</t>
  </si>
  <si>
    <t>https://b2beez.ru/images/detailed/161/orig_eaiu-co.jpg</t>
  </si>
  <si>
    <t>G-2682</t>
  </si>
  <si>
    <t>Головка цилиндра 4T GY6 125 (голая) (Ø52.4) (+клапаны) "KOMATCU"</t>
  </si>
  <si>
    <t>https://b2beez.ru/images/detailed/162/6194482781.jpg</t>
  </si>
  <si>
    <t>G-299</t>
  </si>
  <si>
    <t>Головка цилиндра Honda DIO 75 (Ø47) "BEEZMOTO"</t>
  </si>
  <si>
    <t>https://b2beez.ru/images/detailed/162/orig_uywk-bf.jpg</t>
  </si>
  <si>
    <t>G-294</t>
  </si>
  <si>
    <t>Головка цилиндра Yamaha JOG 50, 2T Stels 50 (Ø40mm) "BEEZMOTO"</t>
  </si>
  <si>
    <t>https://b2beez.ru/images/detailed/162/orig_o5xi-id.jpg</t>
  </si>
  <si>
    <t>A-850</t>
  </si>
  <si>
    <t>Гофры передней вилки (пара) 4T GY6 150 "KOMATCU"</t>
  </si>
  <si>
    <t>https://b2beez.ru/images/detailed/153/orig_vds5-4e.jpg</t>
  </si>
  <si>
    <t>A-837</t>
  </si>
  <si>
    <t>Гофры передней вилки (пара) 4T GY6 50 "KOMATCU"</t>
  </si>
  <si>
    <t>https://b2beez.ru/images/detailed/153/orig_9hn3-cr.jpg</t>
  </si>
  <si>
    <t>D-4065</t>
  </si>
  <si>
    <t>Диск тормозной Yamaha JOG "KOMATCU" (mod.A)</t>
  </si>
  <si>
    <t>https://b2beez.ru/images/detailed/159/orig_nzrf-i2.jpg</t>
  </si>
  <si>
    <t>M-363</t>
  </si>
  <si>
    <t>Звезда привода маслонасоса (на коленвал) 4T GY6 50 "KOMATCU"</t>
  </si>
  <si>
    <t>https://b2beez.ru/images/detailed/169/orig_ylgu-de.jpg</t>
  </si>
  <si>
    <t>K-592</t>
  </si>
  <si>
    <t>Карбюратор 4T GY6 80 D-19мм 139QMB/139QMA (+топливный фильтр) "BEEZMOTO"</t>
  </si>
  <si>
    <t>https://b2beez.ru/images/detailed/168/orig_rc15-nf.jpg</t>
  </si>
  <si>
    <t>K-8675</t>
  </si>
  <si>
    <t>Катушка зажигания 2T TB50, Suzuki RUN "BEEZMOTO"</t>
  </si>
  <si>
    <t>https://b2beez.ru/images/detailed/169/6545700037.jpg</t>
  </si>
  <si>
    <t>K-687</t>
  </si>
  <si>
    <t>Катушка зажигания Suzuki AD50 (+насвечник) "BEEZMOTO"</t>
  </si>
  <si>
    <t>https://b2beez.ru/images/detailed/168/6545700936.jpg</t>
  </si>
  <si>
    <t>K-4916</t>
  </si>
  <si>
    <t>Катушка зажигания Yamaha JOG "BEEZMOTO"</t>
  </si>
  <si>
    <t>https://b2beez.ru/images/detailed/168/orig_1jgb-se.jpg</t>
  </si>
  <si>
    <t>G-2078</t>
  </si>
  <si>
    <t>Клапаны (пара, голые) 4T GY6 80 (L-69mm) "BEEZMOTO"</t>
  </si>
  <si>
    <t>https://b2beez.ru/images/detailed/161/6741841537.jpg</t>
  </si>
  <si>
    <t>Z-243</t>
  </si>
  <si>
    <t>Ключ замка зажигания (заготовка) Honda (с эмблемой, длинный, красный) "KOMATCU"</t>
  </si>
  <si>
    <t>https://b2beez.ru/images/detailed/188/orig_kkon-xh.jpg</t>
  </si>
  <si>
    <t>K-8473</t>
  </si>
  <si>
    <t>Коленвал 2T Stels 50 1E40QMB (p-12mm) "BEEZMOTO"</t>
  </si>
  <si>
    <t>https://b2beez.ru/images/detailed/169/orig_vsyp-6k.jpg</t>
  </si>
  <si>
    <t>K-4945</t>
  </si>
  <si>
    <t>Коленвал 4T GY6 125/150 17T (152QMI, 157QMJ) "KOMATCU"</t>
  </si>
  <si>
    <t>https://b2beez.ru/images/detailed/168/orig.png</t>
  </si>
  <si>
    <t>K-774</t>
  </si>
  <si>
    <t>Коленвал Honda DIO AF27 (под сепаратор 17mm) "BEEZMOTO"</t>
  </si>
  <si>
    <t>https://b2beez.ru/images/detailed/169/orig_f6jj-5w.jpg</t>
  </si>
  <si>
    <t>K-776</t>
  </si>
  <si>
    <t>Коленвал Honda LEAD 100 (+сепаратор, шпонка) "KOMATCU"</t>
  </si>
  <si>
    <t>https://b2beez.ru/images/detailed/169/orig_noyn-4j.jpg</t>
  </si>
  <si>
    <t>K-2153</t>
  </si>
  <si>
    <t>Коленвал Honda LEAD 90 (под сепаратор 17mm) "BEEZMOTO"</t>
  </si>
  <si>
    <t>https://b2beez.ru/images/detailed/166/orig_9lsm-ka.jpg</t>
  </si>
  <si>
    <t>K-4241</t>
  </si>
  <si>
    <t>Коленвал Suzuki AD100 (под сепаратор 16mm) (+сепаратор, шпонка) "KOMATCU"</t>
  </si>
  <si>
    <t>https://b2beez.ru/images/detailed/167/orig_dqr0-z3.jpg</t>
  </si>
  <si>
    <t>K-15</t>
  </si>
  <si>
    <t>Коленвал Suzuki AD50 (+сепаратор) "BEEZMOTO"</t>
  </si>
  <si>
    <t>https://b2beez.ru/images/detailed/166/orig_mcg9-j1.jpg</t>
  </si>
  <si>
    <t>K-4998</t>
  </si>
  <si>
    <t>Коленвал Suzuki LETS (+сепаратор) "BEEZMOTO"</t>
  </si>
  <si>
    <t>https://b2beez.ru/images/detailed/168/orig_8yz9-4m.jpg</t>
  </si>
  <si>
    <t>K-7284</t>
  </si>
  <si>
    <t>Коленвал 4T GY6 80 (под сепаратор 13mm) (шестерня маслонососа 22T) (+шпонка) "BEEZMOTO"</t>
  </si>
  <si>
    <t>https://b2beez.ru/images/detailed/169/orig_8q82-2d.jpg</t>
  </si>
  <si>
    <t>K-864</t>
  </si>
  <si>
    <t>Коленвал Yamaha JOG 50 (3KJ) (+сепаратор) "BEEZMOTO"</t>
  </si>
  <si>
    <t>https://b2beez.ru/images/detailed/169/orig_ugoy-mn.jpg</t>
  </si>
  <si>
    <t>K-8633</t>
  </si>
  <si>
    <t>Колодки сцепления (тюнинг) 4T GY6 50, Honda DIO ZX "BEEZMOTO"</t>
  </si>
  <si>
    <t>https://b2beez.ru/images/detailed/169/orig_tq21-vv.jpg</t>
  </si>
  <si>
    <t>K-47</t>
  </si>
  <si>
    <t>Кольца 2T TB 60, Suzuki RUN 60 0,25 (Ø43,25) KOSO</t>
  </si>
  <si>
    <t>https://b2beez.ru/images/detailed/167/6224627748_em44-zc.jpg</t>
  </si>
  <si>
    <t>K-68</t>
  </si>
  <si>
    <t>Кольца 4T GY6 50 1,00 (Ø40,00) KOSO</t>
  </si>
  <si>
    <t>https://b2beez.ru/images/detailed/168/6224627810_eatw-e2.jpg</t>
  </si>
  <si>
    <t>K-3973</t>
  </si>
  <si>
    <t>Кольца Yamaha JOG 50 .STD (Ø40,00, 2JA/3KJ) TKT</t>
  </si>
  <si>
    <t>https://b2beez.ru/images/detailed/167/6224627696_jrf5-fd.jpg</t>
  </si>
  <si>
    <t>K-130</t>
  </si>
  <si>
    <t>Кольца Yamaha JOG 72 1,00 (Ø48,00, 2JA/3KJ) KOSO</t>
  </si>
  <si>
    <t>https://b2beez.ru/images/detailed/166/6224627748_s6na-un.jpg</t>
  </si>
  <si>
    <t>K-1063</t>
  </si>
  <si>
    <t>Коммутатор Suzuki LETS "BEEZMOTO"</t>
  </si>
  <si>
    <t>https://b2beez.ru/images/detailed/166/orig_330e-ey.jpg</t>
  </si>
  <si>
    <t>L-155</t>
  </si>
  <si>
    <t>Лепестковый клапан Suzuki LET'S "BEEZMOTO"</t>
  </si>
  <si>
    <t>https://b2beez.ru/images/detailed/169/orig_i532-rq.jpg</t>
  </si>
  <si>
    <t>M-13</t>
  </si>
  <si>
    <t>Маслонасос 2T TB50, Suzuki "KOMATCU"</t>
  </si>
  <si>
    <t>https://b2beez.ru/images/detailed/169/6830350605.jpg</t>
  </si>
  <si>
    <t>O-2316</t>
  </si>
  <si>
    <t>Маховик (обгонная муфта) Yamaha JOG 50 3KJ "BEEZMOTO"</t>
  </si>
  <si>
    <t>https://b2beez.ru/images/detailed/172/orig_tw0x-2z.jpg</t>
  </si>
  <si>
    <t>M-640</t>
  </si>
  <si>
    <t>Машинка тормозная (ГТЦ) Suzuki AD50 (правая) "KOMATCU" (mod.A)</t>
  </si>
  <si>
    <t>https://b2beez.ru/images/detailed/169/orig_b7p5-00.jpg</t>
  </si>
  <si>
    <t>K-1367</t>
  </si>
  <si>
    <t>Мембрана карбюратора (с заслонкой) 4T GY6 125 (Ø22mm, основная) "KOMATCU"</t>
  </si>
  <si>
    <t>https://b2beez.ru/images/detailed/166/6241082428.jpg</t>
  </si>
  <si>
    <t>R-2382</t>
  </si>
  <si>
    <t>Мембрана карбюратора пусковая 4T GY6 80 (10шт) "BEEZMOTO"</t>
  </si>
  <si>
    <t>https://b2beez.ru/images/detailed/177/6799495461.jpg</t>
  </si>
  <si>
    <t>K-1376</t>
  </si>
  <si>
    <t>Мембрана карбюратора (с заслонкой) 4T GY6 80 (Ø18mm, основная) "KOMATCU"</t>
  </si>
  <si>
    <t>https://b2beez.ru/images/detailed/166/orig_2h1i-k0.jpg</t>
  </si>
  <si>
    <t>G-2506</t>
  </si>
  <si>
    <t>Направляющие клапанов (пара) 4T GY6 125/150 "KOMATCU"</t>
  </si>
  <si>
    <t>https://b2beez.ru/images/detailed/162/orig_nqq6-e5.jpg</t>
  </si>
  <si>
    <t>G-1782</t>
  </si>
  <si>
    <t>Направляющие клапанов (пара) 4T GY6 50 "KOMATCU"</t>
  </si>
  <si>
    <t>https://b2beez.ru/images/detailed/161/orig_lsoe-ak.jpg</t>
  </si>
  <si>
    <t>N-416</t>
  </si>
  <si>
    <t>Ножка кикстартера 4T GY6 125/150 (круглая подножка) "KOMATCU"</t>
  </si>
  <si>
    <t>https://b2beez.ru/images/detailed/171/6241082501.jpg</t>
  </si>
  <si>
    <t>N-412</t>
  </si>
  <si>
    <t>Ножка кикстартера 4T GY6 125/150 (круглая подножка) KICK</t>
  </si>
  <si>
    <t>https://b2beez.ru/images/detailed/171/6241082536.jpg</t>
  </si>
  <si>
    <t>P-2934</t>
  </si>
  <si>
    <t>Панель приборов (в сборе) Honda DIO 34/35 "KOMATCU"</t>
  </si>
  <si>
    <t>https://b2beez.ru/images/detailed/173/orig_b8nd-i8.jpg</t>
  </si>
  <si>
    <t>P-174</t>
  </si>
  <si>
    <t>Поршень 4T GY6 125 0,75 (Ø53,25) TNT</t>
  </si>
  <si>
    <t>https://b2beez.ru/images/detailed/173/6224689294_6mpm-47.jpg</t>
  </si>
  <si>
    <t>P-8120</t>
  </si>
  <si>
    <t>Поршень 4T GY6 150 .STD (Ø57,40) тефлоновое покрытие "BEEZMOTO"</t>
  </si>
  <si>
    <t>https://b2beez.ru/images/detailed/175/orig_zfv0-kx.jpg</t>
  </si>
  <si>
    <t>P-5450</t>
  </si>
  <si>
    <t>Поршень 4T GY6 180 .STD (Ø61,00) "BEEZMOTO"</t>
  </si>
  <si>
    <t>https://b2beez.ru/images/detailed/174/6770311978.jpg</t>
  </si>
  <si>
    <t>P-8108</t>
  </si>
  <si>
    <t>Поршень 4T GY6 60 STD (Ø44.00) (139QMB) "BLADE"</t>
  </si>
  <si>
    <t>https://b2beez.ru/images/detailed/175/6224689748.jpg</t>
  </si>
  <si>
    <t>001335</t>
  </si>
  <si>
    <t>Поршень 4T GY6 60 STD (Ø44,00) (Тайвань) SEE</t>
  </si>
  <si>
    <t>https://b2beez.ru/images/detailed/47/orig_fhgu-hy.jpg</t>
  </si>
  <si>
    <t>P-8114</t>
  </si>
  <si>
    <t>Поршень Honda LEAD 90 .STD (Ø48,00) "BEEZMOTO"</t>
  </si>
  <si>
    <t>https://b2beez.ru/images/detailed/175/orig_h1se-i3.jpg</t>
  </si>
  <si>
    <t>P-7460</t>
  </si>
  <si>
    <t>Поршень Suzuki AD 65 .STD (Ø44,00) "KOMATCU"</t>
  </si>
  <si>
    <t>https://b2beez.ru/images/detailed/175/orig_8k1s-id.jpg</t>
  </si>
  <si>
    <t>P-7776</t>
  </si>
  <si>
    <t>Поршень Suzuki LETS 72 .STD (Ø47) "TNT"</t>
  </si>
  <si>
    <t>https://b2beez.ru/images/detailed/175/6224689628.jpg</t>
  </si>
  <si>
    <t>P-0897</t>
  </si>
  <si>
    <t>Поршень Yamaha JOG 3WF 90 .STD (Ø50 p-12) "BEEZMOTO"</t>
  </si>
  <si>
    <t>https://b2beez.ru/images/detailed/172/orig_pgmt-gr.jpg</t>
  </si>
  <si>
    <t>P-505</t>
  </si>
  <si>
    <t>Поршень Yamaha JOG 65 .STD (Ø44,00 p-10, 2JA/3KJ) "BEEZMOTO"</t>
  </si>
  <si>
    <t>https://b2beez.ru/images/detailed/174/7064716603.jpg</t>
  </si>
  <si>
    <t>C-234</t>
  </si>
  <si>
    <t>Поршневая (ЦПГ) 2T Stels 65 (Ø44, p-12, h-64) "BEEZMOTO"</t>
  </si>
  <si>
    <t>https://b2beez.ru/images/detailed/156/orig_c9qu-wt.jpg</t>
  </si>
  <si>
    <t>C-1323</t>
  </si>
  <si>
    <t>Поршневая (ЦПГ) 2T TB 50, Suzuki RUN (Ø41, p-10, h-51) "BEEZMOTO"</t>
  </si>
  <si>
    <t>https://b2beez.ru/images/detailed/155/orig_y2ku-sz.jpg</t>
  </si>
  <si>
    <t>C-1172</t>
  </si>
  <si>
    <t>Поршневая (ЦПГ) 4T GY6 125 (Ø52.4, p-15*41, H-90mm) "KOMATCU"</t>
  </si>
  <si>
    <t>https://b2beez.ru/images/detailed/155/orig_asyd-zf.jpg</t>
  </si>
  <si>
    <t>C-1907</t>
  </si>
  <si>
    <t>Поршневая (ЦПГ) 4T GY6 125 (Ø52.4, p-15*41, h-90mm) "BEEZMOTO"</t>
  </si>
  <si>
    <t>https://b2beez.ru/images/detailed/155/orig_8cnq-6x.jpg</t>
  </si>
  <si>
    <t>C-1690</t>
  </si>
  <si>
    <t>Поршневая (ЦПГ) 4T GY6 60 (Ø44.0) "BEEZMOTO"</t>
  </si>
  <si>
    <t>https://b2beez.ru/images/detailed/155/orig_sqdr-oh.jpg</t>
  </si>
  <si>
    <t>C-1148</t>
  </si>
  <si>
    <t>Поршневая (ЦПГ) Honda DIO 50 (Ø39, p-12) "KOMATCU"</t>
  </si>
  <si>
    <t>https://b2beez.ru/images/detailed/155/orig_gwb5-0l.jpg</t>
  </si>
  <si>
    <t>C-1004</t>
  </si>
  <si>
    <t>Поршневая (ЦПГ) Honda DIO 60 (AF18/27, Ø43.00mm) "KOMATCU"</t>
  </si>
  <si>
    <t>https://b2beez.ru/images/detailed/154/6713266036.jpg</t>
  </si>
  <si>
    <t>C-339</t>
  </si>
  <si>
    <t>Поршневая (ЦПГ) Honda DIO 50 (Ø39, p-12) "BEEZMOTO"</t>
  </si>
  <si>
    <t>https://b2beez.ru/images/detailed/156/orig_do0e-j0.jpg</t>
  </si>
  <si>
    <t>C-2154</t>
  </si>
  <si>
    <t>Поршневая (ЦПГ) Honda LEAD 100 (Ø51) "KOMATCU"</t>
  </si>
  <si>
    <t>https://b2beez.ru/images/detailed/156/orig_7hcs-zk.jpg</t>
  </si>
  <si>
    <t>C-1159</t>
  </si>
  <si>
    <t>Поршневая (ЦПГ) Suzuki AD 72 (Ø47, p-10) "KOMATCU"</t>
  </si>
  <si>
    <t>https://b2beez.ru/images/detailed/155/orig_lurc-3y.jpg</t>
  </si>
  <si>
    <t>C-2693</t>
  </si>
  <si>
    <t>Поршневая (ЦПГ) Yamaha BWS AXIS 100 (Ø52,00 p-14) "BEEZMOTO"</t>
  </si>
  <si>
    <t>https://b2beez.ru/images/detailed/204/C-2693-8_mlbk-bo.jpg</t>
  </si>
  <si>
    <t>C-599</t>
  </si>
  <si>
    <t>Поршневая (ЦПГ) Yamaha JOG 2JA 65 (Ø44 p-10) "BEEZMOTO"</t>
  </si>
  <si>
    <t>https://b2beez.ru/images/detailed/156/7070113670.jpg</t>
  </si>
  <si>
    <t>C-1179</t>
  </si>
  <si>
    <t>Поршневая (ЦПГ) Yamaha JOG 3KJ 65 (Ø44 p-10) "KOMATCU"</t>
  </si>
  <si>
    <t>https://b2beez.ru/images/detailed/155/orig_osz8-i0.jpg</t>
  </si>
  <si>
    <t>C-378</t>
  </si>
  <si>
    <t>Поршневая (ЦПГ) Yamaha JOG 2JA 50 (Ø40 p-10) "BEEZMOTO"</t>
  </si>
  <si>
    <t>https://b2beez.ru/images/detailed/156/orig_wlpx-55.jpg</t>
  </si>
  <si>
    <t>G-961</t>
  </si>
  <si>
    <t>Прокладка крышки головки цилиндра 4T GY6 125/150 "BEEZMOTO"</t>
  </si>
  <si>
    <t>https://b2beez.ru/images/detailed/162/orig_d1nr-bh.jpg</t>
  </si>
  <si>
    <t>G-3222</t>
  </si>
  <si>
    <t>Прокладка крышки головки цилиндра 4T GY6 50 "BEEZMOTO"</t>
  </si>
  <si>
    <t>https://b2beez.ru/images/detailed/162/orig_6jcn-ap.jpg</t>
  </si>
  <si>
    <t>Прокладки двигателя (набор) 4T GY6 100 (Ø50mm, L-400mm) "TMMP"</t>
  </si>
  <si>
    <t>https://b2beez.ru/images/detailed/48/6224782001_6409-qs.jpg</t>
  </si>
  <si>
    <t>P-6367</t>
  </si>
  <si>
    <t>Прокладки двигателя (набор) Yamaha JOG 3KJ Ø40mm "KOMATCU" (mod.A)</t>
  </si>
  <si>
    <t>https://b2beez.ru/images/detailed/174/6224781984.jpg</t>
  </si>
  <si>
    <t>P-5258</t>
  </si>
  <si>
    <t>Прокладки цилиндра (набор) Honda DIO Ø39mm "BEEZMOTO"</t>
  </si>
  <si>
    <t>https://b2beez.ru/images/detailed/174/orig_m26t-q7.jpg</t>
  </si>
  <si>
    <t>P-2028</t>
  </si>
  <si>
    <t>Прокладки цилиндра (набор) Yamaha JOG 5BM Ø40mm "BEEZMOTO"</t>
  </si>
  <si>
    <t>https://b2beez.ru/images/detailed/173/6725202918.jpg</t>
  </si>
  <si>
    <t>P-8248</t>
  </si>
  <si>
    <t>Пружина торкдрайвера Yamaha JOG (1500RPM) "KOMATCU"</t>
  </si>
  <si>
    <t>https://b2beez.ru/images/detailed/175/6287756985.jpg</t>
  </si>
  <si>
    <t>K-3524</t>
  </si>
  <si>
    <t>Разъем коммутатора 4T GY6 50-150 (4+2 контакта, мама, +провода) "BEEZMOTO"</t>
  </si>
  <si>
    <t>https://b2beez.ru/images/detailed/167/orig_6zfc-4j.jpg</t>
  </si>
  <si>
    <t>R-144</t>
  </si>
  <si>
    <t>Реле зарядки DIO, TB 50/60, AD50, JOG, ALPHA, TTR, ATV 50-125, 139QMB, 152QMI, 157QMJ "BEEZMOTO"</t>
  </si>
  <si>
    <t>https://b2beez.ru/images/detailed/176/6545699876.jpg</t>
  </si>
  <si>
    <t>R-201</t>
  </si>
  <si>
    <t>Реле поворотов Honda DIO (2 контакта, бочонок,12.8V, 3.5W) "BEEZMOTO"</t>
  </si>
  <si>
    <t>https://b2beez.ru/images/detailed/176/orig_4gf0-34.jpg</t>
  </si>
  <si>
    <t>R-217</t>
  </si>
  <si>
    <t>Реле поворотов Suzuki AD50 "BEEZMOTO"</t>
  </si>
  <si>
    <t>https://b2beez.ru/images/detailed/176/7186659665.jpg</t>
  </si>
  <si>
    <t>E-60</t>
  </si>
  <si>
    <t>Реле электростартера 4T GY6 50, Delta, Alpha "BEEZMOTO"</t>
  </si>
  <si>
    <t>https://b2beez.ru/images/detailed/160/orig_qqzy-ar.jpg</t>
  </si>
  <si>
    <t>R-4233</t>
  </si>
  <si>
    <t>Ремень вариатора 655 * 15,5 Honda TACT AF24, GIORNO "BEEZMOTO"</t>
  </si>
  <si>
    <t>https://b2beez.ru/images/detailed/177/orig_0c4y-bb.jpg</t>
  </si>
  <si>
    <t>R-280</t>
  </si>
  <si>
    <t>Ремень вариатора 667 * 18,0 Honda DIO ZX "BEEZMOTO"</t>
  </si>
  <si>
    <t>https://b2beez.ru/images/detailed/177/orig_4ejs-1d.jpg</t>
  </si>
  <si>
    <t>R-2679</t>
  </si>
  <si>
    <t>Ремень вариатора 669 * 18,0 4T GY6 50 (10 колесо) "BEEZMOTO"</t>
  </si>
  <si>
    <t>https://b2beez.ru/images/detailed/177/6828565215.jpg</t>
  </si>
  <si>
    <t>R-1792</t>
  </si>
  <si>
    <t>Ремень вариатора 669 * 18,0 4T GY6 50 "MALOSSI"</t>
  </si>
  <si>
    <t>https://b2beez.ru/images/detailed/176/orig_pkcz-ka.jpg</t>
  </si>
  <si>
    <t>019309</t>
  </si>
  <si>
    <t>Ремень вариатора 723 * 17.5 STELS (2T ремень) "KOMATCU"</t>
  </si>
  <si>
    <t>https://b2beez.ru/images/detailed/47/orig_ydzk-lc.jpg</t>
  </si>
  <si>
    <t>R-2683</t>
  </si>
  <si>
    <t>Ремень вариатора 729 * 17,5 4T GY6 50 (12 колесо) "BEEZMOTO"</t>
  </si>
  <si>
    <t>https://b2beez.ru/images/detailed/177/orig_r12n-1v.jpg</t>
  </si>
  <si>
    <t>R-4226</t>
  </si>
  <si>
    <t>Ремень вариатора 730 * 18,0 Honda LEAD 90  "MALOSSI"</t>
  </si>
  <si>
    <t>https://b2beez.ru/images/detailed/177/orig_h8f5-t8.jpg</t>
  </si>
  <si>
    <t>R-3891</t>
  </si>
  <si>
    <t>Ремень вариатора 743 * 20,0 4T GY6 125/150 152QMI "BEEZMOTO"</t>
  </si>
  <si>
    <t>https://b2beez.ru/images/detailed/177/6741836536.jpg</t>
  </si>
  <si>
    <t>R-4111</t>
  </si>
  <si>
    <t>Ремень вариатора 788 * 18,0 4T GY6 125/150 "MALOSSI"</t>
  </si>
  <si>
    <t>https://b2beez.ru/images/detailed/177/7065665533.jpg</t>
  </si>
  <si>
    <t>R-379</t>
  </si>
  <si>
    <t>Ремень вариатора 790 * 16,8 Yamaha JOG 3KJ "KOMATCU"</t>
  </si>
  <si>
    <t>https://b2beez.ru/images/detailed/177/7160330916.jpg</t>
  </si>
  <si>
    <t>R-2702</t>
  </si>
  <si>
    <t>Ремень вариатора 842 * 20,0 4T GY6 125/150 "BEEZMOTO"</t>
  </si>
  <si>
    <t>https://b2beez.ru/images/detailed/177/orig_5j1f-u6.jpg</t>
  </si>
  <si>
    <t>R-3135</t>
  </si>
  <si>
    <t>Ремкомплект карбюратора 4T GY6 150 ZV</t>
  </si>
  <si>
    <t>https://b2beez.ru/images/detailed/177/orig_o342-qy.jpg</t>
  </si>
  <si>
    <t>K-1572</t>
  </si>
  <si>
    <t>Ремкомплект карбюратора Honda LEAD 90 "KOMATCU"</t>
  </si>
  <si>
    <t>https://b2beez.ru/images/detailed/166/6228541993.jpg</t>
  </si>
  <si>
    <t>S-4832</t>
  </si>
  <si>
    <t>Ремкомплект суппорта тормозного (диск) 4T GY6 50 (зад) "KOMATCU"</t>
  </si>
  <si>
    <t>https://b2beez.ru/images/detailed/181/6242639604.jpg</t>
  </si>
  <si>
    <t>R-1280</t>
  </si>
  <si>
    <t>Ролики вариатора Honda 16*13 8,0г "DLH"</t>
  </si>
  <si>
    <t>https://b2beez.ru/images/detailed/176/orig_0zmv-l3.jpg</t>
  </si>
  <si>
    <t>R-4045</t>
  </si>
  <si>
    <t>Ролики вариатора Honda 16*13 9г (черные) "DONGXIN"</t>
  </si>
  <si>
    <t>https://b2beez.ru/images/detailed/177/orig_l5uo-0q.jpg</t>
  </si>
  <si>
    <t>P-1800</t>
  </si>
  <si>
    <t>Сальник вилки Honda DIO (27*39*10,5) "BEEZMOTO"</t>
  </si>
  <si>
    <t>https://b2beez.ru/images/detailed/204/P-1800-2_lehi-oj.jpg</t>
  </si>
  <si>
    <t>S-770</t>
  </si>
  <si>
    <t>Сальник коленвала 4T GY6 50 (17*30*7) "BEEZMOTO"</t>
  </si>
  <si>
    <t>https://b2beez.ru/images/detailed/204/S-770-2_6xw3-63.jpg</t>
  </si>
  <si>
    <t>C-011</t>
  </si>
  <si>
    <t>Сальник коленвала 4T GY6 50 (19,8*30*5) "BEEZMOTO"</t>
  </si>
  <si>
    <t>https://b2beez.ru/images/detailed/154/7171393772.jpg</t>
  </si>
  <si>
    <t>P-1783</t>
  </si>
  <si>
    <t>Сальник коленвала Yamaha BWS, AEROX, GRAND AXIS (22*38*6) "BEEZMOTO"</t>
  </si>
  <si>
    <t>https://b2beez.ru/images/detailed/173/orig_wd8n-rz.jpg</t>
  </si>
  <si>
    <t>P-8225</t>
  </si>
  <si>
    <t>Сальники (набор) 2T Stels 50 2шт коленвальные (20*42*8, 20*30*6) "BEEZMOTO"</t>
  </si>
  <si>
    <t>https://b2beez.ru/images/detailed/175/orig_4sh7-st.jpg</t>
  </si>
  <si>
    <t>C-6</t>
  </si>
  <si>
    <t>Сальники (набор) 4T GY6 50 4шт (17*30*7, 19.8*30*5, 20*32*7, 27*42*7) "BEEZMOTO"</t>
  </si>
  <si>
    <t>https://b2beez.ru/images/detailed/204/C-6-3_sany-uu.jpg</t>
  </si>
  <si>
    <t>P-6274</t>
  </si>
  <si>
    <t>Сальники (набор) Suzuki AD50 6шт (24*43*6, 27*40*6, 25*37*6, 17*27*5 x 2шт, 17*25*4) "BEEZMOTO"</t>
  </si>
  <si>
    <t>https://b2beez.ru/images/detailed/174/7171594350.jpg</t>
  </si>
  <si>
    <t>P-1529</t>
  </si>
  <si>
    <t>Сальники (набор) Suzuki AD50/100 3шт коленвальные (17*27*6, 25*37*6, 24*43*6) "BEEZMOTO"</t>
  </si>
  <si>
    <t>https://b2beez.ru/images/detailed/172/orig_b9hd-fk.jpg</t>
  </si>
  <si>
    <t>P-1432</t>
  </si>
  <si>
    <t>Сальники (набор) Suzuki LETS 2шт коленвальные (17*27*6, 22*40*6) "BEEZMOTO"</t>
  </si>
  <si>
    <t>https://b2beez.ru/images/detailed/172/7171593177.jpg</t>
  </si>
  <si>
    <t>P-1440</t>
  </si>
  <si>
    <t>Сальники (набор) Yamaha JOG 3KJ 2шт коленвальные (20*42*8, 20*30*6) "BEEZMOTO"</t>
  </si>
  <si>
    <t>https://b2beez.ru/images/detailed/172/orig_lzh5-fx.jpg</t>
  </si>
  <si>
    <t>S-877</t>
  </si>
  <si>
    <t>Сальники клапанов (пара) 4T GY6 50/80 "BEEZMOTO"</t>
  </si>
  <si>
    <t>https://b2beez.ru/images/detailed/182/orig_fyo2-1x.jpg</t>
  </si>
  <si>
    <t>009360</t>
  </si>
  <si>
    <t>Сектор заводной (полумесяц) 4T GY6 50 (L-64mm) (+пружина, втулка, стопор) "LIPAI"</t>
  </si>
  <si>
    <t>https://b2beez.ru/images/detailed/47/orig_x09w-iv.jpg</t>
  </si>
  <si>
    <t>K-2451</t>
  </si>
  <si>
    <t>Сепаратор 12*15*16.5 верхней головки шатуна Yamaha JOG 90</t>
  </si>
  <si>
    <t>https://b2beez.ru/images/detailed/166/6229667126.jpg</t>
  </si>
  <si>
    <t>S-1125</t>
  </si>
  <si>
    <t>Скользители (слайдеры) 4T GY6 150 (тюнинг, красные) (Тайвань) KOSO</t>
  </si>
  <si>
    <t>https://b2beez.ru/images/detailed/178/6228542321.jpg</t>
  </si>
  <si>
    <t>S-1127</t>
  </si>
  <si>
    <t>Скользители (слайдеры) 4T GY6 50 (тюнинг, красный) (Тайвань) KOSO</t>
  </si>
  <si>
    <t>https://b2beez.ru/images/detailed/178/orig_a7mo-v2.jpg</t>
  </si>
  <si>
    <t>S-1142</t>
  </si>
  <si>
    <t>Скользители (слайдеры) Honda LEAD 90 (черные)</t>
  </si>
  <si>
    <t>https://b2beez.ru/images/detailed/178/6230676174.jpg</t>
  </si>
  <si>
    <t>O-1587</t>
  </si>
  <si>
    <t>Стекло стоп-сигнала и поворотов Honda LEAD AF48 KOMATCU</t>
  </si>
  <si>
    <t>https://b2beez.ru/images/detailed/171/7186557252.jpg</t>
  </si>
  <si>
    <t>T-113</t>
  </si>
  <si>
    <t>Трос газа PZ27, PZ30 (1070mm, 1010mm) (двойной, для карбюраторов с ускорителем)</t>
  </si>
  <si>
    <t>https://b2beez.ru/images/detailed/182/orig_v691-ok.jpg</t>
  </si>
  <si>
    <t>T-916</t>
  </si>
  <si>
    <t>Трос заднего тормоза 4T GY6 50 (1900mm) "BEEZMOTO"</t>
  </si>
  <si>
    <t>https://b2beez.ru/images/detailed/183/orig_d0kr-sg.jpg</t>
  </si>
  <si>
    <t>T-14</t>
  </si>
  <si>
    <t>Трос заднего тормоза Suzuki AD50 (1850mm, уп.1шт) "BEEZMOTO"</t>
  </si>
  <si>
    <t>https://b2beez.ru/images/detailed/182/7132449763.jpg</t>
  </si>
  <si>
    <t>T-521</t>
  </si>
  <si>
    <t>Трос заднего тормоза Yamaha JOG 50 (1900mm) "BEEZMOTO"</t>
  </si>
  <si>
    <t>https://b2beez.ru/images/detailed/183/orig_okbx-z2.jpg</t>
  </si>
  <si>
    <t>P-4143</t>
  </si>
  <si>
    <t>Успокоитель цепи ГРМ 4T GY6 50 "BEEZMOTO"</t>
  </si>
  <si>
    <t>https://b2beez.ru/images/detailed/173/7174854665.jpg</t>
  </si>
  <si>
    <t>V-2795</t>
  </si>
  <si>
    <t>Фильтр воздушный (в сборе) 4T GY6 50-80 (10" колесо с поролоном) "BEEZMOTO"</t>
  </si>
  <si>
    <t>https://b2beez.ru/images/detailed/187/orig_9ceq-fb.jpg</t>
  </si>
  <si>
    <t>S-1610</t>
  </si>
  <si>
    <t>Чехол сиденья Honda DIO AF18 (черный, с надписью HONDA) "KOMATCU"</t>
  </si>
  <si>
    <t>https://b2beez.ru/images/detailed/204/1_fpzf-6a.jpg</t>
  </si>
  <si>
    <t>S-1348</t>
  </si>
  <si>
    <t>Чехол сиденья Honda DIO AF27 (черный, с надписью HONDA) "KOMATCU"</t>
  </si>
  <si>
    <t>https://b2beez.ru/images/detailed/178/6242639395.jpg</t>
  </si>
  <si>
    <t>S-1352</t>
  </si>
  <si>
    <t>Чехол сиденья Honda DIO AF34/35 (черный с черным кантом, с надписью HONDA) "KOMATCU"</t>
  </si>
  <si>
    <t>https://b2beez.ru/images/detailed/204/1_qnek-1u.jpg</t>
  </si>
  <si>
    <t>S-1623</t>
  </si>
  <si>
    <t>Чехол сиденья Honda TACT AF24 (с надписью HONDA) "KOMATCU"</t>
  </si>
  <si>
    <t>https://b2beez.ru/images/detailed/178/orig_aril-iu.jpg</t>
  </si>
  <si>
    <t>S-1363</t>
  </si>
  <si>
    <t>Чехол сиденья Suzuki LETS (черный) "KOMATCU"</t>
  </si>
  <si>
    <t>https://b2beez.ru/images/detailed/178/6242639443.jpg</t>
  </si>
  <si>
    <t>K-6073</t>
  </si>
  <si>
    <t>Шатун Suzuki LETS "BEEZMOTO"</t>
  </si>
  <si>
    <t>https://b2beez.ru/images/detailed/168/orig_kefm-vj.jpg</t>
  </si>
  <si>
    <t>E-104</t>
  </si>
  <si>
    <t>Щетки электростартера 4T GY6 50 "BEEZMOTO"</t>
  </si>
  <si>
    <t>https://b2beez.ru/images/detailed/160/6982001435.jpg</t>
  </si>
  <si>
    <t>S-2098</t>
  </si>
  <si>
    <t>Подшипник коленвала 6205-2RS 25*52*15 (к-л Suzuki AD100, Yamaha AEROX, BW'S 100, GR.AXIS, ИЖ) "BEEZMOTO"</t>
  </si>
  <si>
    <t>https://b2beez.ru/images/detailed/179/7061792840.jpg</t>
  </si>
  <si>
    <t>R-1020</t>
  </si>
  <si>
    <t>Подшипники руля Yamaha JOG 50 3KJ "KOMATCU"</t>
  </si>
  <si>
    <t>https://b2beez.ru/images/detailed/203/1_dfrc-ed.jpg</t>
  </si>
  <si>
    <t>S-3509</t>
  </si>
  <si>
    <t>Шланг топливный Ø4mm, 20 метров (силиконовый, черный) "BEEZMOTO"</t>
  </si>
  <si>
    <t>https://b2beez.ru/images/detailed/180/orig_bht7-u3.jpg</t>
  </si>
  <si>
    <t>S-3512</t>
  </si>
  <si>
    <t>Шланг топливный Ø4mm, 20 метров (силиконовый, красный) "BEEZMOTO"</t>
  </si>
  <si>
    <t>https://b2beez.ru/images/detailed/180/orig_u7ph-uz.jpg</t>
  </si>
  <si>
    <t>S-3511</t>
  </si>
  <si>
    <t>Шланг топливный Ø4mm, 20 метров (силиконовый, синий) "BEEZMOTO"</t>
  </si>
  <si>
    <t>https://b2beez.ru/images/detailed/180/orig_zrfk-6v.jpg</t>
  </si>
  <si>
    <t>V-80-U1</t>
  </si>
  <si>
    <t>Вариатор передний (тюнинг) Yamaha JOG 90, 2T Stels 50 (медно-граф. втулка, р. латунь) KOSO (Скол)</t>
  </si>
  <si>
    <t>K-4969</t>
  </si>
  <si>
    <t>Коленвал 4T GY6 80 (под сепаратор 13mm) (шестерня маслонососа 16T) (+шпонка) "BEEZMOTO"</t>
  </si>
  <si>
    <t>https://b2beez.ru/images/detailed/168/orig_oqs6-na.jpg</t>
  </si>
  <si>
    <t>P-3490</t>
  </si>
  <si>
    <t>Пластик Honda DIO AF27/28 комплект (голова, клюв, лючок, спойлер, задняя боковая пара) "KOMATCU"</t>
  </si>
  <si>
    <t>https://b2beez.ru/images/detailed/205/1_t0bc-9i.jpg</t>
  </si>
  <si>
    <t>P-2896</t>
  </si>
  <si>
    <t>Пластик Honda DIO AF34/35 комплект (голова, клюв, лючок, спойлер, задняя боковая пара) "KOMATCU"</t>
  </si>
  <si>
    <t>https://b2beez.ru/images/detailed/205/1_9jru-cm.jpg</t>
  </si>
  <si>
    <t>P-3404</t>
  </si>
  <si>
    <t>Пластик Yamaha JOG 3KJ комплект (голова, клюв, лючок, задняя боковая пара) "KOMATCU"</t>
  </si>
  <si>
    <t>https://b2beez.ru/images/detailed/173/orig_qhd7-mq.jpg</t>
  </si>
  <si>
    <t>C-778-U1</t>
  </si>
  <si>
    <t>Поршневая (ЦПГ) Yamaha BWS AXIS 100 (Ø52,00 p-14) "TMMP" (Не комплект)</t>
  </si>
  <si>
    <t>P-1972</t>
  </si>
  <si>
    <t>https://b2beez.ru/images/detailed/173/6653086110.jpg</t>
  </si>
  <si>
    <t>022118</t>
  </si>
  <si>
    <t>Редуктор (в сборе) 4T GY6 50 (под два амортизатор) "LIPAI"</t>
  </si>
  <si>
    <t>https://b2beez.ru/images/detailed/47/orig_374u-ni.jpg</t>
  </si>
  <si>
    <t>C-1380</t>
  </si>
  <si>
    <t>Поршневая (ЦПГ) 4T GY6 80 (Ø47.0) "BEEZMOTO" (mod:B)</t>
  </si>
  <si>
    <t>https://b2beez.ru/images/detailed/155/orig_okv7-5p.jpg</t>
  </si>
  <si>
    <t>K-2424</t>
  </si>
  <si>
    <t>Шпонка коленвала Honda (13х3х2,5mm) (комплект-10шт) "BEEZMOTO"</t>
  </si>
  <si>
    <t>https://b2beez.ru/images/detailed/166/6741716387.jpg</t>
  </si>
  <si>
    <t>B-1122</t>
  </si>
  <si>
    <t>Бензонасос вакуумный Honda DIO AF34/35 (+топливный фильтр) "KOMATCU"</t>
  </si>
  <si>
    <t>https://b2beez.ru/images/detailed/154/orig_ke84-f6.jpg</t>
  </si>
  <si>
    <t>O-307</t>
  </si>
  <si>
    <t>Патрон поворота "FLASH-249"</t>
  </si>
  <si>
    <t>https://b2beez.ru/images/detailed/172/6241082532.jpg</t>
  </si>
  <si>
    <t>V-1580</t>
  </si>
  <si>
    <t>Фильтр воздушный (в сборе) Honda DIO AF18 (глянцевый) "BEEZMOTO"</t>
  </si>
  <si>
    <t>https://b2beez.ru/images/detailed/185/orig_a3yo-kx.jpg</t>
  </si>
  <si>
    <t>A-681-U1</t>
  </si>
  <si>
    <t>Перья вилки Zongshen LEGEND SUNY (только левое)</t>
  </si>
  <si>
    <t>K-4783</t>
  </si>
  <si>
    <t>Карбюратор 4T GY6 80 D-20мм 139QMB/139QMA (+топливный фильтр) "BEEZMOTO"</t>
  </si>
  <si>
    <t>https://b2beez.ru/images/detailed/167/orig_qx76-z7.jpg</t>
  </si>
  <si>
    <t>007478</t>
  </si>
  <si>
    <t>Редуктор (в сборе) Suzuki LETS "BEEZMOTO"</t>
  </si>
  <si>
    <t>https://b2beez.ru/images/detailed/47/orig.jpg</t>
  </si>
  <si>
    <t>V-4321</t>
  </si>
  <si>
    <t>Вариатор задний 4T GY6 50, Honda DIO AF34 (с барабаном) "BEEZMOTO" mod:B</t>
  </si>
  <si>
    <t>https://b2beez.ru/images/detailed/187/6981879125.jpg</t>
  </si>
  <si>
    <t>E-78</t>
  </si>
  <si>
    <t>Шестерня электростартера промежуточная Yamaha JOG 90 "BEEZMOTO"</t>
  </si>
  <si>
    <t>https://b2beez.ru/images/detailed/160/7172623893.jpg</t>
  </si>
  <si>
    <t>V-85</t>
  </si>
  <si>
    <t>Вариатор передний (тюнинг) Honda DIO AF27 (медно-граф. втулка, ролики латунь) "KOSO"</t>
  </si>
  <si>
    <t>https://b2beez.ru/images/detailed/187/orig_rk5h-ea.jpg</t>
  </si>
  <si>
    <t>K-4970</t>
  </si>
  <si>
    <t>Коленвал 4T GY6 80 (под сепаратор 13mm, сальники) (шестерня маслонососа 16T) (+сальники) (mod.B)</t>
  </si>
  <si>
    <t>https://b2beez.ru/images/detailed/168/7129268403.jpg</t>
  </si>
  <si>
    <t>K-7283</t>
  </si>
  <si>
    <t>Коленвал 4T GY6 80 (под сепаратор 13mm, сальники) (шестерня маслонососа 22T) (+сальники) (mod.B)</t>
  </si>
  <si>
    <t>https://b2beez.ru/images/detailed/169/7129312057.jpg</t>
  </si>
  <si>
    <t>G-2677-U1</t>
  </si>
  <si>
    <t>Головка цилиндра 4T GY6 80/100 (Ø50) (в сборе, +крышка, d-20/23mm) "KOMATCU" (mod.A)  (Не комплект)</t>
  </si>
  <si>
    <t>P-5700-U1</t>
  </si>
  <si>
    <t>Поршень Suzuki LET'S 72 0,75 (Ø47,75) оригинал Taiwan "SEE" (Не комплект)</t>
  </si>
  <si>
    <t>V-1321-U1</t>
  </si>
  <si>
    <t>Вариатор передний (тюнинг) Yamaha JOG 50 (+палец, ролики 6 шт (1шт.- 7.2g), пружина торкдрайвера) "DLH" (Не комплект)</t>
  </si>
  <si>
    <t>K-0442</t>
  </si>
  <si>
    <t>Болты крышки вариатора 4T GY6 150 (10 колесо) (шестигранный шлиц, x10шт) "BEEZMOTO"</t>
  </si>
  <si>
    <t>https://b2beez.ru/images/detailed/166/7060522416.jpg</t>
  </si>
  <si>
    <t>E-1781</t>
  </si>
  <si>
    <t>Элемент воздушного фильтра Honda DIO AF34/35 (поролон сухой, белый) "AM"</t>
  </si>
  <si>
    <t>https://b2beez.ru/images/detailed/160/orig_3j5e-uw.jpg</t>
  </si>
  <si>
    <t>C-1900-U1</t>
  </si>
  <si>
    <t>Поршневая (ЦПГ) 2T TB 60, Suzuki RUN (Ø43, p-10, h-51) "KOMATCU" (Не комплект)</t>
  </si>
  <si>
    <t>022379-U2</t>
  </si>
  <si>
    <t>Зеркала Honda DIO, Suzuki (M10mm) (обрезиненная ножка, правая резьба) "BEEZMOTO" (не комплект, левое )</t>
  </si>
  <si>
    <t>K-0777</t>
  </si>
  <si>
    <t>Коленвал Honda DIO AF34/35 ZX50 (под сепаратор 17mm, щеки 32.5mm, +шпонка) "BEEZMOTO"</t>
  </si>
  <si>
    <t>https://b2beez.ru/images/detailed/166/orig_k6i3-jy.jpg</t>
  </si>
  <si>
    <t>T-103</t>
  </si>
  <si>
    <t>Трос газа Honda DIO (L-2020mm)(L- 2200mm) "BEEZMOTO"</t>
  </si>
  <si>
    <t>https://b2beez.ru/images/detailed/182/orig_8szq-0y.jpg</t>
  </si>
  <si>
    <t>A-258</t>
  </si>
  <si>
    <t>Амортизатор GY6, HONDA DIO 250mm, регулируемый (черный) "NDT"</t>
  </si>
  <si>
    <t>https://b2beez.ru/images/detailed/153/7132411285.jpg</t>
  </si>
  <si>
    <t>S-4011</t>
  </si>
  <si>
    <t>Сектор заводной (полумесяц) Yamaha JOG 50 (+пружина, втулка) "BEEZMOTO"</t>
  </si>
  <si>
    <t>https://b2beez.ru/images/detailed/181/6242640338.jpg</t>
  </si>
  <si>
    <t>R-2299</t>
  </si>
  <si>
    <t>Редуктор (в сборе) Yamaha JOG 90 "BEEZMOTO"</t>
  </si>
  <si>
    <t>https://b2beez.ru/images/detailed/176/7125719860.jpg</t>
  </si>
  <si>
    <t>E-47</t>
  </si>
  <si>
    <t>Электростартер 2T Stels 50 "BEEZMOTO"</t>
  </si>
  <si>
    <t>J-4563-U1</t>
  </si>
  <si>
    <t>Карбюратор 4T GY6 150 D-24мм 157QMJ/152QMI (+топливный фильтр) "BEEZMOTO" (Б/У)</t>
  </si>
  <si>
    <t>S-999-U1</t>
  </si>
  <si>
    <t>Сектор заводной (полумесяц) Yamaha JOG 90, 2T Stels 50 (+пружина, втулка) "BEEZMOTO" (Не комплект)</t>
  </si>
  <si>
    <t>C-398-U1</t>
  </si>
  <si>
    <t>Поршневая (ЦПГ) Yamaha JOG 3KJ 72 (Ø47, p-10) "BEEZMOTO" (Повреждения)</t>
  </si>
  <si>
    <t>K-2176-U2</t>
  </si>
  <si>
    <t>Крышка вариатора 4T GY6 50 (13" колесо, 139QMB) "KOMATCU" (Скол)</t>
  </si>
  <si>
    <t>K-6136-U1</t>
  </si>
  <si>
    <t>Крышка вариатора 4T GY6 50 (10 колесо, 139QMB, 8 болтов) серебро "TMMP"(Царапины)</t>
  </si>
  <si>
    <t>V-1323-U1</t>
  </si>
  <si>
    <t>Вариатор передний (тюнинг) Suzuki LET'S (+палец, ролики 6шт, пружина торкдрайвера) "DLH" (Не комплект)</t>
  </si>
  <si>
    <t>V-82-U1</t>
  </si>
  <si>
    <t>Вариатор передний (тюнинг) Suzuki LET'S (медно-граф. втулка, ролики латунь) "KOSO" (Не комплект)</t>
  </si>
  <si>
    <t>J-4563</t>
  </si>
  <si>
    <t>Карбюратор 4T GY6 150 D-24мм 157QMJ/152QMI (+топливный фильтр) "BEEZMOTO"</t>
  </si>
  <si>
    <t>https://b2beez.ru/images/detailed/165/orig_0zwj-2l.jpg</t>
  </si>
  <si>
    <t>V-202</t>
  </si>
  <si>
    <t>Колодки сцепления (тюнинг) 4T GY6 125/150 "BEEZMOTO"</t>
  </si>
  <si>
    <t>https://b2beez.ru/images/detailed/186/7057216089.jpg</t>
  </si>
  <si>
    <t>C-542</t>
  </si>
  <si>
    <t>Ремкомплект карбюратора Honda LEAD 90 "TMMP" mod:A</t>
  </si>
  <si>
    <t>https://b2beez.ru/images/detailed/156/6743182395.jpg</t>
  </si>
  <si>
    <t>C-1179-U1</t>
  </si>
  <si>
    <t>Поршневая (ЦПГ) Yamaha JOG 3KJ 65 (Ø44 p-10) "KOMATCU" (Б/У, не комплект)</t>
  </si>
  <si>
    <t>K-4207-U1</t>
  </si>
  <si>
    <t>Картер 4T GY6 50 (139QMA) (левый) ("12 колесо) "KOMATCU" (Трещина)</t>
  </si>
  <si>
    <t>P-6933-U1</t>
  </si>
  <si>
    <t>Поршень Honda DIO ZX 65 .STD (Ø44,00) "BEEZMOTO" (Не комплект)</t>
  </si>
  <si>
    <t>P-8102-U1</t>
  </si>
  <si>
    <t>Поршень 2T TB 50, Suzuki RUN .STD (Ø41,00 p-10) "KOMATCU" (Не комплект)</t>
  </si>
  <si>
    <t>P-5724-U1</t>
  </si>
  <si>
    <t>Поршень 2T Stels 50 0,75 (Ø40,75 p-12) оригинал Taiwan "SEE" (Не комплект)</t>
  </si>
  <si>
    <t>P-9755-U1</t>
  </si>
  <si>
    <t>Пластик Motolife Funny 50 задний боковой (комплект) красный ( Не комплект )</t>
  </si>
  <si>
    <t>C-1689</t>
  </si>
  <si>
    <t>Поршневая (ЦПГ) 4T GY6 50 (Ø39.0) "BEEZMOTO"</t>
  </si>
  <si>
    <t>https://b2beez.ru/images/detailed/155/7061828020.jpg</t>
  </si>
  <si>
    <t>009427</t>
  </si>
  <si>
    <t>Электростартер Honda TACT "KOMATCU"</t>
  </si>
  <si>
    <t>https://b2beez.ru/images/detailed/203/1_5coy-xw.jpg</t>
  </si>
  <si>
    <t>002270</t>
  </si>
  <si>
    <t>Набор инструмента для велосипеда (черный) "LIPAI"</t>
  </si>
  <si>
    <t>https://b2beez.ru/images/detailed/47/6594187953.jpg</t>
  </si>
  <si>
    <t>029537</t>
  </si>
  <si>
    <t>Амортизатор GY6, HONDA DIO 250mm, регулируемый (Ø10mm, красный) "NDT"</t>
  </si>
  <si>
    <t>https://b2beez.ru/images/detailed/48/orig_yggr-je.jpg</t>
  </si>
  <si>
    <t>A-6715</t>
  </si>
  <si>
    <t>Амортизатор GY6, HONDA DIO 250mm, регулируемый (красный) "LUXUPART"</t>
  </si>
  <si>
    <t>https://b2beez.ru/images/detailed/153/orig_q62o-l6.jpg</t>
  </si>
  <si>
    <t>A-2302</t>
  </si>
  <si>
    <t>Амортизатор GY6, HONDA DIO 270mm, регулируемый (черный) D-10mm "LUXUPART"</t>
  </si>
  <si>
    <t>https://b2beez.ru/images/detailed/153/orig_1gn8-1a.jpg</t>
  </si>
  <si>
    <t>A-8739</t>
  </si>
  <si>
    <t>Амортизатор GY6, HONDA DIO 270mm, регулируемый (красный) "LUXUPART"</t>
  </si>
  <si>
    <t>https://b2beez.ru/images/detailed/153/orig_pwbk-f7.jpg</t>
  </si>
  <si>
    <t>A-3346</t>
  </si>
  <si>
    <t>Амортизатор GY6, HONDA DIO 290mm, регулируемый (красный) "LUXUPART"</t>
  </si>
  <si>
    <t>https://b2beez.ru/images/detailed/153/orig_9y8q-8b.jpg</t>
  </si>
  <si>
    <t>A-6096</t>
  </si>
  <si>
    <t>Амортизатор GY6, HONDA DIO 290mm, регулируемый (черный) "LUXUPART"</t>
  </si>
  <si>
    <t>https://b2beez.ru/images/detailed/153/orig_3c1s-un.jpg</t>
  </si>
  <si>
    <t>A-7939</t>
  </si>
  <si>
    <t>Амортизатор GY6, HONDA DIO 310mm, регулируемый (красный) "LUXUPART"</t>
  </si>
  <si>
    <t>https://b2beez.ru/images/detailed/153/orig_opny-ac.jpg</t>
  </si>
  <si>
    <t>A-7807</t>
  </si>
  <si>
    <t>Амортизатор GY6, HONDA DIO 310mm, регулируемый (черный) "LUXUPART"</t>
  </si>
  <si>
    <t>https://b2beez.ru/images/detailed/153/orig_sp3r-fy.jpg</t>
  </si>
  <si>
    <t>A-7350</t>
  </si>
  <si>
    <t>Амортизатор GY6, HONDA DIO 335mm, регулируемый (красный металлик) "LUXUPART"</t>
  </si>
  <si>
    <t>https://b2beez.ru/images/detailed/153/orig_0wy2-y3.jpg</t>
  </si>
  <si>
    <t>A-3341</t>
  </si>
  <si>
    <t>Амортизатор JOG 235mm, регулируемый (чёрный) "LUXUPART"</t>
  </si>
  <si>
    <t>https://b2beez.ru/images/detailed/153/orig_br5a-1v.jpg</t>
  </si>
  <si>
    <t>A-8499</t>
  </si>
  <si>
    <t>Амортизатор GY6, HONDA DIO 250mm, регулируемый (черный) "LUXUPART"</t>
  </si>
  <si>
    <t>https://b2beez.ru/images/detailed/153/orig_rmyr-zk.jpg</t>
  </si>
  <si>
    <t>K-7770</t>
  </si>
  <si>
    <t>Коленвал Honda DIO AF34/35 ZX50 (под сепаратор 17mm, щеки 32.5mm, +сепаратор) "BEEZMOTO"</t>
  </si>
  <si>
    <t>https://b2beez.ru/images/detailed/169/orig_g4wx-am.jpg</t>
  </si>
  <si>
    <t>P-7621</t>
  </si>
  <si>
    <t>Поршневая (ЦПГ) 4T GY6 80 (Ø47.0) (Taiwan) "RZK"</t>
  </si>
  <si>
    <t>https://b2beez.ru/images/detailed/175/7132453366.jpg</t>
  </si>
  <si>
    <t>P-3663</t>
  </si>
  <si>
    <t>Прокладки двигателя (набор) Honda DIO AF27/28, TACT 24/30 "KOMATCU" (mod.B)</t>
  </si>
  <si>
    <t>https://b2beez.ru/images/detailed/173/6923475101.jpg</t>
  </si>
  <si>
    <t>P-2279</t>
  </si>
  <si>
    <t>Перья вилки Honda LEAD 48 (дисковый тормоз, гидравлические) "TMMP"</t>
  </si>
  <si>
    <t>https://b2beez.ru/images/detailed/173/orig_zn9c-yo.jpg</t>
  </si>
  <si>
    <t>P-0103</t>
  </si>
  <si>
    <t>Поршневая (ЦПГ) Suzuki LETS 50 (Ø41, p-10) "KOMATCU"</t>
  </si>
  <si>
    <t>https://b2beez.ru/images/detailed/172/orig_ig4g-yz.jpg</t>
  </si>
  <si>
    <t>P-0104</t>
  </si>
  <si>
    <t>Поршневая (ЦПГ) Honda WH150 (Ø57,4) "KOMATCU"</t>
  </si>
  <si>
    <t>https://b2beez.ru/images/detailed/172/orig_np32-qt.jpg</t>
  </si>
  <si>
    <t>P-0106</t>
  </si>
  <si>
    <t>Поршневая (ЦПГ) Honda DIO ZX 72 (Ø48) "KOMATCU"</t>
  </si>
  <si>
    <t>https://b2beez.ru/images/detailed/172/orig_q8yg-dn.jpg</t>
  </si>
  <si>
    <t>P-0571</t>
  </si>
  <si>
    <t>Поршневая (ЦПГ) 4T ARN 150 (Ø57.4, p-15) (Keeway, Stels) "KOMATCU"</t>
  </si>
  <si>
    <t>https://b2beez.ru/images/detailed/172/orig_xsy9-sy.jpg</t>
  </si>
  <si>
    <t>A-9874</t>
  </si>
  <si>
    <t>Амортизатор JOG 235mm, регулируемый (лимонный +паутина) "NDT"</t>
  </si>
  <si>
    <t>https://b2beez.ru/images/detailed/154/7132514647.jpg</t>
  </si>
  <si>
    <t>T-6526</t>
  </si>
  <si>
    <t>Колодки тормозные (диск) Active, Wave (черные) "BEEZMOTO"</t>
  </si>
  <si>
    <t>https://b2beez.ru/images/detailed/183/orig_3c7k-hq.jpg</t>
  </si>
  <si>
    <t>G-1903</t>
  </si>
  <si>
    <t>Сальники клапанов (пара) 4T GY6 125/150 "BEEZMOTO"</t>
  </si>
  <si>
    <t>https://b2beez.ru/images/detailed/161/6741822062.jpg</t>
  </si>
  <si>
    <t>K-267</t>
  </si>
  <si>
    <t>Кольца Honda LEAD 90 1,00 (Ø49,00)  "KOSO"</t>
  </si>
  <si>
    <t>https://b2beez.ru/images/detailed/166/6224627748_jgk3-zg.jpg</t>
  </si>
  <si>
    <t>S-1487</t>
  </si>
  <si>
    <t>Щека вариатора неподвижная 4T GY6 50 (+ведомая часть храповика) "BEEZMOTO"</t>
  </si>
  <si>
    <t>https://b2beez.ru/images/detailed/178/6843710510.jpg</t>
  </si>
  <si>
    <t>Z-862</t>
  </si>
  <si>
    <t>Зеркала Honda DIO, JOG (M10) (правая резьба) "BEEZMOTO"</t>
  </si>
  <si>
    <t>https://b2beez.ru/images/detailed/204/Z-862-5_68nq-pb.jpg</t>
  </si>
  <si>
    <t>V-177013</t>
  </si>
  <si>
    <t>Фильтр воздушный (в сборе) Honda TACT AF16 "KOMATCU"</t>
  </si>
  <si>
    <t>https://b2beez.ru/images/detailed/203/1_ucni-jd.jpg</t>
  </si>
  <si>
    <t>H-261</t>
  </si>
  <si>
    <t>Храповик Suzuki AD50 "BEEZMOTO"</t>
  </si>
  <si>
    <t>https://b2beez.ru/images/detailed/163/7172638974.jpg</t>
  </si>
  <si>
    <t>P-3397</t>
  </si>
  <si>
    <t>Пластик Motolife Funny 50 передний (клюв) серый</t>
  </si>
  <si>
    <t>https://b2beez.ru/images/detailed/173/orig_ae5t-a3.jpg</t>
  </si>
  <si>
    <t>P-1505</t>
  </si>
  <si>
    <t>Пластик Motolife Funny 50 передний (клюв) синий</t>
  </si>
  <si>
    <t>https://b2beez.ru/images/detailed/172/orig_dqwo-yp.jpg</t>
  </si>
  <si>
    <t>P-6155</t>
  </si>
  <si>
    <t>Пластик Motolife Funny 50 передний (клюв) чёрный</t>
  </si>
  <si>
    <t>https://b2beez.ru/images/detailed/174/orig_lme2-rc.jpg</t>
  </si>
  <si>
    <t>P-8858</t>
  </si>
  <si>
    <t>Пластик Motolife Funny 50 передний (накладка на клюв) чёрный</t>
  </si>
  <si>
    <t>https://b2beez.ru/images/detailed/175/6585406946.jpg</t>
  </si>
  <si>
    <t>P-9178</t>
  </si>
  <si>
    <t>Пластик Motolife Funny 50 передний (накладка на клюв) красный</t>
  </si>
  <si>
    <t>https://b2beez.ru/images/detailed/175/orig_uv7b-3s.jpg</t>
  </si>
  <si>
    <t>P-8204</t>
  </si>
  <si>
    <t>Пластик Motolife Funny 50 передний (накладка на клюв) серый</t>
  </si>
  <si>
    <t>https://b2beez.ru/images/detailed/175/orig_6wtk-xb.jpg</t>
  </si>
  <si>
    <t>P-9722</t>
  </si>
  <si>
    <t>Пластик Motolife Funny 50 (под сиденье)</t>
  </si>
  <si>
    <t>https://b2beez.ru/images/detailed/175/6586291438.jpg</t>
  </si>
  <si>
    <t>P-1070</t>
  </si>
  <si>
    <t>Пластик Motolife Funny 50 передний (подклювник) серый</t>
  </si>
  <si>
    <t>https://b2beez.ru/images/detailed/172/orig_t73u-zh.jpg</t>
  </si>
  <si>
    <t>P-0893</t>
  </si>
  <si>
    <t>Пластик Motolife Funny 50 задний (под багажник)</t>
  </si>
  <si>
    <t>https://b2beez.ru/images/detailed/172/orig_krac-az.jpg</t>
  </si>
  <si>
    <t>P-2261</t>
  </si>
  <si>
    <t>Пластик Motolife Funny 50 задний боковой (левый) жёлтый</t>
  </si>
  <si>
    <t>https://b2beez.ru/images/detailed/173/6586298369.jpg</t>
  </si>
  <si>
    <t>K-3285</t>
  </si>
  <si>
    <t>Карбюратор 2T Suzuki AD50, SEPIA "BEEZMOTO"</t>
  </si>
  <si>
    <t>https://b2beez.ru/images/detailed/167/orig_a323-o6.jpg</t>
  </si>
  <si>
    <t>K-2477</t>
  </si>
  <si>
    <t>Карбюратор Yamaha JOG 5BM "BEEZMOTO"</t>
  </si>
  <si>
    <t>https://b2beez.ru/images/detailed/166/orig_rxhu-vx.jpg</t>
  </si>
  <si>
    <t>S-8679</t>
  </si>
  <si>
    <t>Сальники (набор) Suzuki AD110 6шт (17*27*6, 24*43*6, 30*40*7, 34*39*3, 17*28*5, 28*42*7) "BEEZMOTO"</t>
  </si>
  <si>
    <t>https://b2beez.ru/images/detailed/182/6960157921.jpg</t>
  </si>
  <si>
    <t>S-5249</t>
  </si>
  <si>
    <t>Сальники (набор) Yamaha JOG 2JA 4шт (20*32*6, 20*30*8, 17*28*5.5, 20*37*5) "BEEZMOTO"</t>
  </si>
  <si>
    <t>https://b2beez.ru/images/detailed/181/6960169641.jpg</t>
  </si>
  <si>
    <t>S-1291</t>
  </si>
  <si>
    <t>Сальники (набор) Yamaha JOG 3KJ 3шт (20*42/44*8, 20*30*6, 17*28*5.5) "BEEZMOTO"</t>
  </si>
  <si>
    <t>https://b2beez.ru/images/detailed/178/orig_slkn-f6.jpg</t>
  </si>
  <si>
    <t>S-9686</t>
  </si>
  <si>
    <t>Сальники вилки Zongshen GRAND PRIX (31*43*10,5 х 2шт) "BEEZMOTO"</t>
  </si>
  <si>
    <t>https://b2beez.ru/images/detailed/182/orig_ym5q-tx.jpg</t>
  </si>
  <si>
    <t>Пластик Honda DIO AF27/28 комплект (голова, клюв, лючок, спойлер, бока пара) "REPSOL" (mod:B)</t>
  </si>
  <si>
    <t>T-test</t>
  </si>
  <si>
    <t>тест</t>
  </si>
  <si>
    <t>R-161</t>
  </si>
  <si>
    <t>Реле зарядки 4T GY6 125/150 (5 проводов 4+1) "BEEZMOTO"</t>
  </si>
  <si>
    <t>https://b2beez.ru/images/detailed/176/6916720960.jpg</t>
  </si>
  <si>
    <t>A-639</t>
  </si>
  <si>
    <t>Амортизатор GY6, HONDA DIO 270mm, регулируемый (черный) D-10mm "NDT"</t>
  </si>
  <si>
    <t>https://b2beez.ru/images/detailed/153/orig_n5i4-st.jpg</t>
  </si>
  <si>
    <t>Элемент воздушного фильтра Honda DIO AF18/27 (15mm, c пропиткой)</t>
  </si>
  <si>
    <t>https://b2beez.ru/images/detailed/48/orig_g541-y5.jpg</t>
  </si>
  <si>
    <t>V-592</t>
  </si>
  <si>
    <t>Элемент воздушного фильтра Yamaha JOG 50/90 (12mm, c пропиткой, двухслойный)</t>
  </si>
  <si>
    <t>https://b2beez.ru/images/detailed/187/orig_ir5x-ls.jpg</t>
  </si>
  <si>
    <t>K-4525-U1</t>
  </si>
  <si>
    <t>Крышка вариатора 4T GY6 50 (10 колесо, 139 QMB) SUN (Повреждения)</t>
  </si>
  <si>
    <t>A-261</t>
  </si>
  <si>
    <t>Амортизатор GY6, HONDA DIO 290mm, стандартный (черный) "NDT"</t>
  </si>
  <si>
    <t>https://b2beez.ru/images/detailed/153/7160361757.jpg</t>
  </si>
  <si>
    <t>R-1029</t>
  </si>
  <si>
    <t>Реле электростартера DIO50, JOG50, AD50 "BEEZMOTO"</t>
  </si>
  <si>
    <t>https://b2beez.ru/images/detailed/176/orig_w3s5-h2.jpg</t>
  </si>
  <si>
    <t>V-2794</t>
  </si>
  <si>
    <t>Фильтр воздушный (в сборе) 4T GY6 125/150 "TMMP"</t>
  </si>
  <si>
    <t>https://b2beez.ru/images/detailed/187/orig_4gjv-5q.jpg</t>
  </si>
  <si>
    <t>O-1597-U4</t>
  </si>
  <si>
    <t>Стоп-сигнал (в сборе) Yamaha JOG SA24 "KOMATCU" (Скол)</t>
  </si>
  <si>
    <t>K-2176-U1</t>
  </si>
  <si>
    <t>Крышка вариатора 4T GY6 50 (13" колесо, 139QMB) "KOMATCU" (б.у скол+царапины)</t>
  </si>
  <si>
    <t>T-1211</t>
  </si>
  <si>
    <t>Трос газа Yamaha JOG 90, BWS 100 (раздвоенный трос) (1650mm/1550mm, уп.1шт) "BEEZMOTO"</t>
  </si>
  <si>
    <t>https://b2beez.ru/images/detailed/182/7132421616.jpg</t>
  </si>
  <si>
    <t>O-456</t>
  </si>
  <si>
    <t>Стекло поворотов зад (пара) Suzuki LET'S 1-3 "KOMATCU"</t>
  </si>
  <si>
    <t>https://b2beez.ru/images/detailed/204/O-456-2.jpg</t>
  </si>
  <si>
    <t>O-1990</t>
  </si>
  <si>
    <t>Стекло поворотов перед (пара) Honda DIO AF56 "KOMATCU"</t>
  </si>
  <si>
    <t>https://b2beez.ru/images/detailed/172/7160322635.jpg</t>
  </si>
  <si>
    <t>022379</t>
  </si>
  <si>
    <t>Зеркала Honda DIO, Suzuki (M10mm) (обрезиненная ножка, правая резьба) "BEEZMOTO"</t>
  </si>
  <si>
    <t>https://b2beez.ru/images/detailed/47/orig_zzc0-eo.jpg</t>
  </si>
  <si>
    <t>Диск колеса 3,50 * 13 (перед, диск) (легкосплавный, красный) "ZY"</t>
  </si>
  <si>
    <t>https://b2beez.ru/images/detailed/48/6265192433_3vs6-sl.jpg</t>
  </si>
  <si>
    <t>P-5056</t>
  </si>
  <si>
    <t>Сальники (набор) 4T GY6 50/150 коленвальные (19.8*30*5, 20*30*5) "BEEZMOTO"</t>
  </si>
  <si>
    <t>https://b2beez.ru/images/detailed/174/6228542102.jpg</t>
  </si>
  <si>
    <t>K-1626</t>
  </si>
  <si>
    <t>Колодки тормозные (диск) Honda LEAD AF48 (черные) "BEEZMOTO"</t>
  </si>
  <si>
    <t>https://b2beez.ru/images/detailed/166/orig_2tqq-vy.jpg</t>
  </si>
  <si>
    <t>C-613</t>
  </si>
  <si>
    <t>Вал редуктора промежуточный 4T GY6 125/150 "BEEZMOTO"</t>
  </si>
  <si>
    <t>https://b2beez.ru/images/detailed/156/6741855701.jpg</t>
  </si>
  <si>
    <t>I-314</t>
  </si>
  <si>
    <t>Ключ регулировки амортизатора 38-42 "BEEZMOTO"</t>
  </si>
  <si>
    <t>https://b2beez.ru/images/detailed/165/6546422757.jpg</t>
  </si>
  <si>
    <t>K-6913</t>
  </si>
  <si>
    <t>Кольца Alpha, Delta 50 0,50 (Ø39,50) "SUNY" (mod.B)</t>
  </si>
  <si>
    <t>https://b2beez.ru/images/detailed/168/orig_mfm1-k6.jpg</t>
  </si>
  <si>
    <t>K-6925</t>
  </si>
  <si>
    <t>Кольца Alpha, Delta 70 0,75 (Ø47,75) "SUNY" (mod.B)</t>
  </si>
  <si>
    <t>https://b2beez.ru/images/detailed/168/6224628129.jpg</t>
  </si>
  <si>
    <t>P-1795</t>
  </si>
  <si>
    <t>Сальник коленвала Honda DIO, TB50 (24*40*7) "HND"</t>
  </si>
  <si>
    <t>https://b2beez.ru/images/detailed/173/6228542333.jpg</t>
  </si>
  <si>
    <t>P-2764</t>
  </si>
  <si>
    <t>Сальники вилки Zongshen STORM (30*42*10,5 x 2шт) "BEEZMOTO"</t>
  </si>
  <si>
    <t>https://b2beez.ru/images/detailed/173/orig_s2or-ul.jpg</t>
  </si>
  <si>
    <t>Пластик Honda DIO AF34/35 комплект (голова, клюв, лючок, спойлер, бока пара) "MONSTER" (mod:B)</t>
  </si>
  <si>
    <t>https://b2beez.ru/images/detailed/48/orig_nhxa-6x.jpg</t>
  </si>
  <si>
    <t>K-6924</t>
  </si>
  <si>
    <t>Кольца Alpha, Delta 70 0,50 (Ø47,50) "SUNY" (mod.B)</t>
  </si>
  <si>
    <t>https://b2beez.ru/images/detailed/168/6224628372.jpg</t>
  </si>
  <si>
    <t>K-6930</t>
  </si>
  <si>
    <t>Кольца Alpha, Delta 90 0,50 (Ø47,50) "SUNY" (mod.B)</t>
  </si>
  <si>
    <t>https://b2beez.ru/images/detailed/168/6224628366.jpg</t>
  </si>
  <si>
    <t>S-4702</t>
  </si>
  <si>
    <t>Сальник коленвала Suzuki LET'S (27*40*7) "KOMATCU" (mod.A)</t>
  </si>
  <si>
    <t>https://b2beez.ru/images/detailed/181/6242638854.jpg</t>
  </si>
  <si>
    <t>A-1194</t>
  </si>
  <si>
    <t>Амортизатор GY6, HONDA DIO 315mm, стандартный (черный) "NDT"</t>
  </si>
  <si>
    <t>https://b2beez.ru/images/detailed/153/orig_h3h5-4x.jpg</t>
  </si>
  <si>
    <t>A-13</t>
  </si>
  <si>
    <t>Амортизатор JOG 250mm, регулируемый (оранжевый +паутина) "NDT"</t>
  </si>
  <si>
    <t>https://b2beez.ru/images/detailed/153/7132497014.jpg</t>
  </si>
  <si>
    <t>A-16</t>
  </si>
  <si>
    <t>Амортизатор JOG 250mm, регулируемый (лимонный +паутина) "NDT"</t>
  </si>
  <si>
    <t>https://b2beez.ru/images/detailed/153/7132498716.jpg</t>
  </si>
  <si>
    <t>A-282</t>
  </si>
  <si>
    <t>Амортизатор GY6, HONDA DIO 310mm, регулируемый (черный) "NDT"</t>
  </si>
  <si>
    <t>https://b2beez.ru/images/detailed/153/orig_er61-s9.jpg</t>
  </si>
  <si>
    <t>A-313</t>
  </si>
  <si>
    <t>Амортизаторы (пара) GY6, HONDA DIO 330mm, стандартные, мягкие (плазма) "NDT"</t>
  </si>
  <si>
    <t>https://b2beez.ru/images/detailed/153/orig_z2gr-w9.jpg</t>
  </si>
  <si>
    <t>A-314</t>
  </si>
  <si>
    <t>Амортизаторы (пара) GY6, HONDA DIO 330mm, стандартные, мягкие (хром) "NDT"</t>
  </si>
  <si>
    <t>https://b2beez.ru/images/detailed/153/orig_jm7b-yw.jpg</t>
  </si>
  <si>
    <t>A-421</t>
  </si>
  <si>
    <t>Амортизатор JOG 265mm, регулируемый (красный металлик) "NDT"</t>
  </si>
  <si>
    <t>https://b2beez.ru/images/detailed/153/orig_as7o-xw.jpg</t>
  </si>
  <si>
    <t>A-650</t>
  </si>
  <si>
    <t>Амортизатор GY6, HONDA DIO 310mm, регулируемый (Ø10mm, красный) "NDT"</t>
  </si>
  <si>
    <t>https://b2beez.ru/images/detailed/153/orig_7n5x-hu.jpg</t>
  </si>
  <si>
    <t>A-8283</t>
  </si>
  <si>
    <t>Амортизатор GY6, HONDA DIO 290mm, стандартный (черный) "LUXUPART"</t>
  </si>
  <si>
    <t>https://b2beez.ru/images/detailed/153/orig_da2o-75.jpg</t>
  </si>
  <si>
    <t>A-839</t>
  </si>
  <si>
    <t>Адаптер для второго амортизатора Zongshen RACE (12" колесо, +втулки) "KOMATCU"</t>
  </si>
  <si>
    <t>https://b2beez.ru/images/detailed/153/orig_84gw-gq.jpg</t>
  </si>
  <si>
    <t>B-203</t>
  </si>
  <si>
    <t>Крышка бака топливного Yamaha (пластмассовая) "STEEL MARK"</t>
  </si>
  <si>
    <t>https://b2beez.ru/images/detailed/154/6241082450.jpg</t>
  </si>
  <si>
    <t>B-768</t>
  </si>
  <si>
    <t>Кнопка руля (повороты) 4T GY6 50-150 (узкая) "ZUNA"</t>
  </si>
  <si>
    <t>https://b2beez.ru/images/detailed/154/6230975822.jpg</t>
  </si>
  <si>
    <t>B-769</t>
  </si>
  <si>
    <t>Кнопка руля (повороты) 4T GY6 50-150 (узкая) "MANLE"</t>
  </si>
  <si>
    <t>https://b2beez.ru/images/detailed/154/6230975822_dpo2-a1.jpg</t>
  </si>
  <si>
    <t>B-770</t>
  </si>
  <si>
    <t>Кнопки руля (набор) 4T GY6 125/150 (5шт) "BEEZMOTO"</t>
  </si>
  <si>
    <t>https://b2beez.ru/images/detailed/154/6230975853.jpg</t>
  </si>
  <si>
    <t>B-902</t>
  </si>
  <si>
    <t>Кран вакуумный Honda DIO, 4T GY6 50 "BEEZMOTO"</t>
  </si>
  <si>
    <t>https://b2beez.ru/images/detailed/154/orig_aivw-7c.jpg</t>
  </si>
  <si>
    <t>B-980</t>
  </si>
  <si>
    <t>Кнопка руля (аварийный сигнал) универсальная "KOMATCU" (mod.A)</t>
  </si>
  <si>
    <t>https://b2beez.ru/images/detailed/154/orig_5ndq-hy.jpg</t>
  </si>
  <si>
    <t>B-982</t>
  </si>
  <si>
    <t>Кнопка руля (переключатель фары) Honda DIO "KOMATCU" (mod.A)</t>
  </si>
  <si>
    <t>https://b2beez.ru/images/detailed/154/orig_5lry-5b.jpg</t>
  </si>
  <si>
    <t>C-1104</t>
  </si>
  <si>
    <t>Поршневая (ЦПГ) Honda DIO 65 (Ø44, p-12) "BEEZMOTO"</t>
  </si>
  <si>
    <t>https://b2beez.ru/images/detailed/154/6843719149.jpg</t>
  </si>
  <si>
    <t>C-1107</t>
  </si>
  <si>
    <t>Поршневая (ЦПГ) Honda DIO ZX 60 (Ø43) "BEEZMOTO"</t>
  </si>
  <si>
    <t>https://b2beez.ru/images/detailed/154/orig_rzyw-e9.jpg</t>
  </si>
  <si>
    <t>C-1149</t>
  </si>
  <si>
    <t>Поршневая (ЦПГ) Honda DIO 65 (Ø44, p-12) "KOMATCU"</t>
  </si>
  <si>
    <t>https://b2beez.ru/images/detailed/155/orig_ltlh-f7.jpg</t>
  </si>
  <si>
    <t>C-1152</t>
  </si>
  <si>
    <t>Поршневая (ЦПГ) Honda DIO ZX 65 (Ø44) "KOMATCU"</t>
  </si>
  <si>
    <t>https://b2beez.ru/images/detailed/155/orig_h5zr-9g.jpg</t>
  </si>
  <si>
    <t>C-1158</t>
  </si>
  <si>
    <t>Поршневая (ЦПГ) Suzuki AD 65 (Ø44, p-10) "KOMATCU"</t>
  </si>
  <si>
    <t>https://b2beez.ru/images/detailed/155/orig_p104-g8.jpg</t>
  </si>
  <si>
    <t>C-1164</t>
  </si>
  <si>
    <t>Поршневая (ЦПГ) 2T TB 50, Suzuki RUN (Ø41, p-10, h-51) "KOMATCU"</t>
  </si>
  <si>
    <t>https://b2beez.ru/images/detailed/155/orig_4b72-dz.jpg</t>
  </si>
  <si>
    <t>C-1405</t>
  </si>
  <si>
    <t>Поршневая (ЦПГ) 2T Stels 72 (Ø47 p-12) "KOMATCU"</t>
  </si>
  <si>
    <t>https://b2beez.ru/images/detailed/155/orig_to0j-1m.jpg</t>
  </si>
  <si>
    <t>C-1898</t>
  </si>
  <si>
    <t>Поршневая (ЦПГ) 2T TB 60, Suzuki RUN (Ø43, p-10, h-51) "BEEZMOTO"</t>
  </si>
  <si>
    <t>https://b2beez.ru/images/detailed/155/7061829643.jpg</t>
  </si>
  <si>
    <t>C-1914</t>
  </si>
  <si>
    <t>Поршневая (ЦПГ) 4T GY6 190 (Ø63.0) "BEEZMOTO"</t>
  </si>
  <si>
    <t>https://b2beez.ru/images/detailed/155/7070965284.jpg</t>
  </si>
  <si>
    <t>C-1966</t>
  </si>
  <si>
    <t>Поршневая (ЦПГ) Yamaha JOG 3KJ 65 (Ø44 p-10) "BEEZMOTO"</t>
  </si>
  <si>
    <t>https://b2beez.ru/images/detailed/155/orig_pwtn-gi.jpg</t>
  </si>
  <si>
    <t>C-2459</t>
  </si>
  <si>
    <t>Поршень 4T GY6 150 .STD(Ø57.40) (в сборе) "GONGYU"</t>
  </si>
  <si>
    <t>https://b2beez.ru/images/detailed/156/orig_qvev-md.jpg</t>
  </si>
  <si>
    <t>D-2217</t>
  </si>
  <si>
    <t>Датчик топливного бака Honda DIO "BEEZMOTO"</t>
  </si>
  <si>
    <t>https://b2beez.ru/images/detailed/157/7064688926.jpg</t>
  </si>
  <si>
    <t>D-27</t>
  </si>
  <si>
    <t>Датчик топливного бака 2T TB50, Suzuki RUN "SENSOR-61"</t>
  </si>
  <si>
    <t>https://b2beez.ru/images/detailed/158/6230975948.jpg</t>
  </si>
  <si>
    <t>D-28</t>
  </si>
  <si>
    <t>Датчик топливного бака Suzuki AD50/100 "SENSOR-61"</t>
  </si>
  <si>
    <t>https://b2beez.ru/images/detailed/158/6230976743.jpg</t>
  </si>
  <si>
    <t>D-4064</t>
  </si>
  <si>
    <t>Диск тормозной Suzuki AD50/100, LET'S II "KOMATCU" (mod.A)</t>
  </si>
  <si>
    <t>https://b2beez.ru/images/detailed/159/orig_ivwt-25.jpg</t>
  </si>
  <si>
    <t>D-498</t>
  </si>
  <si>
    <t>Датчик масляного бака Yamaha JOG 50 "KOMATCU"</t>
  </si>
  <si>
    <t>https://b2beez.ru/images/detailed/159/orig_3jox-91.jpg</t>
  </si>
  <si>
    <t>D-536</t>
  </si>
  <si>
    <t>Датчик масляного бака 2T Stels 50 "KOMATCU"</t>
  </si>
  <si>
    <t>https://b2beez.ru/images/detailed/159/orig_8kzo-ew.jpg</t>
  </si>
  <si>
    <t>E-105</t>
  </si>
  <si>
    <t>Электростартер 4T GY6 50 "BEEZMOTO"</t>
  </si>
  <si>
    <t>https://b2beez.ru/images/detailed/160/orig_n9dc-n9.jpg</t>
  </si>
  <si>
    <t>E-136</t>
  </si>
  <si>
    <t>Электростартер Honda DIO "BEEZMOTO"</t>
  </si>
  <si>
    <t>https://b2beez.ru/images/detailed/160/6228296561.jpg</t>
  </si>
  <si>
    <t>E-139</t>
  </si>
  <si>
    <t>Электростартер Honda LEAD 50 "ZUNA"</t>
  </si>
  <si>
    <t>https://b2beez.ru/images/detailed/160/orig_281w-vq.jpg</t>
  </si>
  <si>
    <t>E-143</t>
  </si>
  <si>
    <t>Электростартер Yamaha JOG 50 "ZUNA"</t>
  </si>
  <si>
    <t>https://b2beez.ru/images/detailed/160/6228296206.jpg</t>
  </si>
  <si>
    <t>E-144</t>
  </si>
  <si>
    <t>Электростартер Yamaha JOG 50 "MANLE"</t>
  </si>
  <si>
    <t>https://b2beez.ru/images/detailed/160/orig_ytp9-kc.jpg</t>
  </si>
  <si>
    <t>E-48</t>
  </si>
  <si>
    <t>Шестерня электростартера промежуточная Yamaha JOG 50 "KOMATCU"</t>
  </si>
  <si>
    <t>https://b2beez.ru/images/detailed/160/6489014363.jpg</t>
  </si>
  <si>
    <t>E-58</t>
  </si>
  <si>
    <t>Реле электростартера 4T GY6 125/150 "BEEZMOTO"</t>
  </si>
  <si>
    <t>https://b2beez.ru/images/detailed/160/orig_bl0i-kn.jpg</t>
  </si>
  <si>
    <t>G-1101</t>
  </si>
  <si>
    <t>Статор генератора Yamaha VINO 125, CYGNUS 125 5NW (6+1 катушек, 5 проводов) "STAR"</t>
  </si>
  <si>
    <t>https://b2beez.ru/images/detailed/161/6230649005.jpg</t>
  </si>
  <si>
    <t>G-1163</t>
  </si>
  <si>
    <t>Глушитель Suzuki AD100 "KOMATCU"</t>
  </si>
  <si>
    <t>https://b2beez.ru/images/detailed/161/orig_b8bv-1s.jpg</t>
  </si>
  <si>
    <t>G-1833</t>
  </si>
  <si>
    <t>Трос газа Yamaha JOG MINT (1670mm) "KOMATCU"</t>
  </si>
  <si>
    <t>https://b2beez.ru/images/detailed/161/6226566663.jpg</t>
  </si>
  <si>
    <t>G-1884</t>
  </si>
  <si>
    <t>Направляющие клапанов 139FMB Alpha, Delta 70 "BEEZMOTO"</t>
  </si>
  <si>
    <t>https://b2beez.ru/images/detailed/161/orig_wyaf-4c.jpg</t>
  </si>
  <si>
    <t>G-2181</t>
  </si>
  <si>
    <t>Статор генератора 4T GY6 50 (5+1 катушка) "BEEZMOTO"</t>
  </si>
  <si>
    <t>https://b2beez.ru/images/detailed/161/7099747385.jpg</t>
  </si>
  <si>
    <t>G-2184</t>
  </si>
  <si>
    <t>Статор генератора 4T GY6 50 (6+2 катушек, 5 контактов) "BEEZMOTO"</t>
  </si>
  <si>
    <t>https://b2beez.ru/images/detailed/161/7100698767.jpg</t>
  </si>
  <si>
    <t>G-2203</t>
  </si>
  <si>
    <t>Статор генератора Suzuki AD50 (3+1 катушек) "BEEZMOTO"</t>
  </si>
  <si>
    <t>https://b2beez.ru/images/detailed/161/orig_v9sv-vk.jpg</t>
  </si>
  <si>
    <t>G-2646</t>
  </si>
  <si>
    <t>Антипроворотный механизм 4T GY6 125/150 "KOMATCU" (mod.A)</t>
  </si>
  <si>
    <t>https://b2beez.ru/images/detailed/162/orig_ibt2-7p.jpg</t>
  </si>
  <si>
    <t>G-2832</t>
  </si>
  <si>
    <t>Пружины клапанов (комплект) 4T GY6 50 "KOMATCU" (mod.A)</t>
  </si>
  <si>
    <t>https://b2beez.ru/images/detailed/162/6228734429.jpg</t>
  </si>
  <si>
    <t>G-315</t>
  </si>
  <si>
    <t>Датчик Холла 4T GY6 125/150 "JIANXING"</t>
  </si>
  <si>
    <t>https://b2beez.ru/images/detailed/162/orig_bb3v-gq.jpg</t>
  </si>
  <si>
    <t>G-316</t>
  </si>
  <si>
    <t>Датчик Холла 4T GY6 125/150 (под статор 10+1 катушек) "BEEZMOTO"</t>
  </si>
  <si>
    <t>https://b2beez.ru/images/detailed/162/orig_k5ey-db.jpg</t>
  </si>
  <si>
    <t>G-393</t>
  </si>
  <si>
    <t>Клапаны (пара, в сборе) 4T GY6 80 (16/18,5, L-66mm)</t>
  </si>
  <si>
    <t>https://b2beez.ru/images/detailed/162/6230976794.jpg</t>
  </si>
  <si>
    <t>G-571</t>
  </si>
  <si>
    <t>Натяжитель цепи ГРМ 4T GY6 125/150 "STEEL MARK"</t>
  </si>
  <si>
    <t>https://b2beez.ru/images/detailed/204/G-571.jpg</t>
  </si>
  <si>
    <t>G-684</t>
  </si>
  <si>
    <t>Ремкомплект машинки тормозной (ГТЦ) Suzuki AD50 (правой) "BEEZMOTO"</t>
  </si>
  <si>
    <t>https://b2beez.ru/images/detailed/162/orig_urag-dc.jpg</t>
  </si>
  <si>
    <t>G-935</t>
  </si>
  <si>
    <t>https://b2beez.ru/images/detailed/162/orig_0a2o-km.jpg</t>
  </si>
  <si>
    <t>G-937</t>
  </si>
  <si>
    <t>Сальники клапанов (пара) 4T GY6 50 "BEEZMOTO"</t>
  </si>
  <si>
    <t>https://b2beez.ru/images/detailed/162/orig_jm2l-0m.jpg</t>
  </si>
  <si>
    <t>G-987</t>
  </si>
  <si>
    <t>Датчик Холла Suzuki LET'S "JIANXING"</t>
  </si>
  <si>
    <t>https://b2beez.ru/images/detailed/162/6230977673.jpg</t>
  </si>
  <si>
    <t>H-158</t>
  </si>
  <si>
    <t>Храповик 4T GY6 50 (ведущая часть) "BEEZMOTO"</t>
  </si>
  <si>
    <t>https://b2beez.ru/images/detailed/163/7062961401.jpg</t>
  </si>
  <si>
    <t>H-165</t>
  </si>
  <si>
    <t>Храповик Yamaha JOG 50 "BEEZMOTO"</t>
  </si>
  <si>
    <t>https://b2beez.ru/images/detailed/163/orig_kpbe-rw.jpg</t>
  </si>
  <si>
    <t>H-190</t>
  </si>
  <si>
    <t>Храповик Suzuki LET'S (ведомая часть) "KOMATCU"</t>
  </si>
  <si>
    <t>https://b2beez.ru/images/detailed/163/orig_39p8-a8.jpg</t>
  </si>
  <si>
    <t>H-478</t>
  </si>
  <si>
    <t>Храповик Honda DIO AF18, TACT AF16, LEAD AF20 "BEEZMOTO"</t>
  </si>
  <si>
    <t>https://b2beez.ru/images/detailed/164/7062129683.jpg</t>
  </si>
  <si>
    <t>I-70</t>
  </si>
  <si>
    <t>Сепаратор 10*14*12,5 верхней головки шатуна AD50, JOG, TACT, PAL, тарелки Husqvarna 137/142</t>
  </si>
  <si>
    <t>https://b2beez.ru/images/detailed/165/orig_dzv9-a0.jpg</t>
  </si>
  <si>
    <t>K-111</t>
  </si>
  <si>
    <t>Кольца Suzuki AD 50 0,50 (Ø41,50) "KOSO"</t>
  </si>
  <si>
    <t>https://b2beez.ru/images/detailed/166/6224627748_zftj-rx.jpg</t>
  </si>
  <si>
    <t>K-112</t>
  </si>
  <si>
    <t>Кольца Suzuki AD 50 0,75 (Ø41,75) "KOSO"</t>
  </si>
  <si>
    <t>https://b2beez.ru/images/detailed/166/6224627748_wew3-0j.jpg</t>
  </si>
  <si>
    <t>K-1130</t>
  </si>
  <si>
    <t>Коммутатор Yamaha JOG 3KJ, 2T Stels 50 "KOMATCU"</t>
  </si>
  <si>
    <t>https://b2beez.ru/images/detailed/166/orig_8kcl-vs.jpg</t>
  </si>
  <si>
    <t>K-1131</t>
  </si>
  <si>
    <t>Коммутатор Yamaha JOG 5BM, MBK Booster 50 (6 контактов) "BEEZMOTO"</t>
  </si>
  <si>
    <t>https://b2beez.ru/images/detailed/166/orig_t6mm-kk.jpg</t>
  </si>
  <si>
    <t>K-114</t>
  </si>
  <si>
    <t>Кольца Suzuki AD 65 0,25 (Ø44,25) "KOSO"</t>
  </si>
  <si>
    <t>https://b2beez.ru/images/detailed/166/orig_ydt5-1h.jpg</t>
  </si>
  <si>
    <t>K-116</t>
  </si>
  <si>
    <t>Кольца Suzuki AD 65 0,75 (Ø44,75) "KOSO"</t>
  </si>
  <si>
    <t>https://b2beez.ru/images/detailed/166/6224627748_1z8n-ep.jpg</t>
  </si>
  <si>
    <t>K-117</t>
  </si>
  <si>
    <t>Кольца Suzuki AD 65 1,00 (Ø45,00) "KOSO"</t>
  </si>
  <si>
    <t>https://b2beez.ru/images/detailed/166/6224627748_wuvx-ty.jpg</t>
  </si>
  <si>
    <t>K-1175</t>
  </si>
  <si>
    <t>Коммутатор (тюнинг) 4T GY6 50 (синий) "BEEZMOTO"</t>
  </si>
  <si>
    <t>https://b2beez.ru/images/detailed/166/7099757414.jpg</t>
  </si>
  <si>
    <t>K-1179</t>
  </si>
  <si>
    <t>Коммутатор (тюнинг) Yamaha JOG 5ВМ (8 контактов) "BEEZMOTO"</t>
  </si>
  <si>
    <t>https://b2beez.ru/images/detailed/166/orig_rq3a-ab.jpg</t>
  </si>
  <si>
    <t>K-118</t>
  </si>
  <si>
    <t>Кольца Yamaha JOG 50 0,25 (Ø40,25, 2JA/3KJ) "KOSO"</t>
  </si>
  <si>
    <t>https://b2beez.ru/images/detailed/166/6224627748_7cd0-1c.jpg</t>
  </si>
  <si>
    <t>K-1189</t>
  </si>
  <si>
    <t>Коммутатор (тюнинг) 2T Stels 50 (1E40QMB) (RACING C.D.I.) ''CHENHAO'</t>
  </si>
  <si>
    <t>https://b2beez.ru/images/detailed/166/orig_xo6y-5x.jpg</t>
  </si>
  <si>
    <t>K-122</t>
  </si>
  <si>
    <t>Кольца Yamaha JOG 65 0,25 (Ø44,25, 2JA/3KJ) "KOSO"</t>
  </si>
  <si>
    <t>https://b2beez.ru/images/detailed/166/6224627748_at1m-po.jpg</t>
  </si>
  <si>
    <t>K-123</t>
  </si>
  <si>
    <t>Кольца Yamaha JOG 65 0,50 (Ø44,50, 2JA/3KJ) "KOSO"</t>
  </si>
  <si>
    <t>https://b2beez.ru/images/detailed/166/6224627748_1r6y-gy.jpg</t>
  </si>
  <si>
    <t>K-1483</t>
  </si>
  <si>
    <t>Кнопка руля (переключатель фары) Honda DIO "JS"</t>
  </si>
  <si>
    <t>https://b2beez.ru/images/detailed/166/6230977645.jpg</t>
  </si>
  <si>
    <t>K-1485</t>
  </si>
  <si>
    <t>Кнопка руля (габариты) 4T GY6 50-150</t>
  </si>
  <si>
    <t>https://b2beez.ru/images/detailed/166/6230976473.jpg</t>
  </si>
  <si>
    <t>K-1487</t>
  </si>
  <si>
    <t>Кнопка руля (повороты) 4T GY6 50-150 (широкая) "JS"</t>
  </si>
  <si>
    <t>https://b2beez.ru/images/detailed/166/orig_3ajt-x9.jpg</t>
  </si>
  <si>
    <t>K-1898</t>
  </si>
  <si>
    <t>Коммутатор Yamaha JOG 2JA "JIANXING"</t>
  </si>
  <si>
    <t>https://b2beez.ru/images/detailed/166/6230518208.jpg</t>
  </si>
  <si>
    <t>K-2022</t>
  </si>
  <si>
    <t>Колодки сцепления Yamaha JOG 50 3KJ "LUXUPART"</t>
  </si>
  <si>
    <t>https://b2beez.ru/images/detailed/166/7180995750.jpg</t>
  </si>
  <si>
    <t>K-2120</t>
  </si>
  <si>
    <t>Колодки сцепления Suzuki AD50 "LIPAI"</t>
  </si>
  <si>
    <t>https://b2beez.ru/images/detailed/166/orig_56pu-bf.jpg</t>
  </si>
  <si>
    <t>K-2143</t>
  </si>
  <si>
    <t>Карбюратор Yamaha JOG 90 3WF (Axis 90, Stels 50) "BEEZMOTO"</t>
  </si>
  <si>
    <t>https://b2beez.ru/images/detailed/166/orig_inl7-69.jpg</t>
  </si>
  <si>
    <t>K-2176</t>
  </si>
  <si>
    <t>Крышка вариатора 4T GY6 50 (13 колесо, 139QMB) "KOMATCU"</t>
  </si>
  <si>
    <t>https://b2beez.ru/images/detailed/166/orig_24f9-ak.jpg</t>
  </si>
  <si>
    <t>K-2177</t>
  </si>
  <si>
    <t>Крышка вариатора 4T GY6 125/150 (12/13 колесо, 152QMI, 157QMJ) "KOMATCU"</t>
  </si>
  <si>
    <t>https://b2beez.ru/images/detailed/166/6417447688.jpg</t>
  </si>
  <si>
    <t>K-2213</t>
  </si>
  <si>
    <t>Коммутатор Honda DIO AF34 "BEEZMOTO"</t>
  </si>
  <si>
    <t>https://b2beez.ru/images/detailed/166/orig_1966-n1.jpg</t>
  </si>
  <si>
    <t>K-236</t>
  </si>
  <si>
    <t>Кольца Honda DIO 62 0,50 (Ø43,50) "KOSO"</t>
  </si>
  <si>
    <t>https://b2beez.ru/images/detailed/166/6224627748_26kc-r7.jpg</t>
  </si>
  <si>
    <t>K-2382</t>
  </si>
  <si>
    <t>Коленвал 4T ARN 125/150 (Keeway, Stels) "BEEZMOTO"</t>
  </si>
  <si>
    <t>https://b2beez.ru/images/detailed/204/K-2382-2.jpg</t>
  </si>
  <si>
    <t>K-2431</t>
  </si>
  <si>
    <t>Шатун Honda TACT AF16 "STAYER"</t>
  </si>
  <si>
    <t>https://b2beez.ru/images/detailed/166/6228296256.jpg</t>
  </si>
  <si>
    <t>K-2624</t>
  </si>
  <si>
    <t>Колодки тормозные (диск) Yamaha JOG 90, BW'S 100 (красные) "BEEZMOTO"</t>
  </si>
  <si>
    <t>https://b2beez.ru/images/detailed/166/6204106071.jpg</t>
  </si>
  <si>
    <t>K-2640</t>
  </si>
  <si>
    <t>Колодки тормозные (диск) Honda CB125 (желтые) "YONGLI PRO"</t>
  </si>
  <si>
    <t>https://b2beez.ru/images/detailed/166/orig_qq21-3e.jpg</t>
  </si>
  <si>
    <t>K-2651</t>
  </si>
  <si>
    <t>Колодки тормозные (диск) Yamaha JOG SA12 (желтые) "YONGLI PRO"</t>
  </si>
  <si>
    <t>https://b2beez.ru/images/detailed/166/orig_aggk-48.jpg</t>
  </si>
  <si>
    <t>K-3408</t>
  </si>
  <si>
    <t>Шпонка коленвала Honda (13х3х2,5mm) "KOMATCU"</t>
  </si>
  <si>
    <t>https://b2beez.ru/images/detailed/167/7155750550.jpg</t>
  </si>
  <si>
    <t>K-3480</t>
  </si>
  <si>
    <t>Колодки тормозные (барабан) 4T GY6 50-150 (13" колесо) "KOMATCU"</t>
  </si>
  <si>
    <t>https://b2beez.ru/images/detailed/167/orig_kxi5-w7.jpg</t>
  </si>
  <si>
    <t>K-3531</t>
  </si>
  <si>
    <t>Коммутатор Yamaha AEROX 50 "CHENHAO"</t>
  </si>
  <si>
    <t>https://b2beez.ru/images/detailed/167/6224782544.jpg</t>
  </si>
  <si>
    <t>K-3532</t>
  </si>
  <si>
    <t>Коммутатор (тюнинг) Yamaha JOG ZR "PROGRESS RACING"</t>
  </si>
  <si>
    <t>https://b2beez.ru/images/detailed/167/6224782633.jpg</t>
  </si>
  <si>
    <t>K-3551</t>
  </si>
  <si>
    <t>Разъем реле зарядки 4T GY6 50 (6 контактов, папа, +провода) "BEEZMOTO"</t>
  </si>
  <si>
    <t>https://b2beez.ru/images/detailed/167/orig_pfgi-rn.jpg</t>
  </si>
  <si>
    <t>K-3552</t>
  </si>
  <si>
    <t>Разъем реле зарядки 4T GY6 150 (6 контактов, мама, +провода) "BEEZMOTO"</t>
  </si>
  <si>
    <t>https://b2beez.ru/images/detailed/167/orig_8bo4-l8.jpg</t>
  </si>
  <si>
    <t>K-3803</t>
  </si>
  <si>
    <t>Кольца 2T TB 50, Suzuki RUN 50 .STD (Ø41,00) "HND"</t>
  </si>
  <si>
    <t>https://b2beez.ru/images/detailed/167/6224627914.jpg</t>
  </si>
  <si>
    <t>K-3817</t>
  </si>
  <si>
    <t>Кольца 4T GY6 100 .STD (Ø50,00) "HND"</t>
  </si>
  <si>
    <t>https://b2beez.ru/images/detailed/167/6321345539.jpg</t>
  </si>
  <si>
    <t>K-3819</t>
  </si>
  <si>
    <t>Кольца 4T GY6 150 .STD (Ø57,40) "HND"</t>
  </si>
  <si>
    <t>https://b2beez.ru/images/detailed/167/6224627885_msyq-s5.jpg</t>
  </si>
  <si>
    <t>K-3820</t>
  </si>
  <si>
    <t>Кольца 4T GY6 180 .STD (Ø61,00) "HND"</t>
  </si>
  <si>
    <t>https://b2beez.ru/images/detailed/167/6224627885_q7kk-6a.jpg</t>
  </si>
  <si>
    <t>K-3822</t>
  </si>
  <si>
    <t>Кольца 4T GY6 50 .STD (Ø39,00) "HND"</t>
  </si>
  <si>
    <t>https://b2beez.ru/images/detailed/167/6224627885_6hgl-ng.jpg</t>
  </si>
  <si>
    <t>K-3843</t>
  </si>
  <si>
    <t>Кольца Honda TACT 65 .STD (Ø44,00 AF16) "HND"</t>
  </si>
  <si>
    <t>https://b2beez.ru/images/detailed/167/6224627914_rqtk-iz.jpg</t>
  </si>
  <si>
    <t>K-3844</t>
  </si>
  <si>
    <t>Кольца Honda TACT 72 .STD(Ø47,00 AF16) "HND"</t>
  </si>
  <si>
    <t>https://b2beez.ru/images/detailed/167/6224627914_n1dx-57.jpg</t>
  </si>
  <si>
    <t>K-3845</t>
  </si>
  <si>
    <t>Кольца Suzuki AD 100 .STD (Ø52,50) "HND"</t>
  </si>
  <si>
    <t>https://b2beez.ru/images/detailed/167/6224627914_mrq9-qy.jpg</t>
  </si>
  <si>
    <t>K-3849</t>
  </si>
  <si>
    <t>Кольца Yamaha AXIS 100/BW'S 100 .STD (Ø52,00) "HND"</t>
  </si>
  <si>
    <t>https://b2beez.ru/images/detailed/167/6224627914_4w5z-1x.jpg</t>
  </si>
  <si>
    <t>K-3855</t>
  </si>
  <si>
    <t>Кольца Yamaha JOG 90 .STD (Ø50,00) "HND"</t>
  </si>
  <si>
    <t>https://b2beez.ru/images/detailed/167/6224627914_xggq-o4.jpg</t>
  </si>
  <si>
    <t>K-3858</t>
  </si>
  <si>
    <t>Кольца 4T GY6 100 .STD (Ø50,00) "HQNSAI"</t>
  </si>
  <si>
    <t>https://b2beez.ru/images/detailed/167/6224628217.jpg</t>
  </si>
  <si>
    <t>K-3863</t>
  </si>
  <si>
    <t>Кольца Honda DIO ZX 50 0,25 (Ø40,25) "HND"</t>
  </si>
  <si>
    <t>https://b2beez.ru/images/detailed/167/6224627914_pzb1-8z.jpg</t>
  </si>
  <si>
    <t>K-3864</t>
  </si>
  <si>
    <t>Кольца Honda TACT 50 0,25 (Ø41,25 AF16) "HND"</t>
  </si>
  <si>
    <t>https://b2beez.ru/images/detailed/167/6224627914_mza1-2m.jpg</t>
  </si>
  <si>
    <t>K-3865</t>
  </si>
  <si>
    <t>Кольца Yamaha JOG 50 0,25 (Ø40,25, 2JA/3KJ) "HND"</t>
  </si>
  <si>
    <t>https://b2beez.ru/images/detailed/167/6224627914_6rpj-xz.jpg</t>
  </si>
  <si>
    <t>K-394</t>
  </si>
  <si>
    <t>Бензонасос вакуумный Honda DIO AF34/35 "JS"</t>
  </si>
  <si>
    <t>https://b2beez.ru/images/detailed/167/orig_mn19-z1.jpg</t>
  </si>
  <si>
    <t>K-3954</t>
  </si>
  <si>
    <t>Коленвал Yamaha CYGNUS 125 (4KP) (под сепаратор 13mm) "KOMATCU"</t>
  </si>
  <si>
    <t>https://b2beez.ru/images/detailed/167/orig_8r1f-ck.jpg</t>
  </si>
  <si>
    <t>K-3958</t>
  </si>
  <si>
    <t>Кольца Honda DIO 50 0,25 (Ø39,25) "TKT"</t>
  </si>
  <si>
    <t>https://b2beez.ru/images/detailed/167/6224627696.jpg</t>
  </si>
  <si>
    <t>K-3960</t>
  </si>
  <si>
    <t>Кольца Honda DIO 62 0,25 (Ø43,25) "TKT"</t>
  </si>
  <si>
    <t>https://b2beez.ru/images/detailed/167/6224627696_0lnb-st.jpg</t>
  </si>
  <si>
    <t>K-3962</t>
  </si>
  <si>
    <t>Кольца Honda DIO 65 0,25 (Ø44,25) "TKT"</t>
  </si>
  <si>
    <t>https://b2beez.ru/images/detailed/167/6224627696_sen7-6w.jpg</t>
  </si>
  <si>
    <t>K-3963</t>
  </si>
  <si>
    <t>Кольца Honda DIO 72 .STD (Ø47,00) "TKT"</t>
  </si>
  <si>
    <t>https://b2beez.ru/images/detailed/167/6224627696_l02e-xz.jpg</t>
  </si>
  <si>
    <t>K-3968</t>
  </si>
  <si>
    <t>Кольца Suzuki AD 50 0,25 (Ø41,25) "TKT"</t>
  </si>
  <si>
    <t>https://b2beez.ru/images/detailed/167/6224627696_4rk3-gw.jpg</t>
  </si>
  <si>
    <t>K-3970</t>
  </si>
  <si>
    <t>Кольца Suzuki AD 65 0,25 (Ø44,25) "TKT"</t>
  </si>
  <si>
    <t>https://b2beez.ru/images/detailed/167/6224627696_cgfs-jg.jpg</t>
  </si>
  <si>
    <t>K-3976</t>
  </si>
  <si>
    <t>Кольца Yamaha JOG 65 0,25 (Ø44,25, 2JA/3KJ) "TKT"</t>
  </si>
  <si>
    <t>https://b2beez.ru/images/detailed/167/6224627696_6d5f-no.jpg</t>
  </si>
  <si>
    <t>K-3984</t>
  </si>
  <si>
    <t>Кольца Suzuki AD 100 0,25 (Ø52,75) "TKT"</t>
  </si>
  <si>
    <t>https://b2beez.ru/images/detailed/167/6224627696_sct8-5t.jpg</t>
  </si>
  <si>
    <t>K-3987</t>
  </si>
  <si>
    <t>Кольца Honda LEAD 100 .STD (Ø51,00) "TKT"</t>
  </si>
  <si>
    <t>https://b2beez.ru/images/detailed/167/orig_h257-av.jpg</t>
  </si>
  <si>
    <t>K-3989</t>
  </si>
  <si>
    <t>Кольца Yamaha CYGNUS 125 .STD (Ø51,50) "TKT"</t>
  </si>
  <si>
    <t>https://b2beez.ru/images/detailed/167/6224627832_8jm4-he.jpg</t>
  </si>
  <si>
    <t>K-3990</t>
  </si>
  <si>
    <t>Кольца Yamaha CYGNUS 125 0,25 (Ø51,75) "TKT"</t>
  </si>
  <si>
    <t>https://b2beez.ru/images/detailed/167/6224627832_k9dk-so.jpg</t>
  </si>
  <si>
    <t>K-4001</t>
  </si>
  <si>
    <t>Кольца 4T GY6 60 .STD (Ø44,00) "TKT"</t>
  </si>
  <si>
    <t>https://b2beez.ru/images/detailed/167/6224627832_sgd6-2s.jpg</t>
  </si>
  <si>
    <t>K-4004</t>
  </si>
  <si>
    <t>Кольца 4T GY6 80 0,25 (Ø47,25) "TKT"</t>
  </si>
  <si>
    <t>https://b2beez.ru/images/detailed/167/6224627832_iovx-6u.jpg</t>
  </si>
  <si>
    <t>K-4005</t>
  </si>
  <si>
    <t>Кольца 4T GY6 100 .STD (Ø50,00) "TKT"</t>
  </si>
  <si>
    <t>https://b2beez.ru/images/detailed/167/6224627832_g89j-v6.jpg</t>
  </si>
  <si>
    <t>K-4207</t>
  </si>
  <si>
    <t>Картер 4T GY6 50 (139QMA) (левый) ("12 колесо) "KOMATCU"</t>
  </si>
  <si>
    <t>https://b2beez.ru/images/detailed/167/orig_7l0t-y1.jpg</t>
  </si>
  <si>
    <t>K-4212</t>
  </si>
  <si>
    <t>Колодки тормозные (барабан) 4T GY6 50-150 (10/12" колесо) (красные) "KOMATCU"</t>
  </si>
  <si>
    <t>https://b2beez.ru/images/detailed/167/orig_id4t-22.jpg</t>
  </si>
  <si>
    <t>K-4505</t>
  </si>
  <si>
    <t>Картер 4T GY6 50 (139QMB) (левый) ("10 колесо) "SUNY"</t>
  </si>
  <si>
    <t>https://b2beez.ru/images/detailed/167/6265192398.jpg</t>
  </si>
  <si>
    <t>K-4564</t>
  </si>
  <si>
    <t>Кольца Honda DIO 72 .STD (Ø47,00) "TOR"</t>
  </si>
  <si>
    <t>https://b2beez.ru/images/detailed/167/orig_d27f-sx.jpg</t>
  </si>
  <si>
    <t>K-4576</t>
  </si>
  <si>
    <t>Кольца Yamaha JOG 72 .STD (Ø47,00, 2JA/3KJ) "TOR"</t>
  </si>
  <si>
    <t>https://b2beez.ru/images/detailed/167/6224627720_e3c4-yj.jpg</t>
  </si>
  <si>
    <t>K-4588</t>
  </si>
  <si>
    <t>Кольца Yamaha JOG 90 .STD (Ø50,00) "TOR"</t>
  </si>
  <si>
    <t>https://b2beez.ru/images/detailed/167/6224627720_8pmz-i8.jpg</t>
  </si>
  <si>
    <t>K-4600</t>
  </si>
  <si>
    <t>Кольца 4T GY6 60 .STD (Ø44,00) "TOR"</t>
  </si>
  <si>
    <t>https://b2beez.ru/images/detailed/167/6224627964_0cof-2d.jpg</t>
  </si>
  <si>
    <t>K-4603</t>
  </si>
  <si>
    <t>Кольца 4T GY6 80 0,25 (Ø47,25) "TOR"</t>
  </si>
  <si>
    <t>https://b2beez.ru/images/detailed/167/6224627964_salw-n4.jpg</t>
  </si>
  <si>
    <t>K-4616</t>
  </si>
  <si>
    <t>Кольца Honda DIO 50 .STD(Ø39,00) "TORO"</t>
  </si>
  <si>
    <t>https://b2beez.ru/images/detailed/167/orig_2c3o-88.jpg</t>
  </si>
  <si>
    <t>K-4622</t>
  </si>
  <si>
    <t>Кольца Honda DIO 72 .STD (Ø47,00) "TORO"</t>
  </si>
  <si>
    <t>https://b2beez.ru/images/detailed/167/orig_su6a-my.jpg</t>
  </si>
  <si>
    <t>K-4626</t>
  </si>
  <si>
    <t>Кольца Suzuki AD 50 0,25 (Ø41,25) "TORO"</t>
  </si>
  <si>
    <t>https://b2beez.ru/images/detailed/167/6224627796_corm-7h.jpg</t>
  </si>
  <si>
    <t>K-4634</t>
  </si>
  <si>
    <t>Кольца Yamaha JOG 72 .STD (Ø47,00, 2JA/3KJ) "TORO"</t>
  </si>
  <si>
    <t>https://b2beez.ru/images/detailed/167/6224627796_20uj-52.jpg</t>
  </si>
  <si>
    <t>K-4636</t>
  </si>
  <si>
    <t>Кольца 2T TB 60, Suzuki RUN 60 .STD (Ø43,00) "TORO"</t>
  </si>
  <si>
    <t>https://b2beez.ru/images/detailed/167/orig_y9a5-r3.jpg</t>
  </si>
  <si>
    <t>K-4672</t>
  </si>
  <si>
    <t>Кольца 4T GY6 60 .STD (Ø44,00) "TORO"</t>
  </si>
  <si>
    <t>https://b2beez.ru/images/detailed/167/6224628049_qicg-mc.jpg</t>
  </si>
  <si>
    <t>K-4675</t>
  </si>
  <si>
    <t>Кольца 4T GY6 80 0,25 (Ø47,25) "TORO"</t>
  </si>
  <si>
    <t>https://b2beez.ru/images/detailed/167/6224628049_o3j2-fx.jpg</t>
  </si>
  <si>
    <t>K-4679</t>
  </si>
  <si>
    <t>Кольца 4T GY6 150 0,25 (Ø57,75) "TORO"</t>
  </si>
  <si>
    <t>https://b2beez.ru/images/detailed/167/orig_l41r-8p.jpg</t>
  </si>
  <si>
    <t>K-4805</t>
  </si>
  <si>
    <t>Карбюратор Honda DIO AF27/28, LEAD "BEEZMOTO"</t>
  </si>
  <si>
    <t>https://b2beez.ru/images/detailed/167/orig_bjxo-b8.jpg</t>
  </si>
  <si>
    <t>K-4814</t>
  </si>
  <si>
    <t>Карбюратор Honda TACT AF16, AF24 "BEEZMOTO"</t>
  </si>
  <si>
    <t>https://b2beez.ru/images/detailed/167/orig_vz4u-1q.jpg</t>
  </si>
  <si>
    <t>K-4835</t>
  </si>
  <si>
    <t>Карбюратор Yamaha JOG 50 3KJ "BEEZMOTO"</t>
  </si>
  <si>
    <t>https://b2beez.ru/images/detailed/167/orig_2u05-2d.jpg</t>
  </si>
  <si>
    <t>K-4947</t>
  </si>
  <si>
    <t>Коленвал 4T GY6 125/150 17T (152QMI, 157QMJ) (+сальники) "BEEZMOTO"</t>
  </si>
  <si>
    <t>https://b2beez.ru/images/detailed/168/orig_h0lr-mn.jpg</t>
  </si>
  <si>
    <t>K-4948</t>
  </si>
  <si>
    <t>Коленвал 4T GY6 125/150 17T (152QMI, 157QMJ) (+сальники, шлицы и резьбы каленые) "BEEZMOTO"</t>
  </si>
  <si>
    <t>https://b2beez.ru/images/detailed/168/6770312084.jpg</t>
  </si>
  <si>
    <t>K-4981</t>
  </si>
  <si>
    <t>Коленвал Honda DIO AF18 (под сепаратор 17mm, +сепаратор) "BEEZMOTO" mod:A</t>
  </si>
  <si>
    <t>https://b2beez.ru/images/detailed/168/orig_eqnc-5k.jpg</t>
  </si>
  <si>
    <t>K-5052</t>
  </si>
  <si>
    <t>Колодки тормозные (барабан) Yamaha JOG "BEEZMOTO"</t>
  </si>
  <si>
    <t>https://b2beez.ru/images/detailed/168/orig_6m4x-uw.jpg</t>
  </si>
  <si>
    <t>K-5087</t>
  </si>
  <si>
    <t>Колодки тормозные (диск) Zongshen WIND/GY50-80 (черные) "BEEZMOTO"</t>
  </si>
  <si>
    <t>https://b2beez.ru/images/detailed/168/orig_2p37-0y.jpg</t>
  </si>
  <si>
    <t>K-5091</t>
  </si>
  <si>
    <t>Кольца 2T TB 60, Suzuki RUN 60 .STD (Ø43,00) "MANLE"</t>
  </si>
  <si>
    <t>https://b2beez.ru/images/detailed/168/6224627827.jpg</t>
  </si>
  <si>
    <t>K-5100</t>
  </si>
  <si>
    <t>Кольца 4T GY6 100 .STD (Ø50,00) "HORZA" (mod.B)</t>
  </si>
  <si>
    <t>https://b2beez.ru/images/detailed/168/6224627825.jpg</t>
  </si>
  <si>
    <t>K-5124</t>
  </si>
  <si>
    <t>Кольца Honda DIO 50 .STD(Ø39,00) "ZUNA"</t>
  </si>
  <si>
    <t>https://b2beez.ru/images/detailed/168/orig_2gff-j2.jpg</t>
  </si>
  <si>
    <t>K-5125</t>
  </si>
  <si>
    <t>Кольца Honda DIO 50 .STD(Ø39,00) "MANLE"</t>
  </si>
  <si>
    <t>https://b2beez.ru/images/detailed/168/6231964557.jpg</t>
  </si>
  <si>
    <t>K-5128</t>
  </si>
  <si>
    <t>Кольца Honda DIO 50 0,25 (Ø39,25) "MANLE"</t>
  </si>
  <si>
    <t>https://b2beez.ru/images/detailed/168/6224628069.jpg</t>
  </si>
  <si>
    <t>K-5132</t>
  </si>
  <si>
    <t>Кольца Honda DIO 65 .STD (Ø44,00) "MANLE"</t>
  </si>
  <si>
    <t>https://b2beez.ru/images/detailed/168/6224628348.jpg</t>
  </si>
  <si>
    <t>K-5135</t>
  </si>
  <si>
    <t>Кольца Honda DIO ZX 50 .STD (Ø40,00) "ZUNA"</t>
  </si>
  <si>
    <t>https://b2beez.ru/images/detailed/168/6224628403.jpg</t>
  </si>
  <si>
    <t>K-5160</t>
  </si>
  <si>
    <t>Коммутатор 4T GY6 50-150 "BEEZMOTO"</t>
  </si>
  <si>
    <t>https://b2beez.ru/images/detailed/168/orig_4ow1-qu.jpg</t>
  </si>
  <si>
    <t>K-5166</t>
  </si>
  <si>
    <t>Коммутатор Honda DIO AF36 (DIO AF35 ST) "BEEZMOTO"</t>
  </si>
  <si>
    <t>https://b2beez.ru/images/detailed/168/orig_lwee-19.jpg</t>
  </si>
  <si>
    <t>K-5168</t>
  </si>
  <si>
    <t>Коммутатор Honda DIO 18/27 "BEEZMOTO"</t>
  </si>
  <si>
    <t>https://b2beez.ru/images/detailed/168/7099760108.jpg</t>
  </si>
  <si>
    <t>K-5237</t>
  </si>
  <si>
    <t>Шатун Honda DIO AF34/35 "BEEZMOTO"</t>
  </si>
  <si>
    <t>https://b2beez.ru/images/detailed/168/orig_ti67-yj.jpg</t>
  </si>
  <si>
    <t>K-5272</t>
  </si>
  <si>
    <t>Кольца 4T GY6 50 .STD (Ø39,00) "KJT"</t>
  </si>
  <si>
    <t>https://b2beez.ru/images/detailed/168/6224628006.jpg</t>
  </si>
  <si>
    <t>K-53</t>
  </si>
  <si>
    <t>Кольца 4T GY6 100 0,50 (Ø50,50) "KOSO"</t>
  </si>
  <si>
    <t>https://b2beez.ru/images/detailed/168/6224627810_irrv-g0.jpg</t>
  </si>
  <si>
    <t>K-5316</t>
  </si>
  <si>
    <t>Кольца 4T GY6 100 .STD (Ø50,00) "HORZA" (mod.A)</t>
  </si>
  <si>
    <t>https://b2beez.ru/images/detailed/168/6224627825_qzht-16.jpg</t>
  </si>
  <si>
    <t>K-5317</t>
  </si>
  <si>
    <t>Кольца 4T GY6 100 .STD (Ø50,00) "MANLE" (mod.A)</t>
  </si>
  <si>
    <t>https://b2beez.ru/images/detailed/168/6224628004.jpg</t>
  </si>
  <si>
    <t>K-5326</t>
  </si>
  <si>
    <t>Кольца 4T GY6 50 .STD (Ø39,00) "ZUNA" (mod.A)</t>
  </si>
  <si>
    <t>https://b2beez.ru/images/detailed/168/6224628066.jpg</t>
  </si>
  <si>
    <t>K-5388</t>
  </si>
  <si>
    <t>Кольца Honda DIO 50 0,25 (Ø39,25) оригинал Taiwan "SEE"</t>
  </si>
  <si>
    <t>https://b2beez.ru/images/detailed/168/orig_7abu-o7.jpg</t>
  </si>
  <si>
    <t>K-5389</t>
  </si>
  <si>
    <t>Кольца Honda DIO 50 0,50 (Ø39,50) оригинал Taiwan "SEE"</t>
  </si>
  <si>
    <t>https://b2beez.ru/images/detailed/168/6224628047.jpg</t>
  </si>
  <si>
    <t>K-5391</t>
  </si>
  <si>
    <t>Кольца Honda DIO 65 0,25 (Ø44,25) оригинал Taiwan "SEE"</t>
  </si>
  <si>
    <t>https://b2beez.ru/images/detailed/168/6224627676.jpg</t>
  </si>
  <si>
    <t>K-5392</t>
  </si>
  <si>
    <t>Кольца Honda DIO 65 0,50 (Ø44,5) оригинал Taiwan "SEE"</t>
  </si>
  <si>
    <t>https://b2beez.ru/images/detailed/168/6224627676_izzt-qt.jpg</t>
  </si>
  <si>
    <t>K-5395</t>
  </si>
  <si>
    <t>Кольца Honda DIO 75 0,50 (Ø47,50) оригинал Taiwan "SEE"</t>
  </si>
  <si>
    <t>https://b2beez.ru/images/detailed/168/6224628197_yqag-ah.jpg</t>
  </si>
  <si>
    <t>K-5397</t>
  </si>
  <si>
    <t>Кольца Honda DIO ZX 50 0,25 (Ø40,25) оригинал Taiwan "SEE"</t>
  </si>
  <si>
    <t>https://b2beez.ru/images/detailed/168/6224627766.jpg</t>
  </si>
  <si>
    <t>K-5398</t>
  </si>
  <si>
    <t>Кольца Honda DIO ZX 50 0,50 (Ø40,50) оригинал Taiwan "SEE"</t>
  </si>
  <si>
    <t>https://b2beez.ru/images/detailed/168/6224627766_h7y9-ub.jpg</t>
  </si>
  <si>
    <t>K-5400</t>
  </si>
  <si>
    <t>Кольца Honda DIO ZX 65 0,25 (Ø44,25) оригинал Taiwan "SEE"</t>
  </si>
  <si>
    <t>https://b2beez.ru/images/detailed/168/6224627676_qbcz-cx.jpg</t>
  </si>
  <si>
    <t>K-5401</t>
  </si>
  <si>
    <t>Кольца Honda DIO ZX 65 0,50 (Ø44,50) оригинал Taiwan "SEE"</t>
  </si>
  <si>
    <t>https://b2beez.ru/images/detailed/168/6224627676_86mi-0l.jpg</t>
  </si>
  <si>
    <t>K-5403</t>
  </si>
  <si>
    <t>Кольца Honda DIO ZX 72 0,25 (Ø48,25) оригинал Taiwan "SEE"</t>
  </si>
  <si>
    <t>https://b2beez.ru/images/detailed/168/6224627698.jpg</t>
  </si>
  <si>
    <t>K-5404</t>
  </si>
  <si>
    <t>Кольца Honda DIO ZX 72 0,50 (Ø48,50) оригинал Taiwan "SEE"</t>
  </si>
  <si>
    <t>https://b2beez.ru/images/detailed/168/6224627698_7hjl-d0.jpg</t>
  </si>
  <si>
    <t>K-5406</t>
  </si>
  <si>
    <t>Кольца Honda TACT 50 0,25 (Ø41,25 AF16) оригинал Taiwan "SEE"</t>
  </si>
  <si>
    <t>https://b2beez.ru/images/detailed/168/6224627750.jpg</t>
  </si>
  <si>
    <t>K-5407</t>
  </si>
  <si>
    <t>Кольца Honda TACT 50 0,50 (Ø41,50 AF16) оригинал Taiwan "SEE"</t>
  </si>
  <si>
    <t>https://b2beez.ru/images/detailed/168/orig_uqug-n3.jpg</t>
  </si>
  <si>
    <t>K-5409</t>
  </si>
  <si>
    <t>Кольца Honda TACT 65 0,25 (Ø44,25 AF16) оригинал Taiwan "SEE"</t>
  </si>
  <si>
    <t>https://b2beez.ru/images/detailed/168/6224628489.jpg</t>
  </si>
  <si>
    <t>K-5410</t>
  </si>
  <si>
    <t>Кольца Honda TACT 65 0,50 (Ø44,5 AF16) оригинал Taiwan "SEE"</t>
  </si>
  <si>
    <t>https://b2beez.ru/images/detailed/168/6224628489_jejo-30.jpg</t>
  </si>
  <si>
    <t>K-5412</t>
  </si>
  <si>
    <t>Кольца Honda TACT 80 0,25 (Ø47,25 AF16) оригинал Taiwan "SEE"</t>
  </si>
  <si>
    <t>https://b2beez.ru/images/detailed/168/orig_t4uv-d0.jpg</t>
  </si>
  <si>
    <t>K-5414</t>
  </si>
  <si>
    <t>Кольца Honda PAL 50 .STD (Ø41,00 AF17) оригинал Taiwan "SEE"</t>
  </si>
  <si>
    <t>https://b2beez.ru/images/detailed/168/6224627750_153j-7n.jpg</t>
  </si>
  <si>
    <t>K-5415</t>
  </si>
  <si>
    <t>Кольца Honda PAL 50 0,25 (Ø41,25 AF17) оригинал Taiwan "SEE"</t>
  </si>
  <si>
    <t>https://b2beez.ru/images/detailed/168/6224627750_mj80-2w.jpg</t>
  </si>
  <si>
    <t>K-5416</t>
  </si>
  <si>
    <t>Кольца Honda PAL 50 0,50 (Ø41,50 AF17) оригинал Taiwan "SEE"</t>
  </si>
  <si>
    <t>https://b2beez.ru/images/detailed/168/6224627750_4ez2-b0.jpg</t>
  </si>
  <si>
    <t>K-5418</t>
  </si>
  <si>
    <t>Кольца Honda DJ1 50 0,25 (Ø41,25 p-10 AF12) оригинал Taiwan "SEE"</t>
  </si>
  <si>
    <t>https://b2beez.ru/images/detailed/168/6224627750_8i0n-xx.jpg</t>
  </si>
  <si>
    <t>K-5419</t>
  </si>
  <si>
    <t>Кольца Honda DJ1 50 0,50 (Ø41,50 p-10 AF12) оригинал Taiwan "SEE"</t>
  </si>
  <si>
    <t>https://b2beez.ru/images/detailed/168/6224627750_it5f-tv.jpg</t>
  </si>
  <si>
    <t>K-5421</t>
  </si>
  <si>
    <t>Кольца Honda LEAD, GYRO 50 0,25 (Ø40,25: AF01E, AF03E, TA01E) оригинал Taiwan "SEE"</t>
  </si>
  <si>
    <t>https://b2beez.ru/images/detailed/168/6224627766_bjw2-6g.jpg</t>
  </si>
  <si>
    <t>K-5422</t>
  </si>
  <si>
    <t>Кольца Honda LEAD, GYRO 50 0,50 (Ø40,50: AF01E, AF03E, TA01E) оригинал Taiwan "SEE"</t>
  </si>
  <si>
    <t>https://b2beez.ru/images/detailed/168/6224627750_fzha-qt.jpg</t>
  </si>
  <si>
    <t>K-5424</t>
  </si>
  <si>
    <t>Кольца Honda LEAD 90 0,25 (Ø48,25) оригинал Taiwan "SEE"</t>
  </si>
  <si>
    <t>https://b2beez.ru/images/detailed/168/6224628240_mpxg-3y.jpg</t>
  </si>
  <si>
    <t>K-5425</t>
  </si>
  <si>
    <t>Кольца Honda LEAD 90 0,50 (Ø48,50) оригинал Taiwan "SEE"</t>
  </si>
  <si>
    <t>https://b2beez.ru/images/detailed/168/6224628240_7gq9-e6.jpg</t>
  </si>
  <si>
    <t>K-5427</t>
  </si>
  <si>
    <t>Кольца Honda LEAD 100 0,25 (Ø51,25) оригинал Taiwan "SEE"</t>
  </si>
  <si>
    <t>https://b2beez.ru/images/detailed/168/orig_njvo-8k.jpg</t>
  </si>
  <si>
    <t>K-5429</t>
  </si>
  <si>
    <t>Кольца Suzuki AD 50 .STD (Ø41,00) оригинал Taiwan "SEE"</t>
  </si>
  <si>
    <t>https://b2beez.ru/images/detailed/168/6224627750_7dau-s8.jpg</t>
  </si>
  <si>
    <t>K-5430</t>
  </si>
  <si>
    <t>Кольца Suzuki AD 50 0,25 (Ø41,25) оригинал Taiwan "SEE"</t>
  </si>
  <si>
    <t>https://b2beez.ru/images/detailed/168/6224627750_fbk3-12.jpg</t>
  </si>
  <si>
    <t>K-5431</t>
  </si>
  <si>
    <t>Кольца Suzuki AD 50 0,50 (Ø41,50) оригинал Taiwan "SEE"</t>
  </si>
  <si>
    <t>https://b2beez.ru/images/detailed/168/6224627750_9ff5-fb.jpg</t>
  </si>
  <si>
    <t>K-5433</t>
  </si>
  <si>
    <t>Кольца Suzuki AD 65 0,25 (Ø44,25) оригинал Taiwan "SEE"</t>
  </si>
  <si>
    <t>https://b2beez.ru/images/detailed/168/6224628916.jpg</t>
  </si>
  <si>
    <t>K-5435</t>
  </si>
  <si>
    <t>Кольца Suzuki AD 72 .STD (Ø47,00) оригинал Taiwan "SEE"</t>
  </si>
  <si>
    <t>https://b2beez.ru/images/detailed/168/6224627698_qu3y-02.jpg</t>
  </si>
  <si>
    <t>K-5436</t>
  </si>
  <si>
    <t>Кольца Suzuki AD 72 0,25 (Ø47,25) оригинал Taiwan "SEE"</t>
  </si>
  <si>
    <t>https://b2beez.ru/images/detailed/168/6224628197_ifiu-qy.jpg</t>
  </si>
  <si>
    <t>K-5437</t>
  </si>
  <si>
    <t>Кольца Suzuki AD 72 0,50 (Ø47,50) оригинал Taiwan "SEE"</t>
  </si>
  <si>
    <t>https://b2beez.ru/images/detailed/168/6224627698_covp-r5.jpg</t>
  </si>
  <si>
    <t>K-5439</t>
  </si>
  <si>
    <t>Кольца Suzuki AD 100 0,25 (Ø52,75, p-12) оригинал Taiwan "SEE"</t>
  </si>
  <si>
    <t>https://b2beez.ru/images/detailed/168/orig_88ey-hz.jpg</t>
  </si>
  <si>
    <t>K-5442</t>
  </si>
  <si>
    <t>Кольца Suzuki LET'S 50 0,25 (Ø41,25, p-10) оригинал Taiwan "SEE"</t>
  </si>
  <si>
    <t>https://b2beez.ru/images/detailed/168/6224627750_4s5f-qs.jpg</t>
  </si>
  <si>
    <t>K-5443</t>
  </si>
  <si>
    <t>Кольца Suzuki LET'S 50 0,50 (Ø41,50, p-10) оригинал Taiwan "SEE"</t>
  </si>
  <si>
    <t>https://b2beez.ru/images/detailed/168/6224627750_szvr-07.jpg</t>
  </si>
  <si>
    <t>K-5444</t>
  </si>
  <si>
    <t>Кольца Suzuki LET'S 65 .STD (Ø44,00) оригинал Taiwan "SEE"</t>
  </si>
  <si>
    <t>https://b2beez.ru/images/detailed/168/6224628489_6ias-u1.jpg</t>
  </si>
  <si>
    <t>K-5445</t>
  </si>
  <si>
    <t>Кольца Suzuki LET'S 65 0,25 (Ø44,25) оригинал Taiwan "SEE"</t>
  </si>
  <si>
    <t>https://b2beez.ru/images/detailed/168/6224627676_tr7h-i1.jpg</t>
  </si>
  <si>
    <t>K-5446</t>
  </si>
  <si>
    <t>Кольца Suzuki LET'S 65 0,50 (Ø44,50) оригинал Taiwan "SEE"</t>
  </si>
  <si>
    <t>https://b2beez.ru/images/detailed/168/orig_p286-4x.jpg</t>
  </si>
  <si>
    <t>K-5447</t>
  </si>
  <si>
    <t>Кольца Suzuki LET'S 72 .STD (Ø47,00) оригинал Taiwan "SEE"</t>
  </si>
  <si>
    <t>https://b2beez.ru/images/detailed/168/6224627698_qib1-os.jpg</t>
  </si>
  <si>
    <t>K-5448</t>
  </si>
  <si>
    <t>Кольца Suzuki LET'S 72 0,25 (Ø47,25) оригинал Taiwan "SEE"</t>
  </si>
  <si>
    <t>https://b2beez.ru/images/detailed/168/6224627698_w215-hv.jpg</t>
  </si>
  <si>
    <t>K-5449</t>
  </si>
  <si>
    <t>Кольца Suzuki LET'S 72 0,50 (Ø47,50) оригинал Taiwan "SEE"</t>
  </si>
  <si>
    <t>https://b2beez.ru/images/detailed/168/6224627698_5btm-6o.jpg</t>
  </si>
  <si>
    <t>K-5451</t>
  </si>
  <si>
    <t>Кольца 2T TB 50, Suzuki RUN 50 0,25 (Ø41,25) оригинал Taiwan "SEE"</t>
  </si>
  <si>
    <t>https://b2beez.ru/images/detailed/168/6224627750_ht4j-a2.jpg</t>
  </si>
  <si>
    <t>K-5452</t>
  </si>
  <si>
    <t>Кольца 2T TB 50, Suzuki RUN 50 0,50 (Ø41,50) оригинал Taiwan "SEE"</t>
  </si>
  <si>
    <t>https://b2beez.ru/images/detailed/168/6224627750_7tsd-gy.jpg</t>
  </si>
  <si>
    <t>K-5456</t>
  </si>
  <si>
    <t>Кольца Yamaha JOG 50 .STD (Ø40,00, 2JA/3KJ) оригинал Taiwan "SEE" (mod.C)</t>
  </si>
  <si>
    <t>https://b2beez.ru/images/detailed/168/orig_j1k9-w6.jpg</t>
  </si>
  <si>
    <t>K-5457</t>
  </si>
  <si>
    <t>Кольца Yamaha JOG 50 0,25 (Ø40,25, 2JA/3KJ) оригинал Taiwan "SEE" (mod.C)</t>
  </si>
  <si>
    <t>https://b2beez.ru/images/detailed/168/6224627766_qb5e-jw.jpg</t>
  </si>
  <si>
    <t>K-5458</t>
  </si>
  <si>
    <t>Кольца Yamaha JOG 50 0,50 (Ø40,50, 2JA/3KJ) оригинал Taiwan "SEE" (mod.B)</t>
  </si>
  <si>
    <t>https://b2beez.ru/images/detailed/168/6224627766_u7d4-f6.jpg</t>
  </si>
  <si>
    <t>K-5461</t>
  </si>
  <si>
    <t>Кольца Yamaha JOG 65 0,50 (Ø44,50, 2JA/3KJ) оригинал Taiwan "SEE" (mod.A)</t>
  </si>
  <si>
    <t>https://b2beez.ru/images/detailed/168/6231970159.jpg</t>
  </si>
  <si>
    <t>K-5464</t>
  </si>
  <si>
    <t>Кольца Yamaha JOG 72 0,50 (Ø47,50, 2JA/3KJ) оригинал Taiwan "SEE" (mod.A)</t>
  </si>
  <si>
    <t>https://b2beez.ru/images/detailed/168/6224627698_z6e6-5m.jpg</t>
  </si>
  <si>
    <t>K-5466</t>
  </si>
  <si>
    <t>Кольца Yamaha JOG 50 0,25 (Ø40,25, 2JA/3KJ) оригинал Taiwan "SEE" (mod A)</t>
  </si>
  <si>
    <t>https://b2beez.ru/images/detailed/168/orig_h3iy-4s.jpg</t>
  </si>
  <si>
    <t>K-5467</t>
  </si>
  <si>
    <t>Кольца Yamaha JOG 50 0,50 (Ø40,50, 2JA/3KJ) оригинал Taiwan "SEE" (mod.A)</t>
  </si>
  <si>
    <t>https://b2beez.ru/images/detailed/168/orig_2tvu-xf.jpg</t>
  </si>
  <si>
    <t>K-5469</t>
  </si>
  <si>
    <t>Кольца Yamaha JOG 65 0,25 (Ø44,25, 2JA/3KJ) оригинал Taiwan "SEE" (mod.B)</t>
  </si>
  <si>
    <t>https://b2beez.ru/images/detailed/168/orig_4279-zy.jpg</t>
  </si>
  <si>
    <t>K-5472</t>
  </si>
  <si>
    <t>Кольца Yamaha JOG 72 0,25 (Ø47,25, 2JA/3KJ) оригинал Taiwan "SEE" (mod.A)</t>
  </si>
  <si>
    <t>https://b2beez.ru/images/detailed/168/6224627698_brhw-qj.jpg</t>
  </si>
  <si>
    <t>K-5475</t>
  </si>
  <si>
    <t>Кольца Yamaha JOG 50 0,25 (Ø40,25, 2JA/3KJ) оригинал Taiwan "SEE" (mod B)</t>
  </si>
  <si>
    <t>https://b2beez.ru/images/detailed/168/6224627766_uhwb-qr.jpg</t>
  </si>
  <si>
    <t>K-5476</t>
  </si>
  <si>
    <t>Кольца Yamaha JOG 50 0,50 (Ø40,50, 2JA/3KJ) оригинал Taiwan "SEE" (mod.C)</t>
  </si>
  <si>
    <t>https://b2beez.ru/images/detailed/168/6224627766_9bvy-ea.jpg</t>
  </si>
  <si>
    <t>K-5478</t>
  </si>
  <si>
    <t>Кольца Yamaha JOG 90 0,25 (Ø50,25) оригинал Taiwan "SEE"</t>
  </si>
  <si>
    <t>https://b2beez.ru/images/detailed/168/6224628342_px6h-jp.jpg</t>
  </si>
  <si>
    <t>K-5479</t>
  </si>
  <si>
    <t>Кольца Yamaha JOG 90 0,50 (Ø50,50) оригинал Taiwan "SEE"</t>
  </si>
  <si>
    <t>https://b2beez.ru/images/detailed/168/6224628342_v7gz-4k.jpg</t>
  </si>
  <si>
    <t>K-5509</t>
  </si>
  <si>
    <t>Кольца 4T GY6 80 0,50 (Ø47,50) оригинал Taiwan "SEE"</t>
  </si>
  <si>
    <t>https://b2beez.ru/images/detailed/168/6224628180.jpg</t>
  </si>
  <si>
    <t>K-5511</t>
  </si>
  <si>
    <t>Кольца 4T GY6 100 0,25 (Ø50,25) оригинал Taiwan "SEE"</t>
  </si>
  <si>
    <t>https://b2beez.ru/images/detailed/168/6224627868.jpg</t>
  </si>
  <si>
    <t>K-5512</t>
  </si>
  <si>
    <t>Кольца 4T GY6 100 0,50 (Ø50,50) оригинал Taiwan "SEE"</t>
  </si>
  <si>
    <t>https://b2beez.ru/images/detailed/168/6224627868_153k-64.jpg</t>
  </si>
  <si>
    <t>K-5513</t>
  </si>
  <si>
    <t>Кольца 4T GY6 125 .STD (Ø52,00) оригинал Taiwan "SEE"</t>
  </si>
  <si>
    <t>https://b2beez.ru/images/detailed/168/6224627991.jpg</t>
  </si>
  <si>
    <t>K-5514</t>
  </si>
  <si>
    <t>Кольца 4T GY6 125 0,25 (Ø52,25) оригинал Taiwan "SEE"</t>
  </si>
  <si>
    <t>https://b2beez.ru/images/detailed/168/6224627991_fq39-8h.jpg</t>
  </si>
  <si>
    <t>K-5517</t>
  </si>
  <si>
    <t>Кольца 4T GY6 150 0,25 (Ø57,65) оригинал Taiwan "SEE"</t>
  </si>
  <si>
    <t>https://b2beez.ru/images/detailed/168/orig_xnfy-fx.jpg</t>
  </si>
  <si>
    <t>K-5518</t>
  </si>
  <si>
    <t>Кольца 4T GY6 150 0,50 (Ø57,90) оригинал Taiwan "SEE"</t>
  </si>
  <si>
    <t>https://b2beez.ru/images/detailed/168/6224627854.jpg</t>
  </si>
  <si>
    <t>K-5519</t>
  </si>
  <si>
    <t>Кольца 4T GY6 190 .STD (Ø63,00) оригинал Taiwan "SEE"</t>
  </si>
  <si>
    <t>https://b2beez.ru/images/detailed/168/orig_nw74-8i.jpg</t>
  </si>
  <si>
    <t>K-5532</t>
  </si>
  <si>
    <t>Кольца 2T Stels 50 0,25 (Ø40,25 p-12) оригинал Taiwan "SEE"</t>
  </si>
  <si>
    <t>https://b2beez.ru/images/detailed/168/6224627766_3ooz-5f.jpg</t>
  </si>
  <si>
    <t>K-5533</t>
  </si>
  <si>
    <t>Кольца 2T Stels 50 0,50 (Ø40,50 p-12) оригинал Taiwan "SEE"</t>
  </si>
  <si>
    <t>https://b2beez.ru/images/detailed/168/6224627766_f0cb-u2.jpg</t>
  </si>
  <si>
    <t>K-5536</t>
  </si>
  <si>
    <t>Кольца 2T Stels 65 0,50 (Ø44,50 p-12) оригинал Taiwan "SEE"</t>
  </si>
  <si>
    <t>https://b2beez.ru/images/detailed/168/6224627676_lxc7-dg.jpg</t>
  </si>
  <si>
    <t>K-5539</t>
  </si>
  <si>
    <t>Кольца 2T Stels 72 0,50 (Ø47,50 p-12) оригинал Taiwan "SEE"</t>
  </si>
  <si>
    <t>https://b2beez.ru/images/detailed/168/6224627698_3dx3-hc.jpg</t>
  </si>
  <si>
    <t>K-5595</t>
  </si>
  <si>
    <t>Кольца Honda DIO 50 0,75 (Ø39,75) оригинал Taiwan "SEE"</t>
  </si>
  <si>
    <t>https://b2beez.ru/images/detailed/168/6224628047_zs8o-kw.jpg</t>
  </si>
  <si>
    <t>K-5598</t>
  </si>
  <si>
    <t>Кольца Honda DIO 65 0,75 (Ø44,75) оригинал Taiwan "SEE"</t>
  </si>
  <si>
    <t>https://b2beez.ru/images/detailed/168/orig_drao-3m.jpg</t>
  </si>
  <si>
    <t>K-56</t>
  </si>
  <si>
    <t>Кольца 4T GY6 125 0,25 (Ø52,65) "KOSO"</t>
  </si>
  <si>
    <t>https://b2beez.ru/images/detailed/168/6224627810_qj0y-el.jpg</t>
  </si>
  <si>
    <t>K-5602</t>
  </si>
  <si>
    <t>Кольца Honda DIO ZX 50 0,75 (Ø40,75) оригинал Taiwan "SEE"</t>
  </si>
  <si>
    <t>https://b2beez.ru/images/detailed/168/6224627750_rd83-fw.jpg</t>
  </si>
  <si>
    <t>K-5603</t>
  </si>
  <si>
    <t>Кольца Honda DIO ZX 50 1,00 (Ø41,00) оригинал Taiwan "SEE"</t>
  </si>
  <si>
    <t>https://b2beez.ru/images/detailed/168/6224627750_nc0j-iz.jpg</t>
  </si>
  <si>
    <t>K-5605</t>
  </si>
  <si>
    <t>Кольца Honda DIO ZX 65 0,75 (Ø44,75) оригинал Taiwan "SEE"</t>
  </si>
  <si>
    <t>https://b2beez.ru/images/detailed/168/6224627676_0jto-ql.jpg</t>
  </si>
  <si>
    <t>K-5607</t>
  </si>
  <si>
    <t>Кольца Honda DIO ZX 72 0,75 (Ø48,75) оригинал Taiwan "SEE"</t>
  </si>
  <si>
    <t>https://b2beez.ru/images/detailed/168/6224628240_g81v-t8.jpg</t>
  </si>
  <si>
    <t>K-5608</t>
  </si>
  <si>
    <t>Кольца Honda DIO ZX 72 1,00 (Ø49,00)оригинал Taiwan "SEE"</t>
  </si>
  <si>
    <t>https://b2beez.ru/images/detailed/168/6224628240_zz9e-db.jpg</t>
  </si>
  <si>
    <t>K-5609</t>
  </si>
  <si>
    <t>Кольца Honda TACT 50 0,75 (Ø41,75 AF16) оригинал Taiwan "SEE"</t>
  </si>
  <si>
    <t>https://b2beez.ru/images/detailed/168/6224628473.jpg</t>
  </si>
  <si>
    <t>K-5610</t>
  </si>
  <si>
    <t>Кольца Honda TACT 50 1,00 (Ø42,00 AF16) оригинал Taiwan "SEE"</t>
  </si>
  <si>
    <t>https://b2beez.ru/images/detailed/168/6224627750_5xas-04.jpg</t>
  </si>
  <si>
    <t>K-5615</t>
  </si>
  <si>
    <t>Кольца Honda PAL 50 0,75 (Ø41,75 AF17) оригинал Taiwan "SEE"</t>
  </si>
  <si>
    <t>https://b2beez.ru/images/detailed/168/orig_lw9d-b6.jpg</t>
  </si>
  <si>
    <t>K-5616</t>
  </si>
  <si>
    <t>Кольца Honda PAL 50 1,00 (Ø42,00 AF17) оригинал Taiwan "SEE"</t>
  </si>
  <si>
    <t>https://b2beez.ru/images/detailed/168/6224627750_5kci-ly.jpg</t>
  </si>
  <si>
    <t>K-5617</t>
  </si>
  <si>
    <t>Кольца Honda DJ1 50 0,75 (Ø41,75 p-10 AF12) оригинал Taiwan "SEE"</t>
  </si>
  <si>
    <t>https://b2beez.ru/images/detailed/168/6224627750_4pjg-6u.jpg</t>
  </si>
  <si>
    <t>K-5619</t>
  </si>
  <si>
    <t>Кольца Honda LEAD, GYRO 50 0,75 (Ø40,75: AF01E, AF03E, TA01E) оригинал Taiwan "SEE"</t>
  </si>
  <si>
    <t>https://b2beez.ru/images/detailed/168/orig_evzs-st.jpg</t>
  </si>
  <si>
    <t>K-5620</t>
  </si>
  <si>
    <t>Кольца Honda LEAD, GYRO 50 1,00 (Ø41,00: AF01E, AF03E, TA01E) оригинал Taiwan "SEE"</t>
  </si>
  <si>
    <t>https://b2beez.ru/images/detailed/168/6224627766_sgw4-xc.jpg</t>
  </si>
  <si>
    <t>K-5621</t>
  </si>
  <si>
    <t>Кольца Honda LEAD 90 0,75 (Ø48,75) оригинал Taiwan "SEE"</t>
  </si>
  <si>
    <t>https://b2beez.ru/images/detailed/168/6224628240_z1cz-8o.jpg</t>
  </si>
  <si>
    <t>K-5622</t>
  </si>
  <si>
    <t>Кольца Honda LEAD 90 1,00 (Ø49,00) оригинал Taiwan "SEE"</t>
  </si>
  <si>
    <t>https://b2beez.ru/images/detailed/168/6224628240_z3p1-58.jpg</t>
  </si>
  <si>
    <t>K-5623</t>
  </si>
  <si>
    <t>Кольца Honda LEAD 100 0,75 (Ø51,75) оригинал Taiwan "SEE"</t>
  </si>
  <si>
    <t>https://b2beez.ru/images/detailed/168/6224628342_my03-mb.jpg</t>
  </si>
  <si>
    <t>K-5624</t>
  </si>
  <si>
    <t>Кольца Honda LEAD 100 1,00 (Ø52,00) оригинал Taiwan "SEE"</t>
  </si>
  <si>
    <t>https://b2beez.ru/images/detailed/168/6224628261.jpg</t>
  </si>
  <si>
    <t>K-5625</t>
  </si>
  <si>
    <t>Кольца Suzuki AD 50 0,75 (Ø41,75) оригинал Taiwan "SEE"</t>
  </si>
  <si>
    <t>https://b2beez.ru/images/detailed/168/6224627750_wyqq-cw.jpg</t>
  </si>
  <si>
    <t>K-5626</t>
  </si>
  <si>
    <t>Кольца Suzuki AD 50 1,00 (Ø42,00) оригинал Taiwan "SEE"</t>
  </si>
  <si>
    <t>https://b2beez.ru/images/detailed/168/6224627750_26eo-5d.jpg</t>
  </si>
  <si>
    <t>K-5630</t>
  </si>
  <si>
    <t>Кольца Suzuki AD 72 1,00 (Ø48,00) оригинал Taiwan "SEE"</t>
  </si>
  <si>
    <t>https://b2beez.ru/images/detailed/168/6224627676_9gir-oq.jpg</t>
  </si>
  <si>
    <t>K-5632</t>
  </si>
  <si>
    <t>Кольца Suzuki AD 100 1,00 (Ø53,50) оригинал Taiwan "SEE"</t>
  </si>
  <si>
    <t>https://b2beez.ru/images/detailed/168/6224628261_1soi-g1.jpg</t>
  </si>
  <si>
    <t>K-5633</t>
  </si>
  <si>
    <t>Кольца Suzuki LET'S 50 0,75 (Ø41,75, p-10) оригинал Taiwan "SEE"</t>
  </si>
  <si>
    <t>https://b2beez.ru/images/detailed/168/6224627750_3xsk-g2.jpg</t>
  </si>
  <si>
    <t>K-5634</t>
  </si>
  <si>
    <t>Кольца Suzuki LET'S 50 1,00 (Ø42,00, p-10) оригинал Taiwan "SEE"</t>
  </si>
  <si>
    <t>https://b2beez.ru/images/detailed/168/6224627750_x3nz-yq.jpg</t>
  </si>
  <si>
    <t>K-5635</t>
  </si>
  <si>
    <t>Кольца Suzuki LET'S 65 0,75 (Ø44,75) оригинал Taiwan "SEE"</t>
  </si>
  <si>
    <t>https://b2beez.ru/images/detailed/168/6224627676_8sa6-v9.jpg</t>
  </si>
  <si>
    <t>K-5636</t>
  </si>
  <si>
    <t>Кольца Suzuki LET'S 65 1,00 (Ø45,00) оригинал Taiwan "SEE"</t>
  </si>
  <si>
    <t>https://b2beez.ru/images/detailed/168/orig_9j07-af.jpg</t>
  </si>
  <si>
    <t>K-5638</t>
  </si>
  <si>
    <t>Кольца Suzuki LET'S 72 1,00 (Ø48,00) оригинал Taiwan "SEE"</t>
  </si>
  <si>
    <t>https://b2beez.ru/images/detailed/168/6224627698_g713-4m.jpg</t>
  </si>
  <si>
    <t>K-5639</t>
  </si>
  <si>
    <t>Кольца 2T TB 50, Suzuki RUN 50 0,75 (Ø41,75) оригинал Taiwan "SEE"</t>
  </si>
  <si>
    <t>https://b2beez.ru/images/detailed/168/orig_w1c1-dd.jpg</t>
  </si>
  <si>
    <t>K-5640</t>
  </si>
  <si>
    <t>Кольца 2T TB 50, Suzuki RUN 50 1,00 (Ø42,00) оригинал Taiwan "SEE"</t>
  </si>
  <si>
    <t>https://b2beez.ru/images/detailed/168/6224627750_lks1-2q.jpg</t>
  </si>
  <si>
    <t>K-5641</t>
  </si>
  <si>
    <t>Кольца 2T TB 60, Suzuki RUN 60 0,75 (Ø43,75) оригинал Taiwan "SEE"</t>
  </si>
  <si>
    <t>https://b2beez.ru/images/detailed/168/6224628228.jpg</t>
  </si>
  <si>
    <t>K-5643</t>
  </si>
  <si>
    <t>Кольца Yamaha JOG 50 0,75 (Ø40,75, 2JA/3KJ) оригинал Taiwan "SEE" (mod.C)</t>
  </si>
  <si>
    <t>https://b2beez.ru/images/detailed/168/6224627766_7sxj-19.jpg</t>
  </si>
  <si>
    <t>K-5644</t>
  </si>
  <si>
    <t>Кольца Yamaha JOG 50 1,00 (Ø41,00, 2JA/3KJ) оригинал Taiwan "SEE" (mod.C)</t>
  </si>
  <si>
    <t>https://b2beez.ru/images/detailed/168/6224627766_7w52-2g.jpg</t>
  </si>
  <si>
    <t>K-5646</t>
  </si>
  <si>
    <t>Кольца Yamaha JOG 65 1,00 (Ø45,00, 2JA/3KJ) оригинал Taiwan "SEE" (mod.A)</t>
  </si>
  <si>
    <t>https://b2beez.ru/images/detailed/168/6230996890.jpg</t>
  </si>
  <si>
    <t>K-5647</t>
  </si>
  <si>
    <t>Кольца Yamaha JOG 72 0,75 (Ø47,75, 2JA/3KJ) оригинал Taiwan "SEE" (mod.B)</t>
  </si>
  <si>
    <t>https://b2beez.ru/images/detailed/168/6224627698_cpmr-hc.jpg</t>
  </si>
  <si>
    <t>K-5649</t>
  </si>
  <si>
    <t>Кольца Yamaha JOG 50 0,75 (Ø40,75, 2JA/3KJ) оригинал Taiwan "SEE" (mod A)</t>
  </si>
  <si>
    <t>https://b2beez.ru/images/detailed/168/6224627766_frwb-u5.jpg</t>
  </si>
  <si>
    <t>K-5650</t>
  </si>
  <si>
    <t>Кольца Yamaha JOG 50 1,00 (Ø41,00, 2JA/3KJ) оригинал Taiwan "SEE" (mod.A)</t>
  </si>
  <si>
    <t>https://b2beez.ru/images/detailed/168/6224627766_k3cv-fc.jpg</t>
  </si>
  <si>
    <t>K-5651</t>
  </si>
  <si>
    <t>Кольца Yamaha JOG 65 0,75 (Ø44,75, 2JA/3KJ) оригинал Taiwan "SEE" (mod.B)</t>
  </si>
  <si>
    <t>https://b2beez.ru/images/detailed/168/6230996890_usah-kh.jpg</t>
  </si>
  <si>
    <t>K-5655</t>
  </si>
  <si>
    <t>Кольца Yamaha JOG 50 0,75 (Ø40,75, 2JA/3KJ) оригинал Taiwan "SEE" (mod B)</t>
  </si>
  <si>
    <t>https://b2beez.ru/images/detailed/168/6224627766_x90u-4y.jpg</t>
  </si>
  <si>
    <t>K-5656</t>
  </si>
  <si>
    <t>Кольца Yamaha JOG 50 1,00 (Ø41,00, 2JA/3KJ) оригинал Taiwan "SEE" (mod.B)</t>
  </si>
  <si>
    <t>https://b2beez.ru/images/detailed/168/6224627766_00bt-3i.jpg</t>
  </si>
  <si>
    <t>K-5658</t>
  </si>
  <si>
    <t>Кольца Yamaha JOG 90 1,00 (Ø51,00) оригинал Taiwan "SEE"</t>
  </si>
  <si>
    <t>https://b2beez.ru/images/detailed/168/6224628261_x2uc-ng.jpg</t>
  </si>
  <si>
    <t>K-5661</t>
  </si>
  <si>
    <t>Кольца 2T Stels 50 0,75 (Ø40,75 p-12) оригинал Taiwan "SEE"</t>
  </si>
  <si>
    <t>https://b2beez.ru/images/detailed/168/6224627712_yk3t-f1.jpg</t>
  </si>
  <si>
    <t>K-5662</t>
  </si>
  <si>
    <t>Кольца 2T Stels 50 1,00 (Ø41,00 p-12) оригинал Taiwan "SEE"</t>
  </si>
  <si>
    <t>https://b2beez.ru/images/detailed/168/6224627757.jpg</t>
  </si>
  <si>
    <t>K-5663</t>
  </si>
  <si>
    <t>Кольца 2T Stels 65 0,75 (Ø44,75 p-12) оригинал Taiwan "SEE"</t>
  </si>
  <si>
    <t>https://b2beez.ru/images/detailed/168/6224627676_7sfn-6u.jpg</t>
  </si>
  <si>
    <t>K-5664</t>
  </si>
  <si>
    <t>Кольца 2T Stels 65 1,00 (Ø45,00 p-12) оригинал Taiwan "SEE"</t>
  </si>
  <si>
    <t>https://b2beez.ru/images/detailed/168/6224627676_wx8b-k5.jpg</t>
  </si>
  <si>
    <t>K-5665</t>
  </si>
  <si>
    <t>Кольца 2T Stels 72 0,75 (Ø47,75 p-12) оригинал Taiwan "SEE"</t>
  </si>
  <si>
    <t>https://b2beez.ru/images/detailed/168/6224627698_jhmx-w2.jpg</t>
  </si>
  <si>
    <t>K-62</t>
  </si>
  <si>
    <t>Кольца 4T GY6 150 0,50 (Ø58,00) "KOSO"</t>
  </si>
  <si>
    <t>https://b2beez.ru/images/detailed/168/6321364231.jpg</t>
  </si>
  <si>
    <t>K-66</t>
  </si>
  <si>
    <t>Кольца 4T GY6 50 0,50 (Ø39,50) "KOSO"</t>
  </si>
  <si>
    <t>https://b2beez.ru/images/detailed/168/6321364231_46qy-u3.jpg</t>
  </si>
  <si>
    <t>K-6680</t>
  </si>
  <si>
    <t>Кольца Honda CH125 SPACY/ELITE .STD (Ø52.4) "GONGYU"</t>
  </si>
  <si>
    <t>https://b2beez.ru/images/detailed/168/6224628018.jpg</t>
  </si>
  <si>
    <t>K-6681</t>
  </si>
  <si>
    <t>Кольца Honda WAVE 125 .STD (Ø52,40) "GONGYU"</t>
  </si>
  <si>
    <t>https://b2beez.ru/images/detailed/168/6224628018_jhlw-yx.jpg</t>
  </si>
  <si>
    <t>K-6682</t>
  </si>
  <si>
    <t>Кольца Honda WAVE 150 .STD (Ø57,40) "GONGYU"</t>
  </si>
  <si>
    <t>https://b2beez.ru/images/detailed/168/6224628481_pcdy-7s.jpg</t>
  </si>
  <si>
    <t>K-6736</t>
  </si>
  <si>
    <t>Кольца 2T Stels 50 .STD (Ø40,00) "LIPAI" (mod.A)</t>
  </si>
  <si>
    <t>https://b2beez.ru/images/detailed/168/6224627855.jpg</t>
  </si>
  <si>
    <t>K-6740</t>
  </si>
  <si>
    <t>Кольца 2T Stels 50 0,75 (Ø40,75) "SUNY" (mod.A)</t>
  </si>
  <si>
    <t>https://b2beez.ru/images/detailed/168/6224627778.jpg</t>
  </si>
  <si>
    <t>K-6754</t>
  </si>
  <si>
    <t>Кольца 2T TB 50, Suzuki RUN 50 .STD (Ø41,00) "LIPAI" (mod.A)</t>
  </si>
  <si>
    <t>https://b2beez.ru/images/detailed/168/orig_ppru-ud.jpg</t>
  </si>
  <si>
    <t>K-6762</t>
  </si>
  <si>
    <t>Кольца 2T TB 60, Suzuki RUN 60 .STD (Ø43,00) "SUNY" (mod.A)</t>
  </si>
  <si>
    <t>https://b2beez.ru/images/detailed/168/6224628043.jpg</t>
  </si>
  <si>
    <t>K-6766</t>
  </si>
  <si>
    <t>Кольца 2T TB 60, Suzuki RUN 60 0,25 (Ø43,25) "SUNY" (mod.A)</t>
  </si>
  <si>
    <t>https://b2beez.ru/images/detailed/168/6224627829.jpg</t>
  </si>
  <si>
    <t>K-6824</t>
  </si>
  <si>
    <t>Кольца 4T GY6 100 .STD (Ø50,00) "SUNY" (mod.A)</t>
  </si>
  <si>
    <t>https://b2beez.ru/images/detailed/168/6224627912.jpg</t>
  </si>
  <si>
    <t>K-6825</t>
  </si>
  <si>
    <t>Кольца 4T GY6 100 .STD (Ø50,00) "SUNY" (mod.B)</t>
  </si>
  <si>
    <t>https://b2beez.ru/images/detailed/168/6321345726.jpg</t>
  </si>
  <si>
    <t>K-6831</t>
  </si>
  <si>
    <t>Кольца 4T GY6 100 0,25 (Ø50,25) "SUNY" (mod.B)</t>
  </si>
  <si>
    <t>https://b2beez.ru/images/detailed/168/6224627940.jpg</t>
  </si>
  <si>
    <t>K-6833</t>
  </si>
  <si>
    <t>Кольца 4T GY6 100 0,50 (Ø50,50) "SUNY" (mod.B)</t>
  </si>
  <si>
    <t>https://b2beez.ru/images/detailed/168/orig_kt3u-nz.jpg</t>
  </si>
  <si>
    <t>K-6834</t>
  </si>
  <si>
    <t>Кольца 4T GY6 100 0,75 (Ø50,75) "SUNY" (mod.B)</t>
  </si>
  <si>
    <t>https://b2beez.ru/images/detailed/168/orig_woqx-sn.jpg</t>
  </si>
  <si>
    <t>K-6835</t>
  </si>
  <si>
    <t>Кольца 4T GY6 100 1,00 (Ø51,00) "SUNY" (mod.B)</t>
  </si>
  <si>
    <t>https://b2beez.ru/images/detailed/168/6224627747.jpg</t>
  </si>
  <si>
    <t>K-6841</t>
  </si>
  <si>
    <t>Кольца 4T GY6 125 0,25 (Ø52,65) "SUNY" (mod.B)</t>
  </si>
  <si>
    <t>https://b2beez.ru/images/detailed/168/6224627823.jpg</t>
  </si>
  <si>
    <t>K-6842</t>
  </si>
  <si>
    <t>Кольца 4T GY6 125 0,50 (Ø52,90) "SUNY" (mod.A)</t>
  </si>
  <si>
    <t>https://b2beez.ru/images/detailed/168/6224628065.jpg</t>
  </si>
  <si>
    <t>K-6843</t>
  </si>
  <si>
    <t>Кольца 4T GY6 125 0,50 (Ø52,90) "SUNY" (mod.B)</t>
  </si>
  <si>
    <t>https://b2beez.ru/images/detailed/168/6224628067.jpg</t>
  </si>
  <si>
    <t>K-6844</t>
  </si>
  <si>
    <t>Кольца 4T GY6 125 0,75 (Ø53,15) "SUNY" (mod.A)</t>
  </si>
  <si>
    <t>https://b2beez.ru/images/detailed/168/6224627791.jpg</t>
  </si>
  <si>
    <t>K-6845</t>
  </si>
  <si>
    <t>Кольца 4T GY6 125 0,75 (Ø53,15) "SUNY" (mod.B)</t>
  </si>
  <si>
    <t>https://b2beez.ru/images/detailed/168/6224628011.jpg</t>
  </si>
  <si>
    <t>K-6846</t>
  </si>
  <si>
    <t>Кольца 4T GY6 125 1,00 (Ø53,15) "SUNY" (mod.A)</t>
  </si>
  <si>
    <t>https://b2beez.ru/images/detailed/168/6224628035.jpg</t>
  </si>
  <si>
    <t>K-6847</t>
  </si>
  <si>
    <t>Кольца 4T GY6 125 1,00 (Ø53,15) "SUNY" (mod.B)</t>
  </si>
  <si>
    <t>https://b2beez.ru/images/detailed/168/orig_xrh8-ca.jpg</t>
  </si>
  <si>
    <t>K-6848</t>
  </si>
  <si>
    <t>Кольца 4T GY6 150 .STD (Ø57,40) "SUNY" (mod.A)</t>
  </si>
  <si>
    <t>https://b2beez.ru/images/detailed/168/6300460503.jpg</t>
  </si>
  <si>
    <t>K-6854</t>
  </si>
  <si>
    <t>Кольца 4T GY6 150 0,25 (Ø57,65) "SUNY" (mod.A)</t>
  </si>
  <si>
    <t>https://b2beez.ru/images/detailed/168/6224628059.jpg</t>
  </si>
  <si>
    <t>K-6855</t>
  </si>
  <si>
    <t>Кольца 4T GY6 150 0,25 (Ø57,65) "SUNY" (mod.B)</t>
  </si>
  <si>
    <t>https://b2beez.ru/images/detailed/168/6224628081.jpg</t>
  </si>
  <si>
    <t>K-6856</t>
  </si>
  <si>
    <t>Кольца 4T GY6 150 0,50 (Ø58,00) "SUNY" (mod.A)</t>
  </si>
  <si>
    <t>https://b2beez.ru/images/detailed/168/6224628030.jpg</t>
  </si>
  <si>
    <t>K-6858</t>
  </si>
  <si>
    <t>Кольца 4T GY6 150 0,75 (Ø58,25) "SUNY" (mod.A)</t>
  </si>
  <si>
    <t>https://b2beez.ru/images/detailed/168/orig_szky-q1.jpg</t>
  </si>
  <si>
    <t>K-6859</t>
  </si>
  <si>
    <t>Кольца 4T GY6 150 0,75 (Ø58,25) "SUNY" (mod.B)</t>
  </si>
  <si>
    <t>https://b2beez.ru/images/detailed/168/6224628809.jpg</t>
  </si>
  <si>
    <t>K-6864</t>
  </si>
  <si>
    <t>Кольца 4T GY6 50 .STD (Ø39,00) "SUNY" (mod.A)</t>
  </si>
  <si>
    <t>https://b2beez.ru/images/detailed/168/6224627918.jpg</t>
  </si>
  <si>
    <t>K-6869</t>
  </si>
  <si>
    <t>Кольца 4T GY6 50 0,25 (Ø39,25) "SUNY" (mod.A)</t>
  </si>
  <si>
    <t>https://b2beez.ru/images/detailed/168/6224628000.jpg</t>
  </si>
  <si>
    <t>K-6871</t>
  </si>
  <si>
    <t>Кольца 4T GY6 60 .STD (Ø44,00) "LIPAI" (mod.A)</t>
  </si>
  <si>
    <t>https://b2beez.ru/images/detailed/168/orig_52ca-de.jpg</t>
  </si>
  <si>
    <t>K-6885</t>
  </si>
  <si>
    <t>Кольца 4T GY6 80 0,25 (Ø47,25) "SUNY" (mod.A)</t>
  </si>
  <si>
    <t>https://b2beez.ru/images/detailed/168/6224628078.jpg</t>
  </si>
  <si>
    <t>K-6886</t>
  </si>
  <si>
    <t>Кольца 4T GY6 80 0,25 (Ø47,25) "SUNY" (mod.B)</t>
  </si>
  <si>
    <t>https://b2beez.ru/images/detailed/168/6224628133.jpg</t>
  </si>
  <si>
    <t>K-6887</t>
  </si>
  <si>
    <t>Кольца 4T GY6 80 0,50 (Ø47,50) "SUNY" (mod.A)</t>
  </si>
  <si>
    <t>https://b2beez.ru/images/detailed/168/6224628164.jpg</t>
  </si>
  <si>
    <t>K-6889</t>
  </si>
  <si>
    <t>Кольца 4T GY6 80 0,75 (Ø47,75) "SUNY" (mod.A)</t>
  </si>
  <si>
    <t>https://b2beez.ru/images/detailed/168/orig_xoyl-8x.jpg</t>
  </si>
  <si>
    <t>K-6890</t>
  </si>
  <si>
    <t>Кольца 4T GY6 80 0,75 (Ø47,75) "SUNY" (mod.B)</t>
  </si>
  <si>
    <t>https://b2beez.ru/images/detailed/168/6300468426.jpg</t>
  </si>
  <si>
    <t>K-6891</t>
  </si>
  <si>
    <t>Кольца 4T GY6 80 1,00 (Ø48,00) "SUNY" (mod.A)</t>
  </si>
  <si>
    <t>https://b2beez.ru/images/detailed/168/6224628264.jpg</t>
  </si>
  <si>
    <t>K-6892</t>
  </si>
  <si>
    <t>Кольца 4T GY6 80 1,00 (Ø48,00) "SUNY" (mod.B)</t>
  </si>
  <si>
    <t>https://b2beez.ru/images/detailed/168/6321345726_u3ey-lf.jpg</t>
  </si>
  <si>
    <t>K-6923</t>
  </si>
  <si>
    <t>Кольца Alpha, Delta 70 0,25 (Ø47,25) "SUNY" (mod.B)</t>
  </si>
  <si>
    <t>https://b2beez.ru/images/detailed/168/6224628145.jpg</t>
  </si>
  <si>
    <t>K-6945</t>
  </si>
  <si>
    <t>Кольца Honda DIO 72 .STD (Ø47,00) "LIPAI" (mod.A)</t>
  </si>
  <si>
    <t>https://b2beez.ru/images/detailed/168/orig_h175-23.jpg</t>
  </si>
  <si>
    <t>K-6965</t>
  </si>
  <si>
    <t>Кольца Honda LEAD 90 .STD (Ø48,00) "SUNY" (mod.A)</t>
  </si>
  <si>
    <t>https://b2beez.ru/images/detailed/169/6229779181.jpg</t>
  </si>
  <si>
    <t>K-6967</t>
  </si>
  <si>
    <t>Кольца Honda LEAD 90 .STD (Ø48,00) "LIPAI" (mod.A)</t>
  </si>
  <si>
    <t>https://b2beez.ru/images/detailed/169/orig_xzmx-ne.jpg</t>
  </si>
  <si>
    <t>K-6975</t>
  </si>
  <si>
    <t>Кольца Honda LEAD, GYRO 50 .STD (Ø40: AF01E, AF03E, TA01E) "LIPAI" (mod.A)</t>
  </si>
  <si>
    <t>https://b2beez.ru/images/detailed/169/orig_ikhq-x6.jpg</t>
  </si>
  <si>
    <t>K-6979</t>
  </si>
  <si>
    <t>Кольца Honda PAL 50 .STD (Ø41,00 AF17) "LIPAI" (mod.A)</t>
  </si>
  <si>
    <t>https://b2beez.ru/images/detailed/169/orig_xamx-py.jpg</t>
  </si>
  <si>
    <t>K-6983</t>
  </si>
  <si>
    <t>Кольца Honda PAL 50 0,25 (Ø41,25 AF17) "SUNY" (mod.A)</t>
  </si>
  <si>
    <t>https://b2beez.ru/images/detailed/169/6224628468.jpg</t>
  </si>
  <si>
    <t>K-6985</t>
  </si>
  <si>
    <t>Кольца Honda PAL 50 0,50 (Ø41,50 AF17) "SUNY" (mod.A)</t>
  </si>
  <si>
    <t>https://b2beez.ru/images/detailed/169/6224628630.jpg</t>
  </si>
  <si>
    <t>K-6987</t>
  </si>
  <si>
    <t>Кольца Honda PAL 50 0,75 (Ø41,75 AF17) "SUNY" (mod.A)</t>
  </si>
  <si>
    <t>https://b2beez.ru/images/detailed/169/6224628618.jpg</t>
  </si>
  <si>
    <t>K-6989</t>
  </si>
  <si>
    <t>Кольца Honda PAL 50 1,00 (Ø42,00 AF17) "SUNY" (mod.A)</t>
  </si>
  <si>
    <t>https://b2beez.ru/images/detailed/169/6224628539.jpg</t>
  </si>
  <si>
    <t>K-6993</t>
  </si>
  <si>
    <t>Кольца Honda TACT 50 .STD (Ø41,00 AF16) "LIPAI" (mod.A)</t>
  </si>
  <si>
    <t>https://b2beez.ru/images/detailed/169/orig_cfdy-rx.jpg</t>
  </si>
  <si>
    <t>K-6997</t>
  </si>
  <si>
    <t>Кольца Honda TACT 50 0,25 (Ø41,25 AF16) "SUNY" (mod.A)</t>
  </si>
  <si>
    <t>https://b2beez.ru/images/detailed/169/6224628877.jpg</t>
  </si>
  <si>
    <t>K-6999</t>
  </si>
  <si>
    <t>Кольца Honda TACT 50 0,50 (Ø41,50 AF16) "SUNY" (mod.A)</t>
  </si>
  <si>
    <t>https://b2beez.ru/images/detailed/169/6224628417.jpg</t>
  </si>
  <si>
    <t>K-7001</t>
  </si>
  <si>
    <t>Кольца Honda TACT 50 0,75 (Ø41,75 AF16) "SUNY" (mod.A)</t>
  </si>
  <si>
    <t>https://b2beez.ru/images/detailed/169/6224628682.jpg</t>
  </si>
  <si>
    <t>K-7003</t>
  </si>
  <si>
    <t>Кольца Honda TACT 50 1,00 (Ø42,00 AF16) "SUNY" (mod.A)</t>
  </si>
  <si>
    <t>https://b2beez.ru/images/detailed/169/6224628626.jpg</t>
  </si>
  <si>
    <t>K-7007</t>
  </si>
  <si>
    <t>Кольца Suzuki AD 100 0,25 (Ø52,75) "SUNY" (mod.A)</t>
  </si>
  <si>
    <t>https://b2beez.ru/images/detailed/169/6224628899.jpg</t>
  </si>
  <si>
    <t>K-7009</t>
  </si>
  <si>
    <t>Кольца Suzuki AD 100 0,50 (Ø53,00) "SUNY" (mod.A)</t>
  </si>
  <si>
    <t>https://b2beez.ru/images/detailed/169/6224628727.jpg</t>
  </si>
  <si>
    <t>K-7011</t>
  </si>
  <si>
    <t>Кольца Suzuki AD 100 0,75 (Ø53,25) "SUNY" (mod.A)</t>
  </si>
  <si>
    <t>https://b2beez.ru/images/detailed/169/6224628544.jpg</t>
  </si>
  <si>
    <t>K-7013</t>
  </si>
  <si>
    <t>Кольца Suzuki AD 100 1,00 (Ø53,50) "SUNY" (mod.A)</t>
  </si>
  <si>
    <t>https://b2beez.ru/images/detailed/169/6224628598.jpg</t>
  </si>
  <si>
    <t>K-7017</t>
  </si>
  <si>
    <t>Кольца Suzuki AD 50 .STD (Ø41,00) "LIPAI" (mod.A)</t>
  </si>
  <si>
    <t>https://b2beez.ru/images/detailed/169/orig_d076-9f.jpg</t>
  </si>
  <si>
    <t>K-7021</t>
  </si>
  <si>
    <t>Кольца Suzuki AD 50 0,25 (Ø41,25) "SUNY" (mod.A)</t>
  </si>
  <si>
    <t>https://b2beez.ru/images/detailed/169/6224628781.jpg</t>
  </si>
  <si>
    <t>K-7023</t>
  </si>
  <si>
    <t>Кольца Suzuki AD 50 0,50 (Ø41,50) "SUNY" (mod.A)</t>
  </si>
  <si>
    <t>https://b2beez.ru/images/detailed/169/6224628564.jpg</t>
  </si>
  <si>
    <t>K-7027</t>
  </si>
  <si>
    <t>Кольца Suzuki LET'S 50 .STD (Ø41,00) "LIPAI" (mod.A)</t>
  </si>
  <si>
    <t>https://b2beez.ru/images/detailed/169/orig_clxp-4r.jpg</t>
  </si>
  <si>
    <t>K-7030</t>
  </si>
  <si>
    <t>Кольца Suzuki LET'S 50 0,50 (Ø41,50) "SUNY" (mod.A)</t>
  </si>
  <si>
    <t>https://b2beez.ru/images/detailed/169/6224628692.jpg</t>
  </si>
  <si>
    <t>K-7032</t>
  </si>
  <si>
    <t>Кольца Suzuki LET'S 50 0,75 (Ø41,75) "SUNY" (mod.A)</t>
  </si>
  <si>
    <t>https://b2beez.ru/images/detailed/169/6224628774.jpg</t>
  </si>
  <si>
    <t>K-7034</t>
  </si>
  <si>
    <t>Кольца Suzuki LET'S 50 0,25 (Ø41,25) "SUNY" (mod.A)</t>
  </si>
  <si>
    <t>https://b2beez.ru/images/detailed/169/6224628971.jpg</t>
  </si>
  <si>
    <t>K-7036</t>
  </si>
  <si>
    <t>Кольца Suzuki LET'S 50 1,00 (Ø42,00) "SUNY" (mod.A)</t>
  </si>
  <si>
    <t>https://b2beez.ru/images/detailed/169/6224628746.jpg</t>
  </si>
  <si>
    <t>K-7038</t>
  </si>
  <si>
    <t>Кольца Suzuki LET'S 65 .STD (Ø44,00) "LIPAI" (mod.A)</t>
  </si>
  <si>
    <t>https://b2beez.ru/images/detailed/169/orig_k0wp-sd.jpg</t>
  </si>
  <si>
    <t>K-7051</t>
  </si>
  <si>
    <t>Кольца Yamaha JOG 50 0,25 (Ø40,25, 2JA/3KJ) "SUNY" (mod.D)</t>
  </si>
  <si>
    <t>https://b2beez.ru/images/detailed/169/6224628734.jpg</t>
  </si>
  <si>
    <t>K-7054</t>
  </si>
  <si>
    <t>Кольца Yamaha JOG 50 .STD (Ø40,00, 2JA/3KJ) "SUNY" (mod.C)</t>
  </si>
  <si>
    <t>https://b2beez.ru/images/detailed/169/6224628913.jpg</t>
  </si>
  <si>
    <t>K-7056</t>
  </si>
  <si>
    <t>Кольца Yamaha JOG 50 .STD (Ø40,00, 2JA/3KJ) "LIPAI" (mod.B)</t>
  </si>
  <si>
    <t>https://b2beez.ru/images/detailed/169/orig_1lsb-1h.jpg</t>
  </si>
  <si>
    <t>K-7061</t>
  </si>
  <si>
    <t>Кольца Yamaha JOG 50 0,25 (Ø40,25, 2JA/3KJ) "SUNY" (mod.B)</t>
  </si>
  <si>
    <t>https://b2beez.ru/images/detailed/169/6224628819.jpg</t>
  </si>
  <si>
    <t>K-7064</t>
  </si>
  <si>
    <t>Кольца Yamaha JOG 50 0,75 (Ø40,75, 2JA/3KJ) "SUNY" (mod.A)</t>
  </si>
  <si>
    <t>https://b2beez.ru/images/detailed/169/6224627933.jpg</t>
  </si>
  <si>
    <t>K-7065</t>
  </si>
  <si>
    <t>Кольца Yamaha JOG 50 0,75 (Ø40,75, 2JA/3KJ) "SUNY" (mod.B)</t>
  </si>
  <si>
    <t>https://b2beez.ru/images/detailed/169/6224628749.jpg</t>
  </si>
  <si>
    <t>K-7068</t>
  </si>
  <si>
    <t>Кольца Yamaha JOG 65 .STD (Ø44 p-10, 2JA/3KJ) "LIPAI" (mod.A)</t>
  </si>
  <si>
    <t>https://b2beez.ru/images/detailed/169/orig_6roq-ij.jpg</t>
  </si>
  <si>
    <t>K-7070</t>
  </si>
  <si>
    <t>Кольца Yamaha JOG 72 .STD (Ø47,00, 2JA/3KJ) "LIPAI" (mod.A)</t>
  </si>
  <si>
    <t>https://b2beez.ru/images/detailed/169/orig_vfqi-if.jpg</t>
  </si>
  <si>
    <t>K-7074</t>
  </si>
  <si>
    <t>Кольца Yamaha JOG 50 .STD (Ø40,00, 2JA/3KJ) "SUNY" (mod.E)</t>
  </si>
  <si>
    <t>https://b2beez.ru/images/detailed/169/orig_zreq-zp.jpg</t>
  </si>
  <si>
    <t>K-7076</t>
  </si>
  <si>
    <t>Кольца Yamaha JOG 50 .STD (Ø40,00, 2JA/3KJ) "LIPAI" (mod.C)</t>
  </si>
  <si>
    <t>https://b2beez.ru/images/detailed/169/orig_aduk-vk.jpg</t>
  </si>
  <si>
    <t>K-7082</t>
  </si>
  <si>
    <t>Кольца Yamaha JOG 50 0,75 (Ø40,75, 2JA/3KJ) "SUNY" (mod.C)</t>
  </si>
  <si>
    <t>https://b2beez.ru/images/detailed/169/6224627933_lp3e-3i.jpg</t>
  </si>
  <si>
    <t>K-7085</t>
  </si>
  <si>
    <t>Кольца Yamaha JOG 65 .STD (Ø44,00, 2JA/3KJ) "SUNY" (mod.A)</t>
  </si>
  <si>
    <t>https://b2beez.ru/images/detailed/169/6224628815.jpg</t>
  </si>
  <si>
    <t>K-7086</t>
  </si>
  <si>
    <t>Кольца Yamaha JOG 65 .STD (Ø44,00, 2JA/3KJ) "LIPAI" (mod.A)</t>
  </si>
  <si>
    <t>https://b2beez.ru/images/detailed/169/orig_fljm-zu.jpg</t>
  </si>
  <si>
    <t>K-7121</t>
  </si>
  <si>
    <t>Кольца Honda DIO 50 .STD(Ø39,00) "SUNY" (mod.A)</t>
  </si>
  <si>
    <t>https://b2beez.ru/images/detailed/169/6224628327.jpg</t>
  </si>
  <si>
    <t>K-7123</t>
  </si>
  <si>
    <t>Кольца Honda DIO 50 0,25 (Ø39,25) "SUNY" (mod.A)</t>
  </si>
  <si>
    <t>https://b2beez.ru/images/detailed/169/6224628304.jpg</t>
  </si>
  <si>
    <t>K-7125</t>
  </si>
  <si>
    <t>Кольца Honda DIO 50 0,50 (Ø39,50) "SUNY" (mod.A)</t>
  </si>
  <si>
    <t>https://b2beez.ru/images/detailed/169/6224628338.jpg</t>
  </si>
  <si>
    <t>K-7128</t>
  </si>
  <si>
    <t>Кольца Honda DIO 50 0,75 (Ø39,75) "SUNY" (mod.A)</t>
  </si>
  <si>
    <t>https://b2beez.ru/images/detailed/169/6224628123.jpg</t>
  </si>
  <si>
    <t>K-73</t>
  </si>
  <si>
    <t>Кольца 4T GY6 80 0,75 (Ø47,75) "KOSO"</t>
  </si>
  <si>
    <t>https://b2beez.ru/images/detailed/169/6224627810_tu71-lj.jpg</t>
  </si>
  <si>
    <t>K-733</t>
  </si>
  <si>
    <t>Катушка зажигания (тюнинг) 4T GY6 50-150, Honda DIO (оранжевая, +насвечник) "BEEZMOTO"</t>
  </si>
  <si>
    <t>https://b2beez.ru/images/detailed/169/6545699713.jpg</t>
  </si>
  <si>
    <t>K-738</t>
  </si>
  <si>
    <t>Катушка зажигания (тюнинг) Yamaha JOG (оранжевая) "BEEZMOTO"</t>
  </si>
  <si>
    <t>https://b2beez.ru/images/detailed/169/7099752655.jpg</t>
  </si>
  <si>
    <t>K-756</t>
  </si>
  <si>
    <t>Кнопка руля (повороты) 4T GY6 50-150 (узкая) "BEEZMOTO"</t>
  </si>
  <si>
    <t>https://b2beez.ru/images/detailed/169/6242641376.jpg</t>
  </si>
  <si>
    <t>K-76</t>
  </si>
  <si>
    <t>Кольца Honda DIO 62 0,25 (Ø43,25) "KOSO"</t>
  </si>
  <si>
    <t>https://b2beez.ru/images/detailed/169/6224627748.jpg</t>
  </si>
  <si>
    <t>K-766</t>
  </si>
  <si>
    <t>Кнопки руля (набор) Honda LEAD (5шт) "BEEZMOTO"</t>
  </si>
  <si>
    <t>https://b2beez.ru/images/detailed/204/K-766-2_q7j8-6t.jpg</t>
  </si>
  <si>
    <t>K-80</t>
  </si>
  <si>
    <t>Кольца Honda DIO ZX 50 0,50 (Ø40,50) "KOSO"</t>
  </si>
  <si>
    <t>https://b2beez.ru/images/detailed/169/6224627748_kswt-60.jpg</t>
  </si>
  <si>
    <t>K-89</t>
  </si>
  <si>
    <t>Кольца Honda LEAD 90 0,25 (Ø48,25) "KOSO"</t>
  </si>
  <si>
    <t>https://b2beez.ru/images/detailed/169/6224627748_b6ht-qy.jpg</t>
  </si>
  <si>
    <t>K-94</t>
  </si>
  <si>
    <t>Кольца Honda TACT 50 0,50 (Ø41,50 AF16) "KOSO"</t>
  </si>
  <si>
    <t>https://b2beez.ru/images/detailed/169/6224627748_4dms-9v.jpg</t>
  </si>
  <si>
    <t>K-96</t>
  </si>
  <si>
    <t>Кольца Honda TACT 50 1,00 (Ø42,00 AF16) "KOSO"</t>
  </si>
  <si>
    <t>https://b2beez.ru/images/detailed/169/orig_yhqs-rp.jpg</t>
  </si>
  <si>
    <t>K-977</t>
  </si>
  <si>
    <t>Колодки тормозные (барабан) Suzuki AD100 (champion) "LAONIU"</t>
  </si>
  <si>
    <t>https://b2beez.ru/images/detailed/169/orig_ofaj-yi.jpg</t>
  </si>
  <si>
    <t>K-988</t>
  </si>
  <si>
    <t>https://b2beez.ru/images/detailed/169/6204105994.jpg</t>
  </si>
  <si>
    <t>L-294</t>
  </si>
  <si>
    <t>Лепестковый клапан 2T TB50, Suzuki RUN</t>
  </si>
  <si>
    <t>https://b2beez.ru/images/detailed/169/orig_tk20-e7.jpg</t>
  </si>
  <si>
    <t>L-56</t>
  </si>
  <si>
    <t>Лепестковый клапан Suzuki HI-UP</t>
  </si>
  <si>
    <t>https://b2beez.ru/images/detailed/169/6241082416.jpg</t>
  </si>
  <si>
    <t>L-82</t>
  </si>
  <si>
    <t>Лепестковый клапан RJ-0029</t>
  </si>
  <si>
    <t>https://b2beez.ru/images/detailed/169/6241082397.jpg</t>
  </si>
  <si>
    <t>M-25</t>
  </si>
  <si>
    <t>Маслонасос 4T GY6 50 (треугольный)</t>
  </si>
  <si>
    <t>https://b2beez.ru/images/detailed/169/6241082457.jpg</t>
  </si>
  <si>
    <t>M-339</t>
  </si>
  <si>
    <t>Звезда привода маслонасоса (на маслонасос) 4T GY6 125/150 "KOMATCU"</t>
  </si>
  <si>
    <t>https://b2beez.ru/images/detailed/169/orig_ndyz-kv.jpg</t>
  </si>
  <si>
    <t>M-351</t>
  </si>
  <si>
    <t>Маслонасос 4T GY6 50 (+звезда привода) "BEEZMOTO"</t>
  </si>
  <si>
    <t>https://b2beez.ru/images/detailed/169/orig_m1vb-hg.jpg</t>
  </si>
  <si>
    <t>M-362</t>
  </si>
  <si>
    <t>Звезда привода маслонасоса (на коленвал) 4T GY6 125/ 150 "KOMATCU"</t>
  </si>
  <si>
    <t>https://b2beez.ru/images/detailed/169/orig_ru4y-kq.jpg</t>
  </si>
  <si>
    <t>M-382</t>
  </si>
  <si>
    <t>Крышка ГТЦ (стайлинговая) (mod:1, синяя) "RIDE IT"</t>
  </si>
  <si>
    <t>https://b2beez.ru/images/detailed/169/orig_4lkp-37.jpg</t>
  </si>
  <si>
    <t>M-383</t>
  </si>
  <si>
    <t>Крышка ГТЦ (стайлинговая) (mod:1, красная)"RIDE IT"</t>
  </si>
  <si>
    <t>https://b2beez.ru/images/detailed/169/6241082500.jpg</t>
  </si>
  <si>
    <t>M-387</t>
  </si>
  <si>
    <t>Крышка ГТЦ (стайлинговая) (mod:1, серебристая) "RIDE IT"</t>
  </si>
  <si>
    <t>https://b2beez.ru/images/detailed/169/6242641440.jpg</t>
  </si>
  <si>
    <t>M-388</t>
  </si>
  <si>
    <t>Крышка ГТЦ (стайлинговая) (mod:2, синяя) "RIDE IT"</t>
  </si>
  <si>
    <t>https://b2beez.ru/images/detailed/169/6241082390.jpg</t>
  </si>
  <si>
    <t>M-390</t>
  </si>
  <si>
    <t>Крышка ГТЦ (стайлинговая) (mod:2, зеленая) "RIDE IT"</t>
  </si>
  <si>
    <t>https://b2beez.ru/images/detailed/169/6242641389.jpg</t>
  </si>
  <si>
    <t>M-391</t>
  </si>
  <si>
    <t>Крышка ГТЦ (стайлинговая) (mod:2, желтая) "RIDE IT"</t>
  </si>
  <si>
    <t>https://b2beez.ru/images/detailed/169/6241082439.jpg</t>
  </si>
  <si>
    <t>M-393</t>
  </si>
  <si>
    <t>Крышка ГТЦ (стайлинговая) (mod:2, серебристая) "RIDE IT"</t>
  </si>
  <si>
    <t>https://b2beez.ru/images/detailed/169/6241082431.jpg</t>
  </si>
  <si>
    <t>M-394</t>
  </si>
  <si>
    <t>Маслонасос 4T ARN 125/150(круглый) "KOMATCU" (Keeway, Stels)</t>
  </si>
  <si>
    <t>https://b2beez.ru/images/detailed/169/orig_ljup-bn.jpg</t>
  </si>
  <si>
    <t>M-642</t>
  </si>
  <si>
    <t>Ремкомплект машинки тормозной (ГТЦ) Honda DIO (правой) "BEEZMOTO"</t>
  </si>
  <si>
    <t>https://b2beez.ru/images/detailed/169/7175031881.jpg</t>
  </si>
  <si>
    <t>N-435</t>
  </si>
  <si>
    <t>Рычаги руля 4T GY6 150 (пара) (с креплением, +концевой выключатель) "BEEZMOTO"</t>
  </si>
  <si>
    <t>https://b2beez.ru/images/detailed/171/7180954954.jpg</t>
  </si>
  <si>
    <t>O-1082</t>
  </si>
  <si>
    <t>Патрон стопа S25 "XJB"</t>
  </si>
  <si>
    <t>https://b2beez.ru/images/detailed/171/6241082472.jpg</t>
  </si>
  <si>
    <t>O-1181</t>
  </si>
  <si>
    <t>Патрон поворота T15 (mod:2) "KOMATCU"</t>
  </si>
  <si>
    <t>https://b2beez.ru/images/detailed/171/orig_q9aj-gs.jpg</t>
  </si>
  <si>
    <t>O-1182</t>
  </si>
  <si>
    <t>Патрон поворота T15(mod:1) "KOMATCU"</t>
  </si>
  <si>
    <t>https://b2beez.ru/images/detailed/171/orig_9fp9-kp.jpg</t>
  </si>
  <si>
    <t>O-1189</t>
  </si>
  <si>
    <t>Фара (в сборе) Zongshen GRAND PRIX (габаритная) "KOMATCU"</t>
  </si>
  <si>
    <t>https://b2beez.ru/images/detailed/171/6233431312.jpg</t>
  </si>
  <si>
    <t>O-1557</t>
  </si>
  <si>
    <t>Маховик (обгонная муфта) 4T GY6 125/150 "BEEZMOTO"</t>
  </si>
  <si>
    <t>https://b2beez.ru/images/detailed/171/orig_p3ks-tc.jpg</t>
  </si>
  <si>
    <t>O-1585</t>
  </si>
  <si>
    <t>Стекло стоп-сигнала и поворотов Honda LEAD 90 "KOMATCU"</t>
  </si>
  <si>
    <t>https://b2beez.ru/images/detailed/204/O-1585-2.jpg</t>
  </si>
  <si>
    <t>O-1596</t>
  </si>
  <si>
    <t>Фара (в сборе) Yamaha JOG SA24 "BEEZMOTO"</t>
  </si>
  <si>
    <t>https://b2beez.ru/images/detailed/171/6228312573.jpg</t>
  </si>
  <si>
    <t>O-1987</t>
  </si>
  <si>
    <t>Стекло стоп-сигнала Yamaha JOG NEXT ZONE 3YK "KOMATCU"</t>
  </si>
  <si>
    <t>https://b2beez.ru/images/detailed/172/6228542526.jpg</t>
  </si>
  <si>
    <t>O-1988</t>
  </si>
  <si>
    <t>Стекло поворотов зад (пара) Honda DIO AF27/28 "KOMATCU"</t>
  </si>
  <si>
    <t>https://b2beez.ru/images/detailed/172/orig_shfi-sf.jpg</t>
  </si>
  <si>
    <t>O-1994</t>
  </si>
  <si>
    <t>Стекло поворотов перед (пара) Suzuki AD100 "KOMATCU"</t>
  </si>
  <si>
    <t>https://b2beez.ru/images/detailed/172/6229908504.jpg</t>
  </si>
  <si>
    <t>O-2007</t>
  </si>
  <si>
    <t>Стекло фары Yamaha APRIO 4JP "KOMATCU"</t>
  </si>
  <si>
    <t>https://b2beez.ru/images/detailed/172/6228542650.jpg</t>
  </si>
  <si>
    <t>O-2008</t>
  </si>
  <si>
    <t>Стекло фары Yamaha JOG ARTISTIC "KOMATCU"</t>
  </si>
  <si>
    <t>https://b2beez.ru/images/detailed/172/orig_x2ph-78.jpg</t>
  </si>
  <si>
    <t>O-2571</t>
  </si>
  <si>
    <t>Стекло стоп-сигнала Yamaha JOG SA24 "KOMATCU"</t>
  </si>
  <si>
    <t>https://b2beez.ru/images/detailed/172/7186553190.jpg</t>
  </si>
  <si>
    <t>O-704</t>
  </si>
  <si>
    <t>Шестерня кикстартера (ведомая) 4T GY6 125/150 "BEEZMOTO"</t>
  </si>
  <si>
    <t>https://b2beez.ru/images/detailed/172/orig_zh4z-ly.jpg</t>
  </si>
  <si>
    <t>O-750</t>
  </si>
  <si>
    <t>Стекло поворотов перед (пара) Suzuki LET'S 2 "KOMATCU"</t>
  </si>
  <si>
    <t>https://b2beez.ru/images/detailed/172/6229897055.jpg</t>
  </si>
  <si>
    <t>O-753</t>
  </si>
  <si>
    <t>Стекло фары Suzuki LET'S 2 "KOMATCU"</t>
  </si>
  <si>
    <t>https://b2beez.ru/images/detailed/172/6992414595.jpg</t>
  </si>
  <si>
    <t>P-1</t>
  </si>
  <si>
    <t>Палец вариатора Honda DIO AF18 (D-20mm, d-12mm, L-38mm) "DONGXIN"</t>
  </si>
  <si>
    <t>https://b2beez.ru/images/detailed/172/6241082527.jpg</t>
  </si>
  <si>
    <t>P-11</t>
  </si>
  <si>
    <t>Палец вариатора Suzuki AD100 (D-22mm, d-16mm, L-39mm)</t>
  </si>
  <si>
    <t>https://b2beez.ru/images/detailed/172/orig_15m1-ue.jpg</t>
  </si>
  <si>
    <t>P-1231</t>
  </si>
  <si>
    <t>Пружины колодок сцепления 4T GY6 50 (1000rpm, 3шт) "KOSO"</t>
  </si>
  <si>
    <t>https://b2beez.ru/images/detailed/172/orig_kbgv-bm.jpg</t>
  </si>
  <si>
    <t>P-1238</t>
  </si>
  <si>
    <t>Пружины колодок сцепления Yamaha JOG 50 (1500rpm, 3шт) "KOSO"</t>
  </si>
  <si>
    <t>https://b2beez.ru/images/detailed/172/6287756924_ks72-c5.jpg</t>
  </si>
  <si>
    <t>P-1242</t>
  </si>
  <si>
    <t>Пружины колодок сцепления Yamaha JOG 90 (1000rpm, 3шт) "KOSO"</t>
  </si>
  <si>
    <t>https://b2beez.ru/images/detailed/172/6287756928.jpg</t>
  </si>
  <si>
    <t>P-1244</t>
  </si>
  <si>
    <t>Пружины колодок сцепления Yamaha JOG 90 (1500rpm, 3шт) "KOSO"</t>
  </si>
  <si>
    <t>https://b2beez.ru/images/detailed/172/7160574106.jpg</t>
  </si>
  <si>
    <t>P-1246</t>
  </si>
  <si>
    <t>Пружины колодок сцепления Yamaha JOG 90 (2000rpm, 3шт) "KOSO"</t>
  </si>
  <si>
    <t>https://b2beez.ru/images/detailed/172/7160577827.jpg</t>
  </si>
  <si>
    <t>P-1247</t>
  </si>
  <si>
    <t>Пружины колодок сцепления Honda LEAD 90 (1000rpm, 3шт) "KOSO"</t>
  </si>
  <si>
    <t>https://b2beez.ru/images/detailed/172/6228734362_k7g8-jj.jpg</t>
  </si>
  <si>
    <t>P-1249</t>
  </si>
  <si>
    <t>Пружины колодок сцепления Honda LEAD 90 (2000rpm, 3шт) "KOSO"</t>
  </si>
  <si>
    <t>https://b2beez.ru/images/detailed/172/6228734362_zhet-ht.jpg</t>
  </si>
  <si>
    <t>P-13</t>
  </si>
  <si>
    <t>Палец вариатора 4T GY6 125 (D-24mm, d-15mm, L-51mm) "KOMATCU"</t>
  </si>
  <si>
    <t>https://b2beez.ru/images/detailed/172/orig_zput-8c.jpg</t>
  </si>
  <si>
    <t>P-135</t>
  </si>
  <si>
    <t>Поршень 2T TB 50, Suzuki RUN 0,75 (Ø41,75 p-10) "TNT"</t>
  </si>
  <si>
    <t>https://b2beez.ru/images/detailed/172/6224689251.jpg</t>
  </si>
  <si>
    <t>P-1496</t>
  </si>
  <si>
    <t>Сальники (набор) 2T TB50, Suzuki RUN 5шт(полный комплект) "HND"</t>
  </si>
  <si>
    <t>https://b2beez.ru/images/detailed/172/6228542550.jpg</t>
  </si>
  <si>
    <t>P-165</t>
  </si>
  <si>
    <t>Поршень 4T GY6 125 .STD (Ø52,40) "RED"</t>
  </si>
  <si>
    <t>https://b2beez.ru/images/detailed/205/1_1pr6-oj.jpg</t>
  </si>
  <si>
    <t>P-1736</t>
  </si>
  <si>
    <t>Привод спидометра (редуктор) Honda DIO AF28/35 (дисковый тормоз) "JOMTHAI"</t>
  </si>
  <si>
    <t>https://b2beez.ru/images/detailed/173/orig_g2sh-a2.jpg</t>
  </si>
  <si>
    <t>P-1778</t>
  </si>
  <si>
    <t>Сальник коленвала Honda DIO AF56 (19*32*7) "BEEZMOTO"</t>
  </si>
  <si>
    <t>https://b2beez.ru/images/detailed/173/7171395058.jpg</t>
  </si>
  <si>
    <t>P-1784</t>
  </si>
  <si>
    <t>Сальник коленвала 2T TB50, Suzuki RUN (26*42*8) "HND"</t>
  </si>
  <si>
    <t>https://b2beez.ru/images/detailed/173/6228542505.jpg</t>
  </si>
  <si>
    <t>P-1785</t>
  </si>
  <si>
    <t>Сальник коленвала 2T TB50, Suzuki RUN (17*29*8) "HND"</t>
  </si>
  <si>
    <t>https://b2beez.ru/images/detailed/173/6228542183.jpg</t>
  </si>
  <si>
    <t>P-1798</t>
  </si>
  <si>
    <t>Сальник вилки Yamaha BWS (30*40,5*10,5) "BEEZMOTO"</t>
  </si>
  <si>
    <t>https://b2beez.ru/images/detailed/173/7171628677.jpg</t>
  </si>
  <si>
    <t>P-1799</t>
  </si>
  <si>
    <t>Сальник вилки Active, Yamaha JOG 50 (26*37*10,5) "BEEZMOTO"</t>
  </si>
  <si>
    <t>https://b2beez.ru/images/detailed/173/orig_kcbh-3r.jpg</t>
  </si>
  <si>
    <t>P-1801</t>
  </si>
  <si>
    <t>Сальник вилки Zongshen F50 (31*43*10,3) "BEEZMOTO"</t>
  </si>
  <si>
    <t>https://b2beez.ru/images/detailed/173/7171627701.jpg</t>
  </si>
  <si>
    <t>P-1804</t>
  </si>
  <si>
    <t>Сальник вилки Zongshen WIND (26*37*10,5) "HND"</t>
  </si>
  <si>
    <t>https://b2beez.ru/images/detailed/173/6228542292.jpg</t>
  </si>
  <si>
    <t>P-1860</t>
  </si>
  <si>
    <t>Кожух генератора 4T GY6 50 "SUNY"</t>
  </si>
  <si>
    <t>https://b2beez.ru/images/detailed/173/orig_kk2b-r5.jpg</t>
  </si>
  <si>
    <t>P-1863</t>
  </si>
  <si>
    <t>Прокладки двигателя (набор) 4T GY6 180 (Ø62,00mm, L-455mm) "BEEZMOTO"</t>
  </si>
  <si>
    <t>https://b2beez.ru/images/detailed/173/orig_iknw-ns.jpg</t>
  </si>
  <si>
    <t>P-1872</t>
  </si>
  <si>
    <t>Прокладки двигателя (набор) 4T GY6 50 (Ø39mm, L-400mm) "SHANGZHI" (mod:A)</t>
  </si>
  <si>
    <t>https://b2beez.ru/images/detailed/173/6224782402.jpg</t>
  </si>
  <si>
    <t>P-1875</t>
  </si>
  <si>
    <t>Прокладки двигателя (набор) 4T GY6 50 (Ø39mm, L-430mm) "SHANGZHI" (mod:A)</t>
  </si>
  <si>
    <t>https://b2beez.ru/images/detailed/173/6224782426.jpg</t>
  </si>
  <si>
    <t>P-1881</t>
  </si>
  <si>
    <t>Прокладки двигателя (набор) 4T GY6 60 (Ø44mm, L-400mm) "SHANGZHI" (mod:A)</t>
  </si>
  <si>
    <t>https://b2beez.ru/images/detailed/173/6224782092.jpg</t>
  </si>
  <si>
    <t>P-1887</t>
  </si>
  <si>
    <t>Прокладки двигателя (набор) 4T GY6 60 (Ø44mm, L-460mm) "SHANGZHI" (mod:A)</t>
  </si>
  <si>
    <t>https://b2beez.ru/images/detailed/173/6224782094.jpg</t>
  </si>
  <si>
    <t>P-189</t>
  </si>
  <si>
    <t>Поршень 4T GY6 150 0,50 (Ø57,90) "TNT"</t>
  </si>
  <si>
    <t>https://b2beez.ru/images/detailed/173/6224689344.jpg</t>
  </si>
  <si>
    <t>P-1896</t>
  </si>
  <si>
    <t>Прокладки двигателя (набор) 4T GY6 80 (Ø47mm, L-460mm) "SHANGZHI" (mod:A)</t>
  </si>
  <si>
    <t>https://b2beez.ru/images/detailed/173/6224782012.jpg</t>
  </si>
  <si>
    <t>P-1908</t>
  </si>
  <si>
    <t>Прокладки двигателя (набор) 2T TB60, Suzuki RUN Ø43mm "SHANGZHI" (mod:A)</t>
  </si>
  <si>
    <t>https://b2beez.ru/images/detailed/173/orig_tmr4-7w.jpg</t>
  </si>
  <si>
    <t>P-1932</t>
  </si>
  <si>
    <t>Прокладки двигателя (набор) Yamaha JOG 2JA Ø40mm (mod:A) "SHANGZHI"</t>
  </si>
  <si>
    <t>https://b2beez.ru/images/detailed/173/6226082751.jpg</t>
  </si>
  <si>
    <t>P-1953</t>
  </si>
  <si>
    <t>Прокладки цилиндра (набор) 4T GY6 180 Ø62mm (mod:A) "SHANGZHI"</t>
  </si>
  <si>
    <t>https://b2beez.ru/images/detailed/173/6226082532.jpg</t>
  </si>
  <si>
    <t>P-1955</t>
  </si>
  <si>
    <t>Прокладки цилиндра (набор) 4T GY6 180 Ø62mm (mod:C) "MAX GASKETS"</t>
  </si>
  <si>
    <t>https://b2beez.ru/images/detailed/173/6226082531.jpg</t>
  </si>
  <si>
    <t>P-1960</t>
  </si>
  <si>
    <t>Прокладки цилиндра (набор) 4T GY6 125 Ø52,50mm (mod:A) "SHANGZHI"</t>
  </si>
  <si>
    <t>https://b2beez.ru/images/detailed/173/6224782312.jpg</t>
  </si>
  <si>
    <t>P-1962</t>
  </si>
  <si>
    <t>Прокладки цилиндра (набор) 4T GY6 125 Ø52,50mm (mod:C) "MAX GASKETS"</t>
  </si>
  <si>
    <t>https://b2beez.ru/images/detailed/173/6224782430.jpg</t>
  </si>
  <si>
    <t>P-1965</t>
  </si>
  <si>
    <t>Прокладки цилиндра (набор) 4T GY6 60 Ø44mm (mod:A) "SHANGZHI"</t>
  </si>
  <si>
    <t>https://b2beez.ru/images/detailed/173/6224781985.jpg</t>
  </si>
  <si>
    <t>P-1967</t>
  </si>
  <si>
    <t>Прокладки цилиндра (набор) 4T GY6 60 Ø44mm (mod:C) "MAX GASKETS"</t>
  </si>
  <si>
    <t>https://b2beez.ru/images/detailed/173/6224781897.jpg</t>
  </si>
  <si>
    <t>P-2004</t>
  </si>
  <si>
    <t>Прокладки цилиндра (набор) Suzuki AD50 Ø44mm "KOMATCU"</t>
  </si>
  <si>
    <t>https://b2beez.ru/images/detailed/173/orig_71tz-ue.jpg</t>
  </si>
  <si>
    <t>P-2005</t>
  </si>
  <si>
    <t>Прокладки цилиндра (набор) Suzuki AD50 Ø44mm "MAX GASKETS" (mod:C)</t>
  </si>
  <si>
    <t>https://b2beez.ru/images/detailed/173/6226082728.jpg</t>
  </si>
  <si>
    <t>P-2008</t>
  </si>
  <si>
    <t>Прокладки цилиндра (набор) Suzuki AD50 Ø47mm "MAX GASKETS" (mod:C)</t>
  </si>
  <si>
    <t>https://b2beez.ru/images/detailed/173/6224781953.jpg</t>
  </si>
  <si>
    <t>P-2010</t>
  </si>
  <si>
    <t>Прокладки цилиндра (набор) Yamaha JOG 2JA Ø40mm "SHANGZHI" (mod:A)</t>
  </si>
  <si>
    <t>https://b2beez.ru/images/detailed/173/6224782313.jpg</t>
  </si>
  <si>
    <t>P-2012</t>
  </si>
  <si>
    <t>Прокладки цилиндра (набор) Yamaha JOG 2JA Ø40mm "MAX GASKETS" (mod:C)</t>
  </si>
  <si>
    <t>https://b2beez.ru/images/detailed/173/6226082681.jpg</t>
  </si>
  <si>
    <t>P-2022</t>
  </si>
  <si>
    <t>Прокладки цилиндра (набор) Yamaha JOG 3KJ Ø44mm "BEEZMOTO"</t>
  </si>
  <si>
    <t>https://b2beez.ru/images/detailed/173/orig_eiak-oy.jpg</t>
  </si>
  <si>
    <t>P-2045</t>
  </si>
  <si>
    <t>Прокладки цилиндра (набор) Yamaha JOG 3WF Ø50mm "MAX GASKETS" (mod:C)</t>
  </si>
  <si>
    <t>https://b2beez.ru/images/detailed/173/6224782005.jpg</t>
  </si>
  <si>
    <t>P-2048</t>
  </si>
  <si>
    <t>Прокладки цилиндра (набор) Honda TACT AF16 Ø41mm (mod:C) "MAX GASKETS"</t>
  </si>
  <si>
    <t>https://b2beez.ru/images/detailed/173/6224782122.jpg</t>
  </si>
  <si>
    <t>P-2066</t>
  </si>
  <si>
    <t>Звезда привода ГРМ (на коленвал) 4T GY6 125/150 "KOMATCU"</t>
  </si>
  <si>
    <t>https://b2beez.ru/images/detailed/173/orig_0qjx-43.jpg</t>
  </si>
  <si>
    <t>P-210</t>
  </si>
  <si>
    <t>Поршень 4T GY6 50 1,00 (Ø40,00) "TNT"</t>
  </si>
  <si>
    <t>https://b2beez.ru/images/detailed/173/orig_9gxx-r4.jpg</t>
  </si>
  <si>
    <t>P-215</t>
  </si>
  <si>
    <t>Поршень 4T GY6 60 0,25 (Ø44,25)</t>
  </si>
  <si>
    <t>https://b2beez.ru/images/detailed/173/6224689402.jpg</t>
  </si>
  <si>
    <t>P-2765</t>
  </si>
  <si>
    <t>Сальники вилки Honda DIO AF28/34/56 (27*39*10,5 x 2шт) "BEEZMOTO"</t>
  </si>
  <si>
    <t>https://b2beez.ru/images/detailed/173/orig_rd6o-f6.jpg</t>
  </si>
  <si>
    <t>P-2766</t>
  </si>
  <si>
    <t>Сальник вилки Zongshen WIND (26*37*10,5) (на блистере 10шт) "MPG"</t>
  </si>
  <si>
    <t>https://b2beez.ru/images/detailed/173/6228542079.jpg</t>
  </si>
  <si>
    <t>P-2783</t>
  </si>
  <si>
    <t>Сальник вилки Zongshen VICTORY (30*40,5*10,5) "MPG"</t>
  </si>
  <si>
    <t>https://b2beez.ru/images/detailed/173/6228542138.jpg</t>
  </si>
  <si>
    <t>P-2899</t>
  </si>
  <si>
    <t>Прокладка глушителя 4T GY6 50-150 (треугольная, колено - резонатор) "KOMATCU"</t>
  </si>
  <si>
    <t>https://b2beez.ru/images/detailed/173/6224782344.jpg</t>
  </si>
  <si>
    <t>P-2951</t>
  </si>
  <si>
    <t>Поршень 4T ARN 125 .STD (Ø52,40 p-15) (Keeway, Stels) "PREMIUM D&amp;K"</t>
  </si>
  <si>
    <t>https://b2beez.ru/images/detailed/173/6224689482.jpg</t>
  </si>
  <si>
    <t>P-3000</t>
  </si>
  <si>
    <t>Цепь ГРМ 154FMI Alpha, Delta 125 (25H-98L) "BEEZMOTO"</t>
  </si>
  <si>
    <t>https://b2beez.ru/images/detailed/173/orig_2wcf-lh.jpg</t>
  </si>
  <si>
    <t>P-3017</t>
  </si>
  <si>
    <t>Поршень Suzuki VECSTAR AN150 0,75 (Ø58,25) "JIN"</t>
  </si>
  <si>
    <t>https://b2beez.ru/images/detailed/173/6224689680_zxbz-69.jpg</t>
  </si>
  <si>
    <t>P-3128</t>
  </si>
  <si>
    <t>Накладка крышки генератора Yamaha (красная) "GJCT"</t>
  </si>
  <si>
    <t>https://b2beez.ru/images/detailed/173/6241082531.jpg</t>
  </si>
  <si>
    <t>P-3351</t>
  </si>
  <si>
    <t>Пружина торкдрайвера Yamaha JOG (1500RPM) "DLH"</t>
  </si>
  <si>
    <t>https://b2beez.ru/images/detailed/173/7160326464.jpg</t>
  </si>
  <si>
    <t>P-3371</t>
  </si>
  <si>
    <t>Пружина торкдрайвера 4T GY6 50 (2500RPM) "DLH"</t>
  </si>
  <si>
    <t>https://b2beez.ru/images/detailed/173/6228734397_96b9-j6.jpg</t>
  </si>
  <si>
    <t>Пластик Honda DIO AF27/28 нижний (лыжи) (черный)</t>
  </si>
  <si>
    <t>https://b2beez.ru/images/detailed/48/orig_o53x-a8.jpg</t>
  </si>
  <si>
    <t>P-3499</t>
  </si>
  <si>
    <t>Пластик Honda DIO AF34/35 задняя боковая пара "KOMATCU"</t>
  </si>
  <si>
    <t>https://b2beez.ru/images/detailed/173/orig_p596-uf.jpg</t>
  </si>
  <si>
    <t>P-3772</t>
  </si>
  <si>
    <t>Рамка под номер на скутер (mod:WL-0179) "KML"</t>
  </si>
  <si>
    <t>https://b2beez.ru/images/detailed/173/orig_drq5-jv.jpg</t>
  </si>
  <si>
    <t>P-3788</t>
  </si>
  <si>
    <t>Пластик Honda DIO AF34/35 обдува карбюратора "KOMATCU"</t>
  </si>
  <si>
    <t>https://b2beez.ru/images/detailed/173/6608206327.jpg</t>
  </si>
  <si>
    <t>P-3792</t>
  </si>
  <si>
    <t>Накладка крышки генератора Yamaha (синяя) "GJCT"</t>
  </si>
  <si>
    <t>https://b2beez.ru/images/detailed/173/6241082515.jpg</t>
  </si>
  <si>
    <t>P-410</t>
  </si>
  <si>
    <t>Поршень Suzuki AD 100 0,75 (Ø53,25 p-12) "TNT"</t>
  </si>
  <si>
    <t>https://b2beez.ru/images/detailed/173/6224689479_9r16-ch.jpg</t>
  </si>
  <si>
    <t>P-4458</t>
  </si>
  <si>
    <t>Сальники (набор) 4T GY6 50 4шт (17*30*7, 19.8*30*5, 20*32*6, 27*42*7) "KOMATCU"</t>
  </si>
  <si>
    <t>https://b2beez.ru/images/detailed/173/6228542076.jpg</t>
  </si>
  <si>
    <t>P-4501</t>
  </si>
  <si>
    <t>Прокладки двигателя (набор) 4T GY6 80 (Ø47mm, L-460mm) "DJ" (mod:A)</t>
  </si>
  <si>
    <t>https://b2beez.ru/images/detailed/173/orig_n6iz-g0.jpg</t>
  </si>
  <si>
    <t>P-4516</t>
  </si>
  <si>
    <t>Накладка крышки генератора диодная (желтая) "GJCT"</t>
  </si>
  <si>
    <t>https://b2beez.ru/images/detailed/173/6241082483.jpg</t>
  </si>
  <si>
    <t>P-4610</t>
  </si>
  <si>
    <t>Прокладки двигателя (набор) Yamaha JOG 2JA Ø40mm "DJ"</t>
  </si>
  <si>
    <t>https://b2beez.ru/images/detailed/174/6224781866.jpg</t>
  </si>
  <si>
    <t>P-4613</t>
  </si>
  <si>
    <t>Прокладки двигателя (набор) Yamaha JOG 3WF 90 Ø50mm "BEEZMOTO"</t>
  </si>
  <si>
    <t>https://b2beez.ru/images/detailed/174/orig_h4hm-j8.jpg</t>
  </si>
  <si>
    <t>P-4615</t>
  </si>
  <si>
    <t>Прокладки цилиндра (набор) 4T GY6 180 Ø62mm "DJ"</t>
  </si>
  <si>
    <t>https://b2beez.ru/images/detailed/174/6224782343.jpg</t>
  </si>
  <si>
    <t>P-4637</t>
  </si>
  <si>
    <t>https://b2beez.ru/images/detailed/174/6725171213.jpg</t>
  </si>
  <si>
    <t>P-4643</t>
  </si>
  <si>
    <t>Прокладки цилиндра (набор) Yamaha JOG 3WF 90 Ø50mm "DJ"</t>
  </si>
  <si>
    <t>https://b2beez.ru/images/detailed/174/orig_pzfn-4d.jpg</t>
  </si>
  <si>
    <t>P-4645</t>
  </si>
  <si>
    <t>Прокладки цилиндра (набор) Honda TACT AF16 Ø44mm "DJ"</t>
  </si>
  <si>
    <t>https://b2beez.ru/images/detailed/174/6224782278.jpg</t>
  </si>
  <si>
    <t>P-4646</t>
  </si>
  <si>
    <t>Прокладки цилиндра (набор) Honda TACT AF16 Ø47mm "DJ"</t>
  </si>
  <si>
    <t>https://b2beez.ru/images/detailed/174/orig_cpje-7u.jpg</t>
  </si>
  <si>
    <t>P-5054</t>
  </si>
  <si>
    <t>Сальники (набор) 4T GY6 125/150 2шт коленвальные (19.8*30*5 х2) "HND"</t>
  </si>
  <si>
    <t>https://b2beez.ru/images/detailed/174/orig_rakd-iv.jpg</t>
  </si>
  <si>
    <t>P-5055</t>
  </si>
  <si>
    <t>Сальник коленвала Honda DIO AF27, AF34 (20*31*7) x 5шт "BEEZMOTO"</t>
  </si>
  <si>
    <t>https://b2beez.ru/images/detailed/174/6653086236.jpg</t>
  </si>
  <si>
    <t>P-5199</t>
  </si>
  <si>
    <t>Прокладки двигателя (набор) 4T GY6 150 (Ø57,40mm, L-410mm) "BEEZMOTO"</t>
  </si>
  <si>
    <t>https://b2beez.ru/images/detailed/174/orig_panq-cs.jpg</t>
  </si>
  <si>
    <t>P-5200</t>
  </si>
  <si>
    <t>Прокладки двигателя (набор) 4T GY6 100 (Ø50mm, L-400mm) "SHANGZHI" (mod:A)</t>
  </si>
  <si>
    <t>https://b2beez.ru/images/detailed/174/6224781864.jpg</t>
  </si>
  <si>
    <t>P-5227</t>
  </si>
  <si>
    <t>Прокладки двигателя (набор) Yamaha JOG 3KJ Ø40mm "BEEZMOTO"</t>
  </si>
  <si>
    <t>https://b2beez.ru/images/detailed/174/orig_li7w-sk.jpg</t>
  </si>
  <si>
    <t>P-5336</t>
  </si>
  <si>
    <t>Пластик Suzuki LET'S 3 (бабочка) передний (клюв) (черный) "KOMATCU"</t>
  </si>
  <si>
    <t>https://b2beez.ru/images/detailed/174/6741820783.jpg</t>
  </si>
  <si>
    <t>P-5357</t>
  </si>
  <si>
    <t>Стекло поворотов зад (пара) Honda DIO AF18/25 "KOMATCU"</t>
  </si>
  <si>
    <t>https://b2beez.ru/images/detailed/204/P-5357-2.jpg</t>
  </si>
  <si>
    <t>P-5359</t>
  </si>
  <si>
    <t>Стекло поворотов зад (пара) Honda LEAD 100/AF48 "KOMATCU"</t>
  </si>
  <si>
    <t>https://b2beez.ru/images/detailed/174/7186650645.jpg</t>
  </si>
  <si>
    <t>P-5365</t>
  </si>
  <si>
    <t>Стекло стоп-сигнала Honda DIO AF27/28 "KOMATCU"</t>
  </si>
  <si>
    <t>https://b2beez.ru/images/detailed/174/orig_yp38-bn.jpg</t>
  </si>
  <si>
    <t>P-5366</t>
  </si>
  <si>
    <t>Стекло стоп-сигнала Honda DIO AF18/25 "KOMATCU"</t>
  </si>
  <si>
    <t>https://b2beez.ru/images/detailed/174/6228542355.jpg</t>
  </si>
  <si>
    <t>P-5367</t>
  </si>
  <si>
    <t>Стекло стоп-сигнала Honda DIO AF34/35 "KOMATCU"</t>
  </si>
  <si>
    <t>https://b2beez.ru/images/detailed/174/orig_3vb1-4z.jpg</t>
  </si>
  <si>
    <t>P-5368</t>
  </si>
  <si>
    <t>Стекло стоп-сигнала Honda DIO AF56/57 "KOMATCU"</t>
  </si>
  <si>
    <t>https://b2beez.ru/images/detailed/174/6228542265.jpg</t>
  </si>
  <si>
    <t>P-5370</t>
  </si>
  <si>
    <t>Стекло стоп-сигнала Honda LEAD 100/AF48 "KOMATCU"</t>
  </si>
  <si>
    <t>https://b2beez.ru/images/detailed/174/6228542564.jpg</t>
  </si>
  <si>
    <t>P-5374</t>
  </si>
  <si>
    <t>Стекло стоп-сигнала Suzuki ADDRESS "KOMATCU"</t>
  </si>
  <si>
    <t>https://b2beez.ru/images/detailed/174/orig_adoi-dj.jpg</t>
  </si>
  <si>
    <t>P-5379</t>
  </si>
  <si>
    <t>Стекло стоп-сигнала Yamaha JOG ZR "KOMATCU"</t>
  </si>
  <si>
    <t>https://b2beez.ru/images/detailed/174/7093672178.jpg</t>
  </si>
  <si>
    <t>P-5381</t>
  </si>
  <si>
    <t>Стекло стоп-сигнала и поворотов Honda TACT AF24 "KOMATCU"</t>
  </si>
  <si>
    <t>https://b2beez.ru/images/detailed/174/orig_n81v-hl.jpg</t>
  </si>
  <si>
    <t>P-5384</t>
  </si>
  <si>
    <t>Стекло фары Honda DIO AF18/25 "KOMATCU"</t>
  </si>
  <si>
    <t>https://b2beez.ru/images/detailed/174/orig_798q-sy.jpg</t>
  </si>
  <si>
    <t>P-5424</t>
  </si>
  <si>
    <t>Рамка под номер на скутер (зеленая) "YMH"</t>
  </si>
  <si>
    <t>https://b2beez.ru/images/detailed/174/orig_yzxr-pr.jpg</t>
  </si>
  <si>
    <t>P-5425</t>
  </si>
  <si>
    <t>Рамка под номер на скутер (оранжевая) "YMH" (mod.A)</t>
  </si>
  <si>
    <t>https://b2beez.ru/images/detailed/174/6228734497.jpg</t>
  </si>
  <si>
    <t>P-5536</t>
  </si>
  <si>
    <t>Поршень Suzuki AD 50 0,50 (Ø41,50) оригинал Taiwan "SEE"</t>
  </si>
  <si>
    <t>https://b2beez.ru/images/detailed/174/orig_3t9u-gz.jpg</t>
  </si>
  <si>
    <t>P-5539</t>
  </si>
  <si>
    <t>Поршень Suzuki AD 65 0,50 (Ø44,50) оригинал Taiwan "SEE"</t>
  </si>
  <si>
    <t>https://b2beez.ru/images/detailed/174/6224689679_1i6y-f3.jpg</t>
  </si>
  <si>
    <t>P-5546</t>
  </si>
  <si>
    <t>Поршень Suzuki AD 100 0,50 (Ø53, p-12) оригинал Taiwan "SEE"</t>
  </si>
  <si>
    <t>https://b2beez.ru/images/detailed/174/6224689504.jpg</t>
  </si>
  <si>
    <t>P-5624</t>
  </si>
  <si>
    <t>Поршень 4T GY6 150 0,50 (Ø57,90) оригинал Taiwan "SEE"</t>
  </si>
  <si>
    <t>https://b2beez.ru/images/detailed/174/orig_flza-3b.jpg</t>
  </si>
  <si>
    <t>P-5642</t>
  </si>
  <si>
    <t>Поршень 2T Stels 65 0,50 (Ø44,50 p-12) оригинал Taiwan "SEE"</t>
  </si>
  <si>
    <t>https://b2beez.ru/images/detailed/204/1_2sy4-7d.jpg</t>
  </si>
  <si>
    <t>P-5678</t>
  </si>
  <si>
    <t>Поршень Honda PAL 50 0,75 (Ø41,75 AF17) оригинал Taiwan "SEE"</t>
  </si>
  <si>
    <t>https://b2beez.ru/images/detailed/174/6224689452_4z59-5j.jpg</t>
  </si>
  <si>
    <t>P-5680</t>
  </si>
  <si>
    <t>Поршень Honda DJ1 50 0,75 (Ø41,75 p-10 AF12) оригинал Taiwan "SEE"</t>
  </si>
  <si>
    <t>https://b2beez.ru/images/detailed/174/6224689452_u8xh-me.jpg</t>
  </si>
  <si>
    <t>P-5683</t>
  </si>
  <si>
    <t>Поршень Honda LEAD, GYRO 50 1,00 (Ø41,00: AF01E, AF03E, TA01E) оригинал Taiwan "SEE"</t>
  </si>
  <si>
    <t>https://b2beez.ru/images/detailed/174/6224689554_mx0p-qt.jpg</t>
  </si>
  <si>
    <t>P-5686</t>
  </si>
  <si>
    <t>Поршень Honda LEAD 100 0,75 (Ø51,75) оригинал Taiwan "SEE"</t>
  </si>
  <si>
    <t>https://b2beez.ru/images/detailed/174/6224689499.jpg</t>
  </si>
  <si>
    <t>P-5687</t>
  </si>
  <si>
    <t>Поршень Honda LEAD 100 1,00 (Ø52,00) оригинал Taiwan "SEE"</t>
  </si>
  <si>
    <t>https://b2beez.ru/images/detailed/174/orig_p6o8-2o.jpg</t>
  </si>
  <si>
    <t>P-5688</t>
  </si>
  <si>
    <t>Поршень Suzuki AD 50 0,75 (Ø41,75) оригинал Taiwan "SEE"</t>
  </si>
  <si>
    <t>https://b2beez.ru/images/detailed/174/orig_ymz5-37.jpg</t>
  </si>
  <si>
    <t>P-5689</t>
  </si>
  <si>
    <t>Поршень Suzuki AD 50 1,00 (Ø42,00) оригинал Taiwan "SEE"</t>
  </si>
  <si>
    <t>https://b2beez.ru/images/detailed/174/orig_7zbu-ap.jpg</t>
  </si>
  <si>
    <t>P-5690</t>
  </si>
  <si>
    <t>Поршень Suzuki AD 65 0,75 (Ø44,75) оригинал Taiwan "SEE"</t>
  </si>
  <si>
    <t>https://b2beez.ru/images/detailed/174/6224689779.jpg</t>
  </si>
  <si>
    <t>P-5691</t>
  </si>
  <si>
    <t>Поршень Suzuki AD 65 1,00 (Ø45,00) оригинал Taiwan "SEE"</t>
  </si>
  <si>
    <t>https://b2beez.ru/images/detailed/174/6224689686.jpg</t>
  </si>
  <si>
    <t>P-5694</t>
  </si>
  <si>
    <t>Поршень Suzuki AD 100 0,75 (Ø53,25, p-12) оригинал Taiwan "SEE"</t>
  </si>
  <si>
    <t>https://b2beez.ru/images/detailed/174/6224689507_0ki8-p0.jpg</t>
  </si>
  <si>
    <t>P-5695</t>
  </si>
  <si>
    <t>Поршень Suzuki AD 100 1,00 (Ø53,50, p-12) оригинал Taiwan "SEE"</t>
  </si>
  <si>
    <t>https://b2beez.ru/images/detailed/174/6224689550.jpg</t>
  </si>
  <si>
    <t>P-5706</t>
  </si>
  <si>
    <t>Поршень Yamaha JOG 50 0,75 (Ø40,75 p-10, 2JA/3KJ) оригинал Taiwan "SEE" (mod.A)</t>
  </si>
  <si>
    <t>https://b2beez.ru/images/detailed/174/6224689953.jpg</t>
  </si>
  <si>
    <t>P-5711</t>
  </si>
  <si>
    <t>Поршень Yamaha JOG 72 1,00 (Ø48,00 p-10, 2JA/3KJ) оригинал Taiwan "SEE" (mod.B)</t>
  </si>
  <si>
    <t>https://b2beez.ru/images/detailed/174/6224689865.jpg</t>
  </si>
  <si>
    <t>P-5712</t>
  </si>
  <si>
    <t>Поршень Yamaha JOG 50 0,75 (Ø40,75 p-10, 2JA/3KJ) оригинал Taiwan "SEE" (mod.B)</t>
  </si>
  <si>
    <t>https://b2beez.ru/images/detailed/174/6224689614_9vm1-xb.jpg</t>
  </si>
  <si>
    <t>P-5713</t>
  </si>
  <si>
    <t>Поршень Yamaha JOG 50 1,00 (Ø41,00 p-10, 2JA/3KJ) оригинал Taiwan "SEE" (mod.C)</t>
  </si>
  <si>
    <t>https://b2beez.ru/images/detailed/174/6224689703.jpg</t>
  </si>
  <si>
    <t>P-5718</t>
  </si>
  <si>
    <t>Поршень Yamaha JOG 50 0,75 (Ø40,75 p-10, 2JA/3KJ) оригинал Taiwan "SEE" (mod.C)</t>
  </si>
  <si>
    <t>https://b2beez.ru/images/detailed/174/6224689743_754j-uk.jpg</t>
  </si>
  <si>
    <t>P-5719</t>
  </si>
  <si>
    <t>Поршень Yamaha JOG 50 1,00 (Ø41,00 p-10, 2JA/3KJ) оригинал Taiwan "SEE" (mod.B)</t>
  </si>
  <si>
    <t>https://b2beez.ru/images/detailed/174/6224689996.jpg</t>
  </si>
  <si>
    <t>P-5720</t>
  </si>
  <si>
    <t>Поршень Yamaha JOG 3WF 90 0,75 (Ø50,75 p-12) оригинал Taiwan "SEE"</t>
  </si>
  <si>
    <t>https://b2beez.ru/images/detailed/174/6224689627.jpg</t>
  </si>
  <si>
    <t>P-5726</t>
  </si>
  <si>
    <t>Поршень 2T Stels 65 0,75 (Ø44,75 p-12) оригинал Taiwan "SEE"</t>
  </si>
  <si>
    <t>https://b2beez.ru/images/detailed/174/6224689366.jpg</t>
  </si>
  <si>
    <t>P-6317</t>
  </si>
  <si>
    <t>Накладка крышки генератора диодная (желтая) "KOMATCU" (mod.A)</t>
  </si>
  <si>
    <t>https://b2beez.ru/images/detailed/174/orig_popf-ft.jpg</t>
  </si>
  <si>
    <t>P-6322</t>
  </si>
  <si>
    <t>Рамка под номер на скутер (mod:WL, RGB) "KML"</t>
  </si>
  <si>
    <t>https://b2beez.ru/images/detailed/174/7137659891.jpg</t>
  </si>
  <si>
    <t>P-6323</t>
  </si>
  <si>
    <t>Рамка под номер на скутер (белая) "YMH"</t>
  </si>
  <si>
    <t>https://b2beez.ru/images/detailed/174/orig_pdmo-zi.jpg</t>
  </si>
  <si>
    <t>P-6324</t>
  </si>
  <si>
    <t>Рамка под номер на скутер (оранжевая) "YMH"</t>
  </si>
  <si>
    <t>https://b2beez.ru/images/detailed/174/orig_lt24-9y.jpg</t>
  </si>
  <si>
    <t>P-6348</t>
  </si>
  <si>
    <t>Прокладки двигателя (набор) 4T GY6 100 (Ø50mm, L-430mm) "KOMATCU" (mod.A)</t>
  </si>
  <si>
    <t>https://b2beez.ru/images/detailed/174/6224782038.jpg</t>
  </si>
  <si>
    <t>P-6366</t>
  </si>
  <si>
    <t>Прокладки двигателя (набор) Honda TACT AF16 Ø41mm "KOMATCU"</t>
  </si>
  <si>
    <t>https://b2beez.ru/images/detailed/174/orig_wg0d-t0.jpg</t>
  </si>
  <si>
    <t>P-6434</t>
  </si>
  <si>
    <t>Сальники вилки Zongshen RACE (31*43*10.3 х 2шт) "KOMATCU" (mod.A)</t>
  </si>
  <si>
    <t>https://b2beez.ru/images/detailed/175/7095584806.jpg</t>
  </si>
  <si>
    <t>P-6438</t>
  </si>
  <si>
    <t>Сальники вилки Zongshen WIND (пара) (26*37*10,5) "KOMATCU" (mod.A)</t>
  </si>
  <si>
    <t>https://b2beez.ru/images/detailed/175/7095587371.jpg</t>
  </si>
  <si>
    <t>P-6441</t>
  </si>
  <si>
    <t>Цепь ГРМ 4T GY6 125/150 (2x3-90L) "KOMATCU" (mod.A)</t>
  </si>
  <si>
    <t>https://b2beez.ru/images/detailed/175/orig_tgfp-b4.jpg</t>
  </si>
  <si>
    <t>P-6603</t>
  </si>
  <si>
    <t>Сальники (набор) 4T GY6 125/150 2шт коленвальные (19.8*30*5 х2) "HND" (mod A)</t>
  </si>
  <si>
    <t>https://b2beez.ru/images/detailed/175/6228542341.jpg</t>
  </si>
  <si>
    <t>P-6622</t>
  </si>
  <si>
    <t>Поршень 2T Stels 60 .STD (Ø43,00 p-12) "KOMATCU" (mod.A)</t>
  </si>
  <si>
    <t>https://b2beez.ru/images/detailed/175/orig_5ucj-vy.jpg</t>
  </si>
  <si>
    <t>P-6650</t>
  </si>
  <si>
    <t>Поршень 2T TB 60, Suzuki RUN 0,25 (Ø43,25 p-10) "SUNY" (mod.A)</t>
  </si>
  <si>
    <t>https://b2beez.ru/images/detailed/175/6224689273.jpg</t>
  </si>
  <si>
    <t>P-6651</t>
  </si>
  <si>
    <t>Поршень 2T TB 60, Suzuki RUN 0,25 (Ø43,25 p-10) "SUNY" (mod.B)</t>
  </si>
  <si>
    <t>https://b2beez.ru/images/detailed/175/6224689273_m4vr-11.jpg</t>
  </si>
  <si>
    <t>P-6652</t>
  </si>
  <si>
    <t>Поршень 2T TB 60, Suzuki RUN 0,50 (Ø43,50 p-10) "SUNNY" (mod.A)</t>
  </si>
  <si>
    <t>https://b2beez.ru/images/detailed/175/6224689377.jpg</t>
  </si>
  <si>
    <t>P-6653</t>
  </si>
  <si>
    <t>Поршень 2T TB 60, Suzuki RUN 0,50 (Ø43,50 p-10) "SUNY" (mod.B)</t>
  </si>
  <si>
    <t>https://b2beez.ru/images/detailed/175/orig_s3if-13.jpg</t>
  </si>
  <si>
    <t>P-6654</t>
  </si>
  <si>
    <t>Поршень 2T TB 60, Suzuki RUN 0,75 (Ø43,75 p-10) "SUNNY" (mod.A)</t>
  </si>
  <si>
    <t>https://b2beez.ru/images/detailed/175/6224689371.jpg</t>
  </si>
  <si>
    <t>P-6655</t>
  </si>
  <si>
    <t>Поршень 2T TB 60, Suzuki RUN 0,75 (Ø43,75 p-10) "SUNY" (mod.B)</t>
  </si>
  <si>
    <t>https://b2beez.ru/images/detailed/175/6224689409.jpg</t>
  </si>
  <si>
    <t>P-6657</t>
  </si>
  <si>
    <t>Поршень 2T TB 60, Suzuki RUN 1,00 (Ø44,00 p-10) "SUNY" (mod.B)</t>
  </si>
  <si>
    <t>https://b2beez.ru/images/detailed/175/6224689395.jpg</t>
  </si>
  <si>
    <t>P-6663</t>
  </si>
  <si>
    <t>Поршень 4T ARN 125 0,50 (Ø52,90 p-15) "SUNY" (mod.B)</t>
  </si>
  <si>
    <t>https://b2beez.ru/images/detailed/175/orig_x7cb-h1.jpg</t>
  </si>
  <si>
    <t>P-6839</t>
  </si>
  <si>
    <t>Поршень 4T GY6 80 0,50 (Ø47,50) "SUNY" (mod.A)</t>
  </si>
  <si>
    <t>https://b2beez.ru/images/detailed/175/6224689457.jpg</t>
  </si>
  <si>
    <t>P-6840</t>
  </si>
  <si>
    <t>Поршень 4T GY6 80 0,50 (Ø47,50) "SUNY" (mod.B)</t>
  </si>
  <si>
    <t>https://b2beez.ru/images/detailed/175/orig_8q23-36.jpg</t>
  </si>
  <si>
    <t>P-6971</t>
  </si>
  <si>
    <t>Поршень Honda LEAD 90 .STD(Ø48,00) "KOMATCU" (mod.A)</t>
  </si>
  <si>
    <t>P-7021</t>
  </si>
  <si>
    <t>Поршень Suzuki LET'S 50 0,75 (Ø41,75, p-10) "SUNY" (mod.A)</t>
  </si>
  <si>
    <t>https://b2beez.ru/images/detailed/175/6224689649.jpg</t>
  </si>
  <si>
    <t>P-7027</t>
  </si>
  <si>
    <t>Поршень Suzuki LET'S 50 1,00 (Ø42,00, p-10) "SUNY" (mod.A)</t>
  </si>
  <si>
    <t>https://b2beez.ru/images/detailed/175/6224689712.jpg</t>
  </si>
  <si>
    <t>P-7071</t>
  </si>
  <si>
    <t>Поршень Yamaha JOG 50 0,75 (Ø40,75 p-10, 2JA/3KJ) "SUNY" (mod.A)</t>
  </si>
  <si>
    <t>https://b2beez.ru/images/detailed/175/6224689993.jpg</t>
  </si>
  <si>
    <t>P-7072</t>
  </si>
  <si>
    <t>Поршень Yamaha JOG 50 0,75 (Ø40,75 p-10, 2JA/3KJ) "SUNY" (mod.B)</t>
  </si>
  <si>
    <t>https://b2beez.ru/images/detailed/175/6224689702.jpg</t>
  </si>
  <si>
    <t>P-7073</t>
  </si>
  <si>
    <t>Поршень Yamaha JOG 50 1,00 (Ø41,00 p-10, 2JA/3KJ) "SUNY" (mod.A)</t>
  </si>
  <si>
    <t>https://b2beez.ru/images/detailed/175/6224689642.jpg</t>
  </si>
  <si>
    <t>P-7095</t>
  </si>
  <si>
    <t>Поршень Yamaha JOG 50 0,75 (Ø40,75 p-10, 2JA/3KJ) "SUNY" (mod.C)</t>
  </si>
  <si>
    <t>https://b2beez.ru/images/detailed/175/6224689761.jpg</t>
  </si>
  <si>
    <t>P-7096</t>
  </si>
  <si>
    <t>Поршень Yamaha JOG 50 0,75 (Ø40,75 p-10, 2JA/3KJ) "SUNY" (mod.D)</t>
  </si>
  <si>
    <t>https://b2beez.ru/images/detailed/175/orig_78t9-66.jpg</t>
  </si>
  <si>
    <t>P-7097</t>
  </si>
  <si>
    <t>Поршень Yamaha JOG 50 1,00 (Ø41,00 p-10, 2JA/3KJ) "SUNY" (mod.C)</t>
  </si>
  <si>
    <t>https://b2beez.ru/images/detailed/175/6224689936.jpg</t>
  </si>
  <si>
    <t>P-9</t>
  </si>
  <si>
    <t>Палец вариатора Suzuki LET'S (D-20mm, d-12mm, L-38mm)</t>
  </si>
  <si>
    <t>https://b2beez.ru/images/detailed/175/6241082541.jpg</t>
  </si>
  <si>
    <t>R-1053</t>
  </si>
  <si>
    <t>Редуктор (в сборе) Yamaha JOG 50 "BEEZMOTO"</t>
  </si>
  <si>
    <t>https://b2beez.ru/images/detailed/176/7065191940.jpg</t>
  </si>
  <si>
    <t>R-1582</t>
  </si>
  <si>
    <t>Мембрана карбюратора (с заслонкой) 4T GY6 50 (Ø16mm, основная) "KOMATCU"</t>
  </si>
  <si>
    <t>https://b2beez.ru/images/detailed/176/orig_w0nq-x5.jpg</t>
  </si>
  <si>
    <t>R-1585</t>
  </si>
  <si>
    <t>Мембрана карбюратора (с заслонкой) 4T GY6 125 (Ø24mm, основная) "KOMATCU"</t>
  </si>
  <si>
    <t>https://b2beez.ru/images/detailed/176/orig_rm7u-1i.jpg</t>
  </si>
  <si>
    <t>R-1685</t>
  </si>
  <si>
    <t>Реле зарядки Piaggio VESPA 50 "CHENHAO"</t>
  </si>
  <si>
    <t>https://b2beez.ru/images/detailed/176/6228734635.jpg</t>
  </si>
  <si>
    <t>R-1687</t>
  </si>
  <si>
    <t>Реле зарядки Piaggio ZIP "CHENHAO"</t>
  </si>
  <si>
    <t>https://b2beez.ru/images/detailed/176/6228734459.jpg</t>
  </si>
  <si>
    <t>R-1690</t>
  </si>
  <si>
    <t>Реле зарядки Honda SH125/150 "CHENHAO"</t>
  </si>
  <si>
    <t>https://b2beez.ru/images/detailed/176/orig_3rqr-rl.jpg</t>
  </si>
  <si>
    <t>R-170</t>
  </si>
  <si>
    <t>Реле зарядки 4T GY6 125/150 (8 проводов 5+3) "CHENHAO"</t>
  </si>
  <si>
    <t>https://b2beez.ru/images/detailed/176/6228734495.jpg</t>
  </si>
  <si>
    <t>R-1767</t>
  </si>
  <si>
    <t>Ремень вариатора 790 * 19,5 Suzuki AD110 "MALOSSI"</t>
  </si>
  <si>
    <t>https://b2beez.ru/images/detailed/176/orig_smyx-5h.jpg</t>
  </si>
  <si>
    <t>R-1790</t>
  </si>
  <si>
    <t>Ремень вариатора 666 * 15,7 Suzuki LET'S "MALOSSI"</t>
  </si>
  <si>
    <t>https://b2beez.ru/images/detailed/176/7065665102.jpg</t>
  </si>
  <si>
    <t>R-1791</t>
  </si>
  <si>
    <t>Ремень вариатора 670 * 18,0 Honda DIO ZX "MALOSSI"</t>
  </si>
  <si>
    <t>https://b2beez.ru/images/detailed/176/orig_6b85-l1.jpg</t>
  </si>
  <si>
    <t>R-1797</t>
  </si>
  <si>
    <t>Ремень вариатора 842 * 20,0 4T GY6 125/150 "MALOSSI"</t>
  </si>
  <si>
    <t>https://b2beez.ru/images/detailed/176/7095606118.jpg</t>
  </si>
  <si>
    <t>R-18</t>
  </si>
  <si>
    <t>Ролики вариатора (тюнинг) Suzuki 17*12 8,5г (черные) "DONGXIN"</t>
  </si>
  <si>
    <t>https://b2beez.ru/images/detailed/176/6228542179.jpg</t>
  </si>
  <si>
    <t>R-1811</t>
  </si>
  <si>
    <t>Ремень вариатора 670 * 18,0 Honda DIO ZX "BEEZMOTO"</t>
  </si>
  <si>
    <t>https://b2beez.ru/images/detailed/176/orig_qgf5-ik.jpg</t>
  </si>
  <si>
    <t>R-206</t>
  </si>
  <si>
    <t>Реле поворотов 4T GY6 50-150 (3 провода, В-class) (оранжевое) "BEEZMOTO"</t>
  </si>
  <si>
    <t>https://b2beez.ru/images/detailed/176/orig_oudc-4j.jpg</t>
  </si>
  <si>
    <t>R-213</t>
  </si>
  <si>
    <t>Реле поворотов Yamaha JOG "BEEZMOTO"</t>
  </si>
  <si>
    <t>https://b2beez.ru/images/detailed/176/orig_9bch-xx.jpg</t>
  </si>
  <si>
    <t>R-2221</t>
  </si>
  <si>
    <t>Реле зарядки DIO, TB 50/60, AD50, JOG, ALPHA, TTR, ATV 50-125, 139QMB, 152QMI, 157QMJ "KOMATCU"</t>
  </si>
  <si>
    <t>https://b2beez.ru/images/detailed/176/6228734607.jpg</t>
  </si>
  <si>
    <t>R-2379</t>
  </si>
  <si>
    <t>Мембрана карбюратора (с заслонкой) 4T GY6 50 (Ø16mm, основная) "CK"</t>
  </si>
  <si>
    <t>https://b2beez.ru/images/detailed/177/6241082445.jpg</t>
  </si>
  <si>
    <t>R-2610</t>
  </si>
  <si>
    <t>Реле зарядки 4T GY6 125/150 (5 проводов) "MANLE"</t>
  </si>
  <si>
    <t>https://b2beez.ru/images/detailed/177/6228734619_azxc-dg.jpg</t>
  </si>
  <si>
    <t>R-2617</t>
  </si>
  <si>
    <t>Реле зарядки 4T GY6 125/150 (5-папа) "BEEZMOTO"</t>
  </si>
  <si>
    <t>https://b2beez.ru/images/detailed/177/orig_7615-zv.jpg</t>
  </si>
  <si>
    <t>R-2636</t>
  </si>
  <si>
    <t>Реле зарядки Honda SH125/150 "ZUNA"</t>
  </si>
  <si>
    <t>https://b2beez.ru/images/detailed/177/6228734535.jpg</t>
  </si>
  <si>
    <t>R-2637</t>
  </si>
  <si>
    <t>Реле зарядки Honda SH125/150 "MANLE"</t>
  </si>
  <si>
    <t>https://b2beez.ru/images/detailed/177/6228734467.jpg</t>
  </si>
  <si>
    <t>R-2658</t>
  </si>
  <si>
    <t>Ремень вариатора 647 * 11,5 Honda PAL AF17 "KOMATCU"</t>
  </si>
  <si>
    <t>https://b2beez.ru/images/detailed/177/orig_udbi-iu.jpg</t>
  </si>
  <si>
    <t>R-2667</t>
  </si>
  <si>
    <t>Ремень вариатора 652 * 15,3 Honda DIO AF18/27 "BEEZMOTO"</t>
  </si>
  <si>
    <t>https://b2beez.ru/images/detailed/177/orig_9m33-s2.jpg</t>
  </si>
  <si>
    <t>R-2681</t>
  </si>
  <si>
    <t>Ремень вариатора 723 * 17,5 Honda BALI 100, 4T GY6 50 "BEEZMOTO"</t>
  </si>
  <si>
    <t>https://b2beez.ru/images/detailed/177/orig_tn7g-zm.jpg</t>
  </si>
  <si>
    <t>R-2687</t>
  </si>
  <si>
    <t>Ремень вариатора 729 * 17,7 4T GY6 50 (12'' колесо) "BEEZMOTO"</t>
  </si>
  <si>
    <t>https://b2beez.ru/images/detailed/177/orig_v3eb-k9.jpg</t>
  </si>
  <si>
    <t>R-2692</t>
  </si>
  <si>
    <t>Ремень вариатора 788 * 18,0 4T GY6 125/150 "KOMATCU"</t>
  </si>
  <si>
    <t>https://b2beez.ru/images/detailed/177/orig_skfe-8h.jpg</t>
  </si>
  <si>
    <t>R-2700</t>
  </si>
  <si>
    <t>Ремень вариатора 835 * 20,0 4T GY6 125/150 "BEEZMOTO"</t>
  </si>
  <si>
    <t>https://b2beez.ru/images/detailed/177/6828595293.jpg</t>
  </si>
  <si>
    <t>R-2704</t>
  </si>
  <si>
    <t>Ремень вариатора 906 * 22,5 Honda SH125/150 "BEEZMOTO"</t>
  </si>
  <si>
    <t>https://b2beez.ru/images/detailed/177/orig_tzz3-o3.jpg</t>
  </si>
  <si>
    <t>014403</t>
  </si>
  <si>
    <t>Редуктор (в сборе) Honda DIO "BEEZMOTO"</t>
  </si>
  <si>
    <t>https://b2beez.ru/images/detailed/47/orig_7lmi-2t.jpg</t>
  </si>
  <si>
    <t>R-3073</t>
  </si>
  <si>
    <t>Рычаги руля 4T GY6 125/150 (пара) (с креплением) "BEEZMOTO"</t>
  </si>
  <si>
    <t>https://b2beez.ru/images/detailed/177/6741829367.jpg</t>
  </si>
  <si>
    <t>R-3212</t>
  </si>
  <si>
    <t>Рычаги руля 4T GY6 50 (пара) (с креплением, +концевой выключатель) "BEEZMOTO"</t>
  </si>
  <si>
    <t>https://b2beez.ru/images/detailed/177/6828591374.jpg</t>
  </si>
  <si>
    <t>R-381</t>
  </si>
  <si>
    <t>Ремень вариатора 790 * 18,0 Honda LEAD100 (JF06E) "Premium TNT"</t>
  </si>
  <si>
    <t>https://b2beez.ru/images/detailed/177/6187548929_8clf-tw.jpg</t>
  </si>
  <si>
    <t>R-416</t>
  </si>
  <si>
    <t>Ремкомплект суппорта тормозного (диск) Suzuki AD50, LET'S II (перед) "BEEZMOTO"</t>
  </si>
  <si>
    <t>https://b2beez.ru/images/detailed/177/6228542119.jpg</t>
  </si>
  <si>
    <t>R-419</t>
  </si>
  <si>
    <t>Ремкомплект суппорта тормозного (диск) 4T GY6 50 (зад) "BEEZMOTO"</t>
  </si>
  <si>
    <t>https://b2beez.ru/images/detailed/177/orig_maoi-0x.jpg</t>
  </si>
  <si>
    <t>R-421</t>
  </si>
  <si>
    <t>Ремкомплект суппорта тормозного (диск) Honda LEAD (перед) "BEEZMOTO"</t>
  </si>
  <si>
    <t>https://b2beez.ru/images/detailed/177/6228542021.jpg</t>
  </si>
  <si>
    <t>R-493</t>
  </si>
  <si>
    <t>Ролики вариатора Yamaha 15*12 8,5г (черные) "DONGXIN"</t>
  </si>
  <si>
    <t>https://b2beez.ru/images/detailed/177/orig_wabw-ey.jpg</t>
  </si>
  <si>
    <t>R-495</t>
  </si>
  <si>
    <t>Ролики вариатора Suzuki 16*12 5,0г "RAINBOW"</t>
  </si>
  <si>
    <t>https://b2beez.ru/images/detailed/177/orig_z2p0-hf.jpg</t>
  </si>
  <si>
    <t>R-498</t>
  </si>
  <si>
    <t>Ролики вариатора Suzuki 16*12 6,5г (желтые) "DONGXIN"</t>
  </si>
  <si>
    <t>https://b2beez.ru/images/detailed/177/6228542091.jpg</t>
  </si>
  <si>
    <t>R-555</t>
  </si>
  <si>
    <t>Ролики вариатора Suzuki 17*12 8,5г "DLH"</t>
  </si>
  <si>
    <t>https://b2beez.ru/images/detailed/177/6228541965_625w-fx.jpg</t>
  </si>
  <si>
    <t>R-688</t>
  </si>
  <si>
    <t>Рычаг руля правый (голый) Suzuki AD50, LET'S II (диск)</t>
  </si>
  <si>
    <t>https://b2beez.ru/images/detailed/177/6228542213.jpg</t>
  </si>
  <si>
    <t>R-689</t>
  </si>
  <si>
    <t>Рычаг руля правый (голый) Suzuki AD50, LET'S II (диск, короткоходный)</t>
  </si>
  <si>
    <t>https://b2beez.ru/images/detailed/177/6228542354.jpg</t>
  </si>
  <si>
    <t>R-690</t>
  </si>
  <si>
    <t>Рычаг руля правый (голый) Honda DIO (диск)</t>
  </si>
  <si>
    <t>https://b2beez.ru/images/detailed/177/6228542134.jpg</t>
  </si>
  <si>
    <t>R-694</t>
  </si>
  <si>
    <t>Рычаг руля правый (голый) 4T GY6 50 (диск) "BEEZMOTO"</t>
  </si>
  <si>
    <t>https://b2beez.ru/images/detailed/177/6228542063.jpg</t>
  </si>
  <si>
    <t>R-717</t>
  </si>
  <si>
    <t>Рычаги руля Honda LEAD (голые) (диск/барабан) "BEEZMOTO"</t>
  </si>
  <si>
    <t>https://b2beez.ru/images/detailed/177/6228542471.jpg</t>
  </si>
  <si>
    <t>R-753</t>
  </si>
  <si>
    <t>Реле зарядки Suzuki LET'S "STAR"</t>
  </si>
  <si>
    <t>https://b2beez.ru/images/detailed/177/orig_aw7g-5g.jpg</t>
  </si>
  <si>
    <t>R-831</t>
  </si>
  <si>
    <t>Реле зарядки 4T GY6 125/150 (4 провода) "BEEZMOTO"</t>
  </si>
  <si>
    <t>https://b2beez.ru/images/detailed/178/orig_6slv-3g.jpg</t>
  </si>
  <si>
    <t>R-874</t>
  </si>
  <si>
    <t>Ремень вариатора 669 * 18,0 4T GY6 50 (10'' колесо) "MEGAZIP"</t>
  </si>
  <si>
    <t>https://b2beez.ru/images/detailed/178/6187548965.jpg</t>
  </si>
  <si>
    <t>R-884</t>
  </si>
  <si>
    <t>Ремень вариатора 645 * 15,5 Honda TACT AF16 (кевларовый) "SPACE STAR"</t>
  </si>
  <si>
    <t>https://b2beez.ru/images/detailed/178/6187548933.jpg</t>
  </si>
  <si>
    <t>R-917</t>
  </si>
  <si>
    <t>Ремень вариатора 645 * 15,5 Honda TACT AF16 "MEGAZIP"</t>
  </si>
  <si>
    <t>https://b2beez.ru/images/detailed/178/6187548965_5amn-9n.jpg</t>
  </si>
  <si>
    <t>R-921</t>
  </si>
  <si>
    <t>Ремень вариатора 705 * 18,0 Honda LEAD AF20 "MEGAZIP"</t>
  </si>
  <si>
    <t>https://b2beez.ru/images/detailed/178/6187548965_b582-7k.jpg</t>
  </si>
  <si>
    <t>R-927</t>
  </si>
  <si>
    <t>Ремень вариатора 642 * 15,5 Honda TACT AF16 "OEM BELT"</t>
  </si>
  <si>
    <t>https://b2beez.ru/images/detailed/178/6187548938_5ape-dz.jpg</t>
  </si>
  <si>
    <t>R-928</t>
  </si>
  <si>
    <t>Ремень вариатора 645 * 15,5 Honda TACT AF16 "OEM BELT"</t>
  </si>
  <si>
    <t>https://b2beez.ru/images/detailed/178/6187548938_yjm6-s4.jpg</t>
  </si>
  <si>
    <t>R-932</t>
  </si>
  <si>
    <t>Ремень вариатора 668 * 16,6 Suzuki AD50 "BEEZMOTO"</t>
  </si>
  <si>
    <t>https://b2beez.ru/images/detailed/178/orig_4ngw-ij.jpg</t>
  </si>
  <si>
    <t>R-935</t>
  </si>
  <si>
    <t>Ремень вариатора 730 * 18,0 Honda LEAD 90 "KOMATCU"</t>
  </si>
  <si>
    <t>https://b2beez.ru/images/detailed/178/orig_ykdz-ea.jpg</t>
  </si>
  <si>
    <t>R-938</t>
  </si>
  <si>
    <t>Ремень вариатора 750 * 16,8 Yamaha BW'S, CHAMP "OEM BELT"</t>
  </si>
  <si>
    <t>https://b2beez.ru/images/detailed/178/6187548938_ooo8-k7.jpg</t>
  </si>
  <si>
    <t>R-944</t>
  </si>
  <si>
    <t>Ремень вариатора 790 * 18,0 Honda LEAD100 (кевларовый) "SPACE STAR"</t>
  </si>
  <si>
    <t>https://b2beez.ru/images/detailed/178/6187548933_9mkf-c3.jpg</t>
  </si>
  <si>
    <t>R-954</t>
  </si>
  <si>
    <t>Ремень вариатора 750 * 18,0 Honda LEAD AF48 "MALOSSI"</t>
  </si>
  <si>
    <t>https://b2beez.ru/images/detailed/178/orig_f8zm-2p.jpg</t>
  </si>
  <si>
    <t>R-979</t>
  </si>
  <si>
    <t>Ремень вариатора 669 * 18,0 4T GY6 50 (10'' колесо) (Ultra EPDM) "OEM BELT"</t>
  </si>
  <si>
    <t>https://b2beez.ru/images/detailed/178/6187548938_b4dc-gh.jpg</t>
  </si>
  <si>
    <t>S-1000</t>
  </si>
  <si>
    <t>Сектор заводной (полумесяц) Suzuki AD100 "STEEL MARK"</t>
  </si>
  <si>
    <t>https://b2beez.ru/images/detailed/178/6228542484.jpg</t>
  </si>
  <si>
    <t>S-1095</t>
  </si>
  <si>
    <t>Скользители (слайдеры) 2T Stels 50 (тюнинг, красные) (Тайвань) "KOSO"</t>
  </si>
  <si>
    <t>https://b2beez.ru/images/detailed/178/6228542314.jpg</t>
  </si>
  <si>
    <t>S-1101</t>
  </si>
  <si>
    <t>Скользители (слайдеры) Suzuki AD50 (тюнинг, красные) (Тайвань) "KOSO"</t>
  </si>
  <si>
    <t>https://b2beez.ru/images/detailed/178/6228542332.jpg</t>
  </si>
  <si>
    <t>S-1103</t>
  </si>
  <si>
    <t>Скользители (слайдеры) Suzuki AD50 (тюнинг, синие)</t>
  </si>
  <si>
    <t>S-1109</t>
  </si>
  <si>
    <t>Скользители (слайдеры) Honda DIO AF27 (тюнинг, красные) (Тайвань) "KOSO"</t>
  </si>
  <si>
    <t>https://b2beez.ru/images/detailed/203/1_urh5-pn.jpg</t>
  </si>
  <si>
    <t>S-1113</t>
  </si>
  <si>
    <t>Скользители (слайдеры) Honda DIO AF34 (тюнинг, красные) (Тайвань) "KOSO"</t>
  </si>
  <si>
    <t>https://b2beez.ru/images/detailed/178/6228542479.jpg</t>
  </si>
  <si>
    <t>S-1131</t>
  </si>
  <si>
    <t>Скользители (слайдеры) Yamaha JOG 50 (тюнинг, красные) (Тайвань) "KOSO"</t>
  </si>
  <si>
    <t>https://b2beez.ru/images/detailed/178/6242640569.jpg</t>
  </si>
  <si>
    <t>S-1135</t>
  </si>
  <si>
    <t>Скользители (слайдеры) Yamaha JOG 90 (тюнинг, красные) (Тайвань) "KOSO"</t>
  </si>
  <si>
    <t>https://b2beez.ru/images/detailed/178/6228542255.jpg</t>
  </si>
  <si>
    <t>S-1196</t>
  </si>
  <si>
    <t>Электростартер Honda DIO "DKY"</t>
  </si>
  <si>
    <t>https://b2beez.ru/images/detailed/178/orig_ysgx-c1.jpg</t>
  </si>
  <si>
    <t>S-1212</t>
  </si>
  <si>
    <t>Электростартер Yamaha JOG 50 "DKY"</t>
  </si>
  <si>
    <t>https://b2beez.ru/images/detailed/178/6228296340.jpg</t>
  </si>
  <si>
    <t>S-1221</t>
  </si>
  <si>
    <t>Электростартер Honda LEAD 90 "DKY"</t>
  </si>
  <si>
    <t>https://b2beez.ru/images/detailed/178/6228296523.jpg</t>
  </si>
  <si>
    <t>S-1781</t>
  </si>
  <si>
    <t>Щека вариатора неподвижная Honda LEAD 90 (алюминий) "F-64"</t>
  </si>
  <si>
    <t>https://b2beez.ru/images/detailed/179/6228296435.jpg</t>
  </si>
  <si>
    <t>S-1865</t>
  </si>
  <si>
    <t>Термостат (голый) 50cc "KOMATCU"</t>
  </si>
  <si>
    <t>https://b2beez.ru/images/detailed/179/6242640889.jpg</t>
  </si>
  <si>
    <t>S-1867</t>
  </si>
  <si>
    <t>Гайка М27х1 (заднего вариатора, сцепления) "KOMATCU"</t>
  </si>
  <si>
    <t>https://b2beez.ru/images/detailed/179/orig_qrm1-05.jpg</t>
  </si>
  <si>
    <t>S-1903</t>
  </si>
  <si>
    <t>Сектор заводной (полумесяц) 4T GY6 125/150 (L-147mm) (+пружина, втулка) "KICK"</t>
  </si>
  <si>
    <t>https://b2beez.ru/images/detailed/179/6228542184_m28x-1m.jpg</t>
  </si>
  <si>
    <t>S-1905</t>
  </si>
  <si>
    <t>Сектор заводной (полумесяц) 4T GY6 125/150 (L-160mm) (+пружина, втулки) "KOMATCU"</t>
  </si>
  <si>
    <t>https://b2beez.ru/images/detailed/179/6381742171.jpg</t>
  </si>
  <si>
    <t>S-1908</t>
  </si>
  <si>
    <t>Сектор заводной (полумесяц) 4T GY6 125/150 (L-168mm) (+пружина, втулка) "BEEZMOTO"</t>
  </si>
  <si>
    <t>https://b2beez.ru/images/detailed/179/7173085706.jpg</t>
  </si>
  <si>
    <t>S-1919</t>
  </si>
  <si>
    <t>Сектор заводной (полумесяц) 4T GY6 125/150 (L-147mm) (+пружина, втулка) "KOMATCU"</t>
  </si>
  <si>
    <t>https://b2beez.ru/images/detailed/179/orig_cu3r-w3.jpg</t>
  </si>
  <si>
    <t>S-1941</t>
  </si>
  <si>
    <t>Пружина возвратная заводной ножки Yamaha JOG 50 3KJ "KOMATCU"</t>
  </si>
  <si>
    <t>https://b2beez.ru/images/detailed/179/orig_i7j1-rb.jpg</t>
  </si>
  <si>
    <t>S-2351</t>
  </si>
  <si>
    <t>Гайка М6 (фланцевая) "GUANG" (50шт)</t>
  </si>
  <si>
    <t>https://b2beez.ru/images/detailed/179/6458493038.jpg</t>
  </si>
  <si>
    <t>S-2356</t>
  </si>
  <si>
    <t>Гайка М6 (со стопорным кольцом) "GUANG" (50шт)</t>
  </si>
  <si>
    <t>https://b2beez.ru/images/detailed/179/6458492451.jpg</t>
  </si>
  <si>
    <t>S-2567</t>
  </si>
  <si>
    <t>Пружина возвратная заводной ножки Suzuki "KOMATCU"</t>
  </si>
  <si>
    <t>https://b2beez.ru/images/detailed/179/6228803746.jpg</t>
  </si>
  <si>
    <t>S-3969</t>
  </si>
  <si>
    <t>Сектор заводной (полумесяц) 4T GY6 125/150 (L-130mm) (+пружина, втулка) "BEEZMOTO"</t>
  </si>
  <si>
    <t>https://b2beez.ru/images/detailed/181/7100789953.jpg</t>
  </si>
  <si>
    <t>S-3997</t>
  </si>
  <si>
    <t>Сектор заводной (полумесяц) 4T GY6 50 (L-57mm) (+пружина, втулка) "BEEZMOTO"</t>
  </si>
  <si>
    <t>https://b2beez.ru/images/detailed/181/7100810334.jpg</t>
  </si>
  <si>
    <t>S-4617</t>
  </si>
  <si>
    <t>Сектор заводной (полумесяц) 4T GY6 125/150 (L-147mm) (+пружина, втулка) "BEEZMOTO"</t>
  </si>
  <si>
    <t>https://b2beez.ru/images/detailed/181/orig_cmev-jm.jpg</t>
  </si>
  <si>
    <t>S-759</t>
  </si>
  <si>
    <t>Сальник коленвала 2T Stels 50 (20*30*6) "BEEZMOTO"</t>
  </si>
  <si>
    <t>https://b2beez.ru/images/detailed/182/orig_2dlx-vl.jpg</t>
  </si>
  <si>
    <t>S-761</t>
  </si>
  <si>
    <t>Сальник коленвала Suzuki AD100 (17*27*6) "HND"</t>
  </si>
  <si>
    <t>https://b2beez.ru/images/detailed/182/6228542278.jpg</t>
  </si>
  <si>
    <t>S-762</t>
  </si>
  <si>
    <t>Сальник коленвала Suzuki AD100 (25*37*6) "HND"</t>
  </si>
  <si>
    <t>https://b2beez.ru/images/detailed/182/6228542122.jpg</t>
  </si>
  <si>
    <t>S-763</t>
  </si>
  <si>
    <t>Сальник коленвала Suzuki AD50 (17*27*6) "HND"</t>
  </si>
  <si>
    <t>https://b2beez.ru/images/detailed/182/orig_s5z9-58.jpg</t>
  </si>
  <si>
    <t>S-826</t>
  </si>
  <si>
    <t>Сальники (набор) Honda DIO, LEAD, ZX 2шт коленвальные (20*31*7, 15.5*25.5*7) "BEEZMOTO"</t>
  </si>
  <si>
    <t>https://b2beez.ru/images/detailed/182/orig_pc4q-sn.jpg</t>
  </si>
  <si>
    <t>S-835</t>
  </si>
  <si>
    <t>Сальники (набор) 4T GY6 50 2шт коленвальные (17*30*6, 19.8*30*5) "HND"</t>
  </si>
  <si>
    <t>https://b2beez.ru/images/detailed/182/orig_e5ih-9t.jpg</t>
  </si>
  <si>
    <t>T-107</t>
  </si>
  <si>
    <t>Трос газа Yamaha JOG 50 (1740mm) "BEEZMOTO"</t>
  </si>
  <si>
    <t>https://b2beez.ru/images/detailed/182/orig_8ee6-wa.jpg</t>
  </si>
  <si>
    <t>T-125</t>
  </si>
  <si>
    <t>Трос заднего тормоза 2T TB50, Suzuki RUN (1970mm, уп.1шт) "KOMATCU"</t>
  </si>
  <si>
    <t>https://b2beez.ru/images/detailed/182/6226566778.jpg</t>
  </si>
  <si>
    <t>T-129</t>
  </si>
  <si>
    <t>Трос заднего тормоза Honda DIO (1800mm) "BEEZMOTO"</t>
  </si>
  <si>
    <t>https://b2beez.ru/images/detailed/182/orig_2t49-z0.jpg</t>
  </si>
  <si>
    <t>T-156</t>
  </si>
  <si>
    <t>Трос переднего тормоза Honda DIO (уп.1шт, желтый)</t>
  </si>
  <si>
    <t>https://b2beez.ru/images/detailed/182/6226566871.jpg</t>
  </si>
  <si>
    <t>T-170</t>
  </si>
  <si>
    <t>Трос переднего тормоза Honda ТACT (1200mm, уп.1шт, желтый)</t>
  </si>
  <si>
    <t>https://b2beez.ru/images/detailed/182/6226566833.jpg</t>
  </si>
  <si>
    <t>T-207</t>
  </si>
  <si>
    <t>Трос спидометра 4T GY6 50 (квадрат-квадрат) (960mm, уп.1шт) "BEEZMOTO"</t>
  </si>
  <si>
    <t>https://b2beez.ru/images/detailed/182/7132431054.jpg</t>
  </si>
  <si>
    <t>T-24</t>
  </si>
  <si>
    <t>Трос спидометра Honda TACT AF24 (барабан) (1020mm, уп.1шт) "BEEZMOTO"</t>
  </si>
  <si>
    <t>https://b2beez.ru/images/detailed/182/orig_5n9q-y1.jpg</t>
  </si>
  <si>
    <t>T-29</t>
  </si>
  <si>
    <t>Трос спидометра Honda DIO (барабан) (900mm, уп.1шт) "BEEZMOTO"</t>
  </si>
  <si>
    <t>https://b2beez.ru/images/detailed/182/orig_wuyk-zs.jpg</t>
  </si>
  <si>
    <t>T-569</t>
  </si>
  <si>
    <t>Трос заднего тормоза Suzuki LET'S (1117mm, уп.1шт, желтый)</t>
  </si>
  <si>
    <t>https://b2beez.ru/images/detailed/183/orig_o1x9-fe.jpg</t>
  </si>
  <si>
    <t>T-570</t>
  </si>
  <si>
    <t>Трос спидометра Yamaha GEAR 4KN (900-mm, уп.1шт) "BEEZMOTO"</t>
  </si>
  <si>
    <t>https://b2beez.ru/images/detailed/183/7132428476.jpg</t>
  </si>
  <si>
    <t>T-836</t>
  </si>
  <si>
    <t>Трос спидометра Yamaha JOG 50 (барабан) (840mm) "JAYACO"</t>
  </si>
  <si>
    <t>https://b2beez.ru/images/detailed/183/6226567058.jpg</t>
  </si>
  <si>
    <t>T-844</t>
  </si>
  <si>
    <t>Трос спидометра 4T GY6 125/150 (1100mm, уп.1шт) "BEEZMOTO"</t>
  </si>
  <si>
    <t>https://b2beez.ru/images/detailed/183/orig_8foe-t1.jpg</t>
  </si>
  <si>
    <t>T-904</t>
  </si>
  <si>
    <t>Трос газа Yamaha GEAR 4KN (1700mm, уп.1шт) "BEEZMOTO"</t>
  </si>
  <si>
    <t>https://b2beez.ru/images/detailed/183/7132423537.jpg</t>
  </si>
  <si>
    <t>T-91</t>
  </si>
  <si>
    <t>Трос газа 4T GY6 50 (гайка-пластинка) (L-1600mm) (L-1940mm) "BEEZMOTO"</t>
  </si>
  <si>
    <t>https://b2beez.ru/images/detailed/183/orig_ks34-1z.jpg</t>
  </si>
  <si>
    <t>T-93</t>
  </si>
  <si>
    <t>Трос газа Suzuki AD100 (уп.1шт,(L-1550mm)(L-1700mm)желтый)</t>
  </si>
  <si>
    <t>https://b2beez.ru/images/detailed/183/orig_ebtu-c2.jpg</t>
  </si>
  <si>
    <t>V-102</t>
  </si>
  <si>
    <t>Вариатор передний Suzuki AD100 (палец) "DONGXIN"</t>
  </si>
  <si>
    <t>https://b2beez.ru/images/detailed/184/orig_zr20-iw.jpg</t>
  </si>
  <si>
    <t>V-112</t>
  </si>
  <si>
    <t>Вариатор передний Suzuki AD50 "DONGXIN"</t>
  </si>
  <si>
    <t>https://b2beez.ru/images/detailed/184/orig_35jn-2q.jpg</t>
  </si>
  <si>
    <t>V-127</t>
  </si>
  <si>
    <t>Вариатор передний Yamaha BW'S 100 (палец) "DONGXIN"</t>
  </si>
  <si>
    <t>https://b2beez.ru/images/detailed/184/orig_8l2e-0m.jpg</t>
  </si>
  <si>
    <t>V-1317</t>
  </si>
  <si>
    <t>Вариатор передний (тюнинг) Honda DIO AF27 (+палец, ролики 6шт(1шт.- 9g), пружина торкдрайвера) "DLH"</t>
  </si>
  <si>
    <t>https://b2beez.ru/images/detailed/184/6632420700.jpg</t>
  </si>
  <si>
    <t>V-1474</t>
  </si>
  <si>
    <t>Патрубок воздушного фильтра Yamaha JOG (красный) "KOMATCU"</t>
  </si>
  <si>
    <t>https://b2beez.ru/images/detailed/185/orig_vl5z-8e.jpg</t>
  </si>
  <si>
    <t>V-1491</t>
  </si>
  <si>
    <t>Патрубок карбюратора (коллектор) 4T GY6 50 (силиконовый, красный) "KOMATCU"</t>
  </si>
  <si>
    <t>https://b2beez.ru/images/detailed/185/7160352336.jpg</t>
  </si>
  <si>
    <t>V-1579</t>
  </si>
  <si>
    <t>Фильтр воздушный (в сборе) Honda DIO AF34/35 "KOMATCU"</t>
  </si>
  <si>
    <t>https://b2beez.ru/images/detailed/185/orig_ccme-hu.jpg</t>
  </si>
  <si>
    <t>V-162</t>
  </si>
  <si>
    <t>Вариатор передний (тюнинг) Suzuki AD50 (ролики латунь 9шт, палец, пружины сцепления) "DLH"</t>
  </si>
  <si>
    <t>https://b2beez.ru/images/detailed/185/orig_tk0k-bb.jpg</t>
  </si>
  <si>
    <t>V-163</t>
  </si>
  <si>
    <t>Вариатор передний (тюнинг) Suzuki LET'S (ролики латунь 9шт, палец, пружины сцепления) "DLH"</t>
  </si>
  <si>
    <t>https://b2beez.ru/images/detailed/185/7160335530.jpg</t>
  </si>
  <si>
    <t>V-171</t>
  </si>
  <si>
    <t>Вариатор передний (тюнинг) 4T GY6 50 (ролики латунь 9шт, палец, пружины сцепления) "DLH"</t>
  </si>
  <si>
    <t>https://b2beez.ru/images/detailed/186/7160343397.jpg</t>
  </si>
  <si>
    <t>V-174</t>
  </si>
  <si>
    <t>Вариатор передний (тюнинг) Yamaha JOG 90, 2T Stels 50 (р. латунь 9шт, палец, пруж.сцеп.) "DLH"</t>
  </si>
  <si>
    <t>https://b2beez.ru/images/detailed/186/7160348858.jpg</t>
  </si>
  <si>
    <t>V-1790</t>
  </si>
  <si>
    <t>Патрубок карбюратора (коллектор) Yamaha JOG 27V "YAOXIN"</t>
  </si>
  <si>
    <t>https://b2beez.ru/images/detailed/186/6241082506.jpg</t>
  </si>
  <si>
    <t>V-1791</t>
  </si>
  <si>
    <t>Патрубок карбюратора (коллектор) Yamaha JOG 3KJ "BEEZMOTO"</t>
  </si>
  <si>
    <t>https://b2beez.ru/images/detailed/186/7062120548.jpg</t>
  </si>
  <si>
    <t>V-1794</t>
  </si>
  <si>
    <t>Патрубок карбюратора (коллектор) 4T GY6 125/150 (под 14-16 колесо) "BEEZMOTO"</t>
  </si>
  <si>
    <t>https://b2beez.ru/images/detailed/186/7172680146.jpg</t>
  </si>
  <si>
    <t>V-1814</t>
  </si>
  <si>
    <t>Кольца уплотнительные маслобензостойкие (комплект 382 шт, 7-53 mm) "ZR"</t>
  </si>
  <si>
    <t>https://b2beez.ru/images/detailed/186/6230975983.jpg</t>
  </si>
  <si>
    <t>V-1902</t>
  </si>
  <si>
    <t>Вариатор передний Suzuki AD50 (палец) "ZUNA"</t>
  </si>
  <si>
    <t>https://b2beez.ru/images/detailed/186/orig_b4fd-h1.jpg</t>
  </si>
  <si>
    <t>V-1904</t>
  </si>
  <si>
    <t>Вариатор передний Suzuki AD50 (палец) "HORZA"</t>
  </si>
  <si>
    <t>https://b2beez.ru/images/detailed/186/orig_tf8v-va.jpg</t>
  </si>
  <si>
    <t>V-1939</t>
  </si>
  <si>
    <t>Патрубок карбюратора (коллектор) 4T GY6 125/150 "BEEZMOTO"</t>
  </si>
  <si>
    <t>https://b2beez.ru/images/detailed/186/orig_fkmy-so.jpg</t>
  </si>
  <si>
    <t>V-201</t>
  </si>
  <si>
    <t>Ступица щеки вариатора (звезда) Yamaha JOG 90</t>
  </si>
  <si>
    <t>https://b2beez.ru/images/detailed/186/orig_0xtz-y9.jpg</t>
  </si>
  <si>
    <t>V-206</t>
  </si>
  <si>
    <t>Колодки сцепления (тюнинг) Honda DIO, TACT, LEAD 50 "KOSO"</t>
  </si>
  <si>
    <t>https://b2beez.ru/images/detailed/186/orig_74s8-u9.jpg</t>
  </si>
  <si>
    <t>V-2109</t>
  </si>
  <si>
    <t>Фильтр воздушный (в сборе) 4T GY6 50-80 139QMB(10" колесо с бумажным фильтром) "BEEZMOTO"</t>
  </si>
  <si>
    <t>https://b2beez.ru/images/detailed/186/orig_69lf-71.jpg</t>
  </si>
  <si>
    <t>V-220</t>
  </si>
  <si>
    <t>Колодки сцепления Yamaha BW'S "DONGXIN"</t>
  </si>
  <si>
    <t>https://b2beez.ru/images/detailed/186/orig_exbw-ah.jpg</t>
  </si>
  <si>
    <t>V-659</t>
  </si>
  <si>
    <t>Вариатор передний Honda DIO AF27/34, GY6 50 (палец, щека, храповик) "LUXUPART"</t>
  </si>
  <si>
    <t>https://b2beez.ru/images/detailed/187/7178332333.jpg</t>
  </si>
  <si>
    <t>V-666</t>
  </si>
  <si>
    <t>Ступица щеки вариатора (звезда) Yamaha JOG 90 "KOK"</t>
  </si>
  <si>
    <t>https://b2beez.ru/images/detailed/187/orig_yu6i-la.jpg</t>
  </si>
  <si>
    <t>V-81</t>
  </si>
  <si>
    <t>Вариатор передний (тюнинг) Suzuki AD100 (медно-граф. втулка, ролики латунь) "KOSO"</t>
  </si>
  <si>
    <t>https://b2beez.ru/images/detailed/187/orig_ussx-8y.jpg</t>
  </si>
  <si>
    <t>V-83</t>
  </si>
  <si>
    <t>Вариатор передний (тюнинг) Suzuki AD50 (медно-граф. втулка, ролики латунь 6 шт (1шт.- 7.2g) "KOSO"</t>
  </si>
  <si>
    <t>https://b2beez.ru/images/detailed/187/orig_tc6s-fl.jpg</t>
  </si>
  <si>
    <t>V-836</t>
  </si>
  <si>
    <t>Элемент воздушного фильтра 4T GY6 50 (бумажная гармошка в пластике) "BEEZMOTO"</t>
  </si>
  <si>
    <t>https://b2beez.ru/images/detailed/187/orig_njz1-lf.jpg</t>
  </si>
  <si>
    <t>V-851</t>
  </si>
  <si>
    <t>Кольцо уплотнительное прокладки карбюратора 4T GY6 125/150 (наружный 36mm) "BTM"</t>
  </si>
  <si>
    <t>https://b2beez.ru/images/detailed/187/6230976924.jpg</t>
  </si>
  <si>
    <t>V-852</t>
  </si>
  <si>
    <t>Кольцо уплотнительное прокладки карбюратора 4T GY6 50 (наружн 35.8mm) "BTM"</t>
  </si>
  <si>
    <t>https://b2beez.ru/images/detailed/187/orig_cwns-qe.jpg</t>
  </si>
  <si>
    <t>V-87</t>
  </si>
  <si>
    <t>Вариатор передний (тюнинг) Yamaha BW'S 100 (медно-граф. втулка, ролики латунь 6 шт (1шт.- 8.1g) "KOSO"</t>
  </si>
  <si>
    <t>https://b2beez.ru/images/detailed/187/6986622873.jpg</t>
  </si>
  <si>
    <t>V-88</t>
  </si>
  <si>
    <t>Вариатор передний (тюнинг) 4T GY6 125 (медно-граф. втулка, ролики латунь) "KOSO"</t>
  </si>
  <si>
    <t>https://b2beez.ru/images/detailed/187/orig_gg2n-dv.jpg</t>
  </si>
  <si>
    <t>Z-105</t>
  </si>
  <si>
    <t>Замок зажигания (комплект) Honling CRUISER (QT-8) (копия Yamaha CYGNUS) "EURORUN"</t>
  </si>
  <si>
    <t>https://b2beez.ru/images/detailed/188/orig_4r62-4s.jpg</t>
  </si>
  <si>
    <t>Z-23</t>
  </si>
  <si>
    <t>Замок зажигания (голый) Honda DIO Smart 4T AF56/57 "EURORUN"</t>
  </si>
  <si>
    <t>https://b2beez.ru/images/detailed/188/6194684320.jpg</t>
  </si>
  <si>
    <t>Z-24</t>
  </si>
  <si>
    <t>Замок зажигания (голый) Honda DIO Smart 4T AF56/57 (+магнитный антивзлом) "EURORUN"</t>
  </si>
  <si>
    <t>https://b2beez.ru/images/detailed/188/6194683979.jpg</t>
  </si>
  <si>
    <t>Z-295</t>
  </si>
  <si>
    <t>Замок зажигания (комплект) Yamaha BW'S 100 4VP "EURORUN"</t>
  </si>
  <si>
    <t>https://b2beez.ru/images/detailed/204/Z-295.jpg</t>
  </si>
  <si>
    <t>Z-299</t>
  </si>
  <si>
    <t>Замок зажигания (голый) Honling SUMMER (QT-9) "EURORUN"</t>
  </si>
  <si>
    <t>https://b2beez.ru/images/detailed/204/Z-299.jpg</t>
  </si>
  <si>
    <t>Z-377</t>
  </si>
  <si>
    <t>Замок зажигания (комплект) Yamaha JOG 3YK NEXT ZONE "JAYCHEN"</t>
  </si>
  <si>
    <t>https://b2beez.ru/images/detailed/204/Z-377.jpg</t>
  </si>
  <si>
    <t>Z-378</t>
  </si>
  <si>
    <t>Замок зажигания (комплект) Zongshen F50 (12" колесо) "JAYCHEN"</t>
  </si>
  <si>
    <t>https://b2beez.ru/images/detailed/204/Z-378.jpg</t>
  </si>
  <si>
    <t>Z-382</t>
  </si>
  <si>
    <t>Замок зажигания (голый) Yamaha BW'S 100 4VP "JAYCHEN"</t>
  </si>
  <si>
    <t>https://b2beez.ru/images/detailed/204/Z-382.jpg</t>
  </si>
  <si>
    <t>Z-432</t>
  </si>
  <si>
    <t>Ключ замка зажигания (заготовка) Suzuki (с эмблемой, длинный, красный) "KOMATCU"</t>
  </si>
  <si>
    <t>https://b2beez.ru/images/detailed/204/Z-432-2.jpg</t>
  </si>
  <si>
    <t>Z-987</t>
  </si>
  <si>
    <t>Замок зажигания (голый) Honda DIO AF34/35 "ZUNA"</t>
  </si>
  <si>
    <t>https://b2beez.ru/images/detailed/204/Z-987-2.jpg</t>
  </si>
  <si>
    <t>A-315</t>
  </si>
  <si>
    <t>Амортизаторы (пара) GY6, HONDA DIO 330mm, стандартные, мягкие (желтые) серия A "NDT"</t>
  </si>
  <si>
    <t>https://b2beez.ru/images/detailed/153/orig_cidf-vx.jpg</t>
  </si>
  <si>
    <t>A-51</t>
  </si>
  <si>
    <t>Амортизатор GY6, HONDA DIO 350mm, тюнинговый (оранжево-красный) "NDT"</t>
  </si>
  <si>
    <t>https://b2beez.ru/images/detailed/153/7160595791.jpg</t>
  </si>
  <si>
    <t>B-202</t>
  </si>
  <si>
    <t>Крышка бака маслянного Yamaha JOG "STEEL MARK"</t>
  </si>
  <si>
    <t>https://b2beez.ru/images/detailed/154/6241082464.jpg</t>
  </si>
  <si>
    <t>B-27</t>
  </si>
  <si>
    <t>Бендикс Honda TACT AF16 "KOMATCU"</t>
  </si>
  <si>
    <t>https://b2beez.ru/images/detailed/154/orig_ar7e-mh.jpg</t>
  </si>
  <si>
    <t>C-1169</t>
  </si>
  <si>
    <t>Поршневая (ЦПГ) Yamaha BW'S 100 (Ø52,00 p-14) "KOMATCU"</t>
  </si>
  <si>
    <t>https://b2beez.ru/images/detailed/155/orig_yhey-5k.jpg</t>
  </si>
  <si>
    <t>C15</t>
  </si>
  <si>
    <t>Сальник коленвала Suzuki AD50/100 (25*37*6) "HND"</t>
  </si>
  <si>
    <t>https://b2beez.ru/images/detailed/157/6228542171.jpg</t>
  </si>
  <si>
    <t>C-1955</t>
  </si>
  <si>
    <t>Поршневая (ЦПГ) Suzuki AD 50 (Ø41, p-10) "KOMATCU"</t>
  </si>
  <si>
    <t>https://b2beez.ru/images/detailed/155/orig_v6g7-yn.jpg</t>
  </si>
  <si>
    <t>C-609</t>
  </si>
  <si>
    <t>Вал редуктора первичный 4T GY6 125/150 "BEEZMOTO"</t>
  </si>
  <si>
    <t>https://b2beez.ru/images/detailed/156/orig_6v4m-a3.jpg</t>
  </si>
  <si>
    <t>D-4054</t>
  </si>
  <si>
    <t>Датчик топливного бака Honda LEAD "KOMATCU" (mod.B)</t>
  </si>
  <si>
    <t>https://b2beez.ru/images/detailed/159/6808408374.jpg</t>
  </si>
  <si>
    <t>D-4057</t>
  </si>
  <si>
    <t>Датчик топливного бака Yamaha JOG 50 "BEEZMOTO"</t>
  </si>
  <si>
    <t>https://b2beez.ru/images/detailed/159/orig_8jpj-kp.jpg</t>
  </si>
  <si>
    <t>D-537</t>
  </si>
  <si>
    <t>Датчик масляного бака 4T Stels 150"KOMATCU"</t>
  </si>
  <si>
    <t>https://b2beez.ru/images/detailed/159/orig_r65d-l5.jpg</t>
  </si>
  <si>
    <t>F-107</t>
  </si>
  <si>
    <t>Элемент воздушного фильтра Honda SPACY 125 NEW (бумажная гармошка в пластике) "KM"</t>
  </si>
  <si>
    <t>https://b2beez.ru/images/detailed/160/orig_u76g-z9.jpg</t>
  </si>
  <si>
    <t>G-1038</t>
  </si>
  <si>
    <t>Головка цилиндра 4T GY6 125 (в сборе) (без крышки, +цепь ГРМ) (d=22/24) "JK"</t>
  </si>
  <si>
    <t>https://b2beez.ru/images/detailed/161/6827284923.jpg</t>
  </si>
  <si>
    <t>G-1837</t>
  </si>
  <si>
    <t>Трос газа 2T TB50, Suzuki RUN (1850mm-1800mm) "KOMATCU"</t>
  </si>
  <si>
    <t>https://b2beez.ru/images/detailed/161/6226566716.jpg</t>
  </si>
  <si>
    <t>G-231</t>
  </si>
  <si>
    <t>Головка цилиндра 2T TB50, Suzuki RUN</t>
  </si>
  <si>
    <t>https://b2beez.ru/images/detailed/162/6194483332.jpg</t>
  </si>
  <si>
    <t>G-241</t>
  </si>
  <si>
    <t>Головка цилиндра Honda DIO 50 (Ø40) "BEEZMOTO"</t>
  </si>
  <si>
    <t>https://b2beez.ru/images/detailed/204/G-241-3_dzqp-fn.jpg</t>
  </si>
  <si>
    <t>G-2660</t>
  </si>
  <si>
    <t>Глушитель Suzuki AD50 "BEEZMOTO"</t>
  </si>
  <si>
    <t>https://b2beez.ru/images/detailed/204/G-2660.jpg</t>
  </si>
  <si>
    <t>G-2718</t>
  </si>
  <si>
    <t>Головка цилиндра Yamaha JOG 50, 2T Stels 50 "KOMATCU" (mod.A)</t>
  </si>
  <si>
    <t>G-2839</t>
  </si>
  <si>
    <t>Сальники клапанов (пара) 4T GY6 125/150 "KOMATCU" (mod.A)</t>
  </si>
  <si>
    <t>https://b2beez.ru/images/detailed/162/6228542241.jpg</t>
  </si>
  <si>
    <t>G-2841</t>
  </si>
  <si>
    <t>Сапун крышки головки4T GY6 125/150 "KOMATCU" (mod.A)</t>
  </si>
  <si>
    <t>https://b2beez.ru/images/detailed/162/6230938418.jpg</t>
  </si>
  <si>
    <t>H-147</t>
  </si>
  <si>
    <t>Храповик Honda PAL AF17 "STEEL MARK"</t>
  </si>
  <si>
    <t>https://b2beez.ru/images/detailed/163/6228296101.jpg</t>
  </si>
  <si>
    <t>H-185</t>
  </si>
  <si>
    <t>Храповик 4T GY6 50 (ведомая часть) "BEEZMOTO"</t>
  </si>
  <si>
    <t>https://b2beez.ru/images/detailed/163/orig_pbf4-ut.jpg</t>
  </si>
  <si>
    <t>H-464</t>
  </si>
  <si>
    <t>Храповик 4T GY6 125/150 "BEEZMOTO"</t>
  </si>
  <si>
    <t>https://b2beez.ru/images/detailed/164/orig_vs4o-sr.jpg</t>
  </si>
  <si>
    <t>H-477</t>
  </si>
  <si>
    <t>Храповик Honda DIO AF27/34, TACT AF24, LEAD AF48 "KOMATCU"</t>
  </si>
  <si>
    <t>https://b2beez.ru/images/detailed/164/6381742148.jpg</t>
  </si>
  <si>
    <t>K-107</t>
  </si>
  <si>
    <t>Кольца Suzuki AD 100 0,25 (Ø52,75) "KOSO"</t>
  </si>
  <si>
    <t>https://b2beez.ru/images/detailed/166/6224627748.jpg</t>
  </si>
  <si>
    <t>K-108</t>
  </si>
  <si>
    <t>Кольца Suzuki AD 100 0,50 (Ø53,00) "KOSO"</t>
  </si>
  <si>
    <t>https://b2beez.ru/images/detailed/166/6224627748_i4re-fa.jpg</t>
  </si>
  <si>
    <t>K-109</t>
  </si>
  <si>
    <t>Кольца Suzuki AD 100 0,75 (Ø53,25) "KOSO"</t>
  </si>
  <si>
    <t>https://b2beez.ru/images/detailed/166/6224627748_qs61-6n.jpg</t>
  </si>
  <si>
    <t>K-113</t>
  </si>
  <si>
    <t>Кольца Suzuki AD 50 1,00 (Ø42,00) "KOSO"</t>
  </si>
  <si>
    <t>https://b2beez.ru/images/detailed/166/6224627748_kj2y-rh.jpg</t>
  </si>
  <si>
    <t>K-1148</t>
  </si>
  <si>
    <t>Коммутатор (тюнинг) Honda DIO AF18/27 (золотистый) "BEEZMOTO"</t>
  </si>
  <si>
    <t>https://b2beez.ru/images/detailed/166/orig_guqh-cc.jpg</t>
  </si>
  <si>
    <t>K-115</t>
  </si>
  <si>
    <t>Кольца Suzuki AD 65 0,50 (Ø44,50) "KOSO"</t>
  </si>
  <si>
    <t>https://b2beez.ru/images/detailed/166/6224627748_7p3g-4k.jpg</t>
  </si>
  <si>
    <t>K-1164</t>
  </si>
  <si>
    <t>Коммутатор (тюнинг) Honda DIO, TACT, PAL (золотистый) "BEEZMOTO"</t>
  </si>
  <si>
    <t>https://b2beez.ru/images/detailed/166/orig_h019-oh.jpg</t>
  </si>
  <si>
    <t>K-1182</t>
  </si>
  <si>
    <t>Коммутатор (тюнинг) Yamaha JOG 2JА (красный)</t>
  </si>
  <si>
    <t>https://b2beez.ru/images/detailed/166/6224782476.jpg</t>
  </si>
  <si>
    <t>K-119</t>
  </si>
  <si>
    <t>Кольца Yamaha JOG 50 0,50 (Ø40,50, 2JA/3KJ) "KOSO"</t>
  </si>
  <si>
    <t>https://b2beez.ru/images/detailed/166/6224627748_prv4-4f.jpg</t>
  </si>
  <si>
    <t>K-121</t>
  </si>
  <si>
    <t>Кольца Yamaha JOG 50 1,00 (Ø41,00, 2JA/3KJ) "KOSO"</t>
  </si>
  <si>
    <t>https://b2beez.ru/images/detailed/166/6224627748_gzmd-iw.jpg</t>
  </si>
  <si>
    <t>K-125</t>
  </si>
  <si>
    <t>Кольца Yamaha JOG 65 1,00 (Ø45,00, 2JA/3KJ) "KOSO"</t>
  </si>
  <si>
    <t>https://b2beez.ru/images/detailed/166/6224627748_6sog-ey.jpg</t>
  </si>
  <si>
    <t>K-127</t>
  </si>
  <si>
    <t>Кольца Yamaha JOG 72 0,25 (Ø47,25, 2JA/3KJ) "KOSO" (mod.A)</t>
  </si>
  <si>
    <t>https://b2beez.ru/images/detailed/166/6224627748_rolr-oq.jpg</t>
  </si>
  <si>
    <t>K-128</t>
  </si>
  <si>
    <t>Кольца Yamaha JOG 72 0,50 (Ø47,50, 2JA/3KJ) "KOSO"</t>
  </si>
  <si>
    <t>https://b2beez.ru/images/detailed/166/6224627748_w742-f7.jpg</t>
  </si>
  <si>
    <t>K-129</t>
  </si>
  <si>
    <t>Кольца Yamaha JOG 72 0,75 (Ø47,75, 2JA/3KJ) "KOSO"</t>
  </si>
  <si>
    <t>https://b2beez.ru/images/detailed/166/6224627748_pakl-1a.jpg</t>
  </si>
  <si>
    <t>K-1368</t>
  </si>
  <si>
    <t>Мембраны карбюратора (пара) 4T GY6 150 (пусковая +ускорительная) "BEEZMOTO"</t>
  </si>
  <si>
    <t>https://b2beez.ru/images/detailed/166/orig_hfbf-jv.jpg</t>
  </si>
  <si>
    <t>K-1371</t>
  </si>
  <si>
    <t>Мембрана карбюратора (с заслонкой) 4T GY6 50 (Ø16mm, основная) "FUELJET"</t>
  </si>
  <si>
    <t>https://b2beez.ru/images/detailed/166/6241082425.jpg</t>
  </si>
  <si>
    <t>K-148</t>
  </si>
  <si>
    <t>Кольца Yamaha JOG 72 0,50 (Ø47,50, 2JA/3KJ)</t>
  </si>
  <si>
    <t>https://b2beez.ru/images/detailed/166/orig_34w9-kn.jpg</t>
  </si>
  <si>
    <t>K-1534</t>
  </si>
  <si>
    <t>Ремкомплект карбюратора Suzuki AD90, AG90</t>
  </si>
  <si>
    <t>https://b2beez.ru/images/detailed/166/6228542008.jpg</t>
  </si>
  <si>
    <t>K-210</t>
  </si>
  <si>
    <t>Кольца 4T GY6 80 0,25 (Ø47,25) "KOSO"</t>
  </si>
  <si>
    <t>https://b2beez.ru/images/detailed/166/6224627810_8zmc-hd.jpg</t>
  </si>
  <si>
    <t>K-219</t>
  </si>
  <si>
    <t>Кольца Honda DIO 50 0,25 (Ø39,25) "KOSO"</t>
  </si>
  <si>
    <t>https://b2beez.ru/images/detailed/166/6224627748_y1c2-ei.jpg</t>
  </si>
  <si>
    <t>K-225</t>
  </si>
  <si>
    <t>Кольца Honda DIO 50 0,75 (Ø39,75) "KOSO"</t>
  </si>
  <si>
    <t>https://b2beez.ru/images/detailed/166/6224627748_hb8b-dj.jpg</t>
  </si>
  <si>
    <t>K-2264</t>
  </si>
  <si>
    <t>Прокладка крышки вариатора 4T GY6 50 (L-430mm) "MAX GASKETS" (mod:A)</t>
  </si>
  <si>
    <t>https://b2beez.ru/images/detailed/166/orig_tgm8-vw.jpg</t>
  </si>
  <si>
    <t>K-2266</t>
  </si>
  <si>
    <t>Прокладка крышки вариатора 4T GY6 50 (L-400mm) "MAX GASKETS" (mod:A)</t>
  </si>
  <si>
    <t>https://b2beez.ru/images/detailed/166/6224782176.jpg</t>
  </si>
  <si>
    <t>K-2268</t>
  </si>
  <si>
    <t>Прокладка крышки вариатора 4T GY6 50 (L-460mm) "MAX GASKETS" (mod:A)</t>
  </si>
  <si>
    <t>https://b2beez.ru/images/detailed/166/6224781842.jpg</t>
  </si>
  <si>
    <t>K-32</t>
  </si>
  <si>
    <t>Кольца Suzuki AD 50 0,25 (Ø41,25) "KOSO"</t>
  </si>
  <si>
    <t>https://b2beez.ru/images/detailed/167/6224627748.jpg</t>
  </si>
  <si>
    <t>K-3215</t>
  </si>
  <si>
    <t>Прокладка картера Honda TACT AF09 (паронит) "MPG"</t>
  </si>
  <si>
    <t>https://b2beez.ru/images/detailed/167/6226082541.jpg</t>
  </si>
  <si>
    <t>K-3407</t>
  </si>
  <si>
    <t>Концевой выключатель педали тормоза (лягушка) Yamaha JOG 50 (+провода) "KOMATCU"</t>
  </si>
  <si>
    <t>https://b2beez.ru/images/detailed/167/6287756980.jpg</t>
  </si>
  <si>
    <t>K-3529</t>
  </si>
  <si>
    <t>Катушка зажигания с коммутатором 4T Aprilia, Derbi, Gilera, Italjet (+насвечник) "CHENHAO"</t>
  </si>
  <si>
    <t>https://b2beez.ru/images/detailed/167/6242641372.jpg</t>
  </si>
  <si>
    <t>K-3530</t>
  </si>
  <si>
    <t>Коммутатор Piaggio "CHENHAO"</t>
  </si>
  <si>
    <t>https://b2beez.ru/images/detailed/167/6224782061.jpg</t>
  </si>
  <si>
    <t>K-3646</t>
  </si>
  <si>
    <t>Щуп масла 4T CB/CG 125/150 Ø19.0mm, L-125mm (синий) "QHK"</t>
  </si>
  <si>
    <t>https://b2beez.ru/images/detailed/167/orig_te6v-dn.jpg</t>
  </si>
  <si>
    <t>K-3804</t>
  </si>
  <si>
    <t>Кольца 2T TB 60, Suzuki RUN 60 .STD (Ø43,00) "HND"</t>
  </si>
  <si>
    <t>https://b2beez.ru/images/detailed/167/orig_ujn2-l1.jpg</t>
  </si>
  <si>
    <t>K-3965</t>
  </si>
  <si>
    <t>Кольца Honda DIO ZX 50 .STD (Ø40,00) "TKT"</t>
  </si>
  <si>
    <t>https://b2beez.ru/images/detailed/167/6224627696_lcmc-dl.jpg</t>
  </si>
  <si>
    <t>K-3967</t>
  </si>
  <si>
    <t>Кольца Suzuki AD 50 .STD (Ø41,00) "TKT"</t>
  </si>
  <si>
    <t>https://b2beez.ru/images/detailed/167/6224627696_ie8q-i6.jpg</t>
  </si>
  <si>
    <t>K-3974</t>
  </si>
  <si>
    <t>Кольца Yamaha JOG 50 0,25 (Ø40,25, 2JA/3KJ) "TKT"</t>
  </si>
  <si>
    <t>https://b2beez.ru/images/detailed/167/6224627696_4h16-5f.jpg</t>
  </si>
  <si>
    <t>K-3979</t>
  </si>
  <si>
    <t>Кольца 2T TB 50, Suzuki RUN 50 .STD (Ø41,00) "TKT"</t>
  </si>
  <si>
    <t>https://b2beez.ru/images/detailed/167/6224627696_rsw6-rk.jpg</t>
  </si>
  <si>
    <t>K-3981</t>
  </si>
  <si>
    <t>Кольца 2T TB 60, Suzuki RUN 60 .STD (Ø43,00) "TKT"</t>
  </si>
  <si>
    <t>https://b2beez.ru/images/detailed/167/6224627696_vu47-lb.jpg</t>
  </si>
  <si>
    <t>K-3982</t>
  </si>
  <si>
    <t>Кольца 2T TB 60, Suzuki RUN 60 0,25 (Ø43,25) "TKT"</t>
  </si>
  <si>
    <t>https://b2beez.ru/images/detailed/167/6224627696_meor-zb.jpg</t>
  </si>
  <si>
    <t>K-3991</t>
  </si>
  <si>
    <t>Кольца Yamaha JOG 90 .STD (Ø50,00) "TKT"</t>
  </si>
  <si>
    <t>https://b2beez.ru/images/detailed/167/6224627696_vsbn-6s.jpg</t>
  </si>
  <si>
    <t>K-3992</t>
  </si>
  <si>
    <t>Кольца Yamaha JOG 90 0,25 (Ø50,25) "TKT"</t>
  </si>
  <si>
    <t>https://b2beez.ru/images/detailed/167/6224627696_vxv5-v3.jpg</t>
  </si>
  <si>
    <t>K-3996</t>
  </si>
  <si>
    <t>Кольца Honda 4T DIO New 50 0,25 (Ø36,25) "TKT"</t>
  </si>
  <si>
    <t>https://b2beez.ru/images/detailed/167/6224627832_b7h2-2i.jpg</t>
  </si>
  <si>
    <t>K-4002</t>
  </si>
  <si>
    <t>Кольца 4T GY6 60 0,25 (Ø44,25) "TKT"</t>
  </si>
  <si>
    <t>https://b2beez.ru/images/detailed/167/6224627832_6hpm-hf.jpg</t>
  </si>
  <si>
    <t>K-4006</t>
  </si>
  <si>
    <t>Кольца 4T GY6 100 0,25 (Ø50,25) "TKT"</t>
  </si>
  <si>
    <t>https://b2beez.ru/images/detailed/167/6224627832_t03t-vu.jpg</t>
  </si>
  <si>
    <t>K-4056</t>
  </si>
  <si>
    <t>Коленвал VESPA 50 (под сепаратор 16mm) (+сепаратор) "STAYER"</t>
  </si>
  <si>
    <t>https://b2beez.ru/images/detailed/167/orig_nsza-nc.jpg</t>
  </si>
  <si>
    <t>K-4057</t>
  </si>
  <si>
    <t>Коленвал VESPA 60 (под сепаратор 17mm) (+сепаратор) "STAYER"</t>
  </si>
  <si>
    <t>https://b2beez.ru/images/detailed/167/orig_u912-jx.jpg</t>
  </si>
  <si>
    <t>K-4058</t>
  </si>
  <si>
    <t>Коленвал VESPA 150 (под сепаратор 19mm) (+сепаратор) "STAYER"</t>
  </si>
  <si>
    <t>https://b2beez.ru/images/detailed/167/orig_kx94-vi.jpg</t>
  </si>
  <si>
    <t>K-42</t>
  </si>
  <si>
    <t>Кольца 2T TB 50, Suzuki RUN 50 0,25 (Ø41,25) "KOSO"</t>
  </si>
  <si>
    <t>https://b2beez.ru/images/detailed/167/orig_1j8o-th.jpg</t>
  </si>
  <si>
    <t>K-44</t>
  </si>
  <si>
    <t>Кольца 2T TB 50, Suzuki RUN 50 0,75 (Ø41,75) "KOSO"</t>
  </si>
  <si>
    <t>https://b2beez.ru/images/detailed/167/6224627748_kq26-25.jpg</t>
  </si>
  <si>
    <t>K-45</t>
  </si>
  <si>
    <t>Кольца 2T TB 50, Suzuki RUN 50 1,00 (Ø42,00) "KOSO"</t>
  </si>
  <si>
    <t>https://b2beez.ru/images/detailed/167/6224627748_njtl-3g.jpg</t>
  </si>
  <si>
    <t>K-4559</t>
  </si>
  <si>
    <t>Кольца Honda DIO 50 0,25 (Ø39,25) "TOR"</t>
  </si>
  <si>
    <t>https://b2beez.ru/images/detailed/167/6224627720.jpg</t>
  </si>
  <si>
    <t>K-4561</t>
  </si>
  <si>
    <t>Кольца Honda DIO 62 0,25 (Ø43,25) "TOR"</t>
  </si>
  <si>
    <t>https://b2beez.ru/images/detailed/167/6224627720_r32v-m1.jpg</t>
  </si>
  <si>
    <t>K-4563</t>
  </si>
  <si>
    <t>Кольца Honda DIO 65 0,25 (Ø44,25) "TOR"</t>
  </si>
  <si>
    <t>https://b2beez.ru/images/detailed/167/6224627720_i9w1-tx.jpg</t>
  </si>
  <si>
    <t>K-4568</t>
  </si>
  <si>
    <t>Кольца Suzuki AD 50 0,25 (Ø41,25) "TOR"</t>
  </si>
  <si>
    <t>https://b2beez.ru/images/detailed/167/6224627720_g57r-le.jpg</t>
  </si>
  <si>
    <t>K-4574</t>
  </si>
  <si>
    <t>Кольца Yamaha JOG 65 .STD (Ø44,00, 2JA/3KJ) "TOR"</t>
  </si>
  <si>
    <t>https://b2beez.ru/images/detailed/167/6224627720_0grc-wo.jpg</t>
  </si>
  <si>
    <t>K-4575</t>
  </si>
  <si>
    <t>Кольца Yamaha JOG 65 0,25 (Ø44,25, 2JA/3KJ) "TOR"</t>
  </si>
  <si>
    <t>https://b2beez.ru/images/detailed/167/6224627720_47f5-6v.jpg</t>
  </si>
  <si>
    <t>K-4577</t>
  </si>
  <si>
    <t>Кольца 2T TB 50, Suzuki RUN 50 .STD (Ø41,00) "TOR"</t>
  </si>
  <si>
    <t>https://b2beez.ru/images/detailed/167/6224627720_frxq-jh.jpg</t>
  </si>
  <si>
    <t>K-4579</t>
  </si>
  <si>
    <t>Кольца 2T TB 60, Suzuki RUN 60 0,25 (Ø43,25) "TOR"</t>
  </si>
  <si>
    <t>https://b2beez.ru/images/detailed/167/6224627720_r6bt-s5.jpg</t>
  </si>
  <si>
    <t>K-4582</t>
  </si>
  <si>
    <t>Кольца Honda LEAD 90 .STD (Ø48,00) "TOR"</t>
  </si>
  <si>
    <t>https://b2beez.ru/images/detailed/167/6224627720_dvqt-cf.jpg</t>
  </si>
  <si>
    <t>K-4583</t>
  </si>
  <si>
    <t>Кольца Honda LEAD 90 0,25 (Ø48,25) "TOR"</t>
  </si>
  <si>
    <t>https://b2beez.ru/images/detailed/167/6224627720_qhv3-o2.jpg</t>
  </si>
  <si>
    <t>K-4584</t>
  </si>
  <si>
    <t>Кольца Honda LEAD 100 .STD (Ø51,00) "TOR"</t>
  </si>
  <si>
    <t>https://b2beez.ru/images/detailed/167/6224627720_eq8i-ki.jpg</t>
  </si>
  <si>
    <t>K-4585</t>
  </si>
  <si>
    <t>Кольца Honda LEAD 100 0,25 (Ø51,25) "TOR"</t>
  </si>
  <si>
    <t>https://b2beez.ru/images/detailed/167/6224627720_cbt1-7i.jpg</t>
  </si>
  <si>
    <t>K-4589</t>
  </si>
  <si>
    <t>Кольца Yamaha JOG 90 0,25 (Ø50,25) "TOR"</t>
  </si>
  <si>
    <t>https://b2beez.ru/images/detailed/167/6224627720_aopp-xu.jpg</t>
  </si>
  <si>
    <t>K-4590</t>
  </si>
  <si>
    <t>Кольца Yamaha AXIS 100/BW'S 100 .STD (Ø52,00) "TOR"</t>
  </si>
  <si>
    <t>https://b2beez.ru/images/detailed/167/6224627720_jfad-wx.jpg</t>
  </si>
  <si>
    <t>K-46</t>
  </si>
  <si>
    <t>Кольца 2T TB 60, Suzuki RUN 60 .STD (Ø43,00) "KOSO"</t>
  </si>
  <si>
    <t>https://b2beez.ru/images/detailed/167/6224627748_3wct-53.jpg</t>
  </si>
  <si>
    <t>K-4601</t>
  </si>
  <si>
    <t>Кольца 4T GY6 60 0,25 (Ø44,25) "TOR"</t>
  </si>
  <si>
    <t>https://b2beez.ru/images/detailed/167/6224627962.jpg</t>
  </si>
  <si>
    <t>K-4607</t>
  </si>
  <si>
    <t>Кольца 4T GY6 150 0,25 (Ø57,75) "TOR"</t>
  </si>
  <si>
    <t>https://b2beez.ru/images/detailed/167/6224627926.jpg</t>
  </si>
  <si>
    <t>K-4621</t>
  </si>
  <si>
    <t>Кольца Honda DIO 65 0,25 (Ø44,25) "TORO"</t>
  </si>
  <si>
    <t>https://b2beez.ru/images/detailed/167/6224627796_zs5r-gu.jpg</t>
  </si>
  <si>
    <t>K-4632</t>
  </si>
  <si>
    <t>Кольца Yamaha JOG 65 .STD (Ø44,00, 2JA/3KJ) "TORO"</t>
  </si>
  <si>
    <t>https://b2beez.ru/images/detailed/167/6224627796_7tlf-it.jpg</t>
  </si>
  <si>
    <t>K-4633</t>
  </si>
  <si>
    <t>Кольца Yamaha JOG 65 0,25 (Ø44,25, 2JA/3KJ) "TORO"</t>
  </si>
  <si>
    <t>https://b2beez.ru/images/detailed/167/6224627796_apt0-2m.jpg</t>
  </si>
  <si>
    <t>K-4635</t>
  </si>
  <si>
    <t>Кольца 2T TB 50, Suzuki RUN 50 .STD (Ø41,00) "TORO"</t>
  </si>
  <si>
    <t>https://b2beez.ru/images/detailed/167/6224627796_7yyc-h7.jpg</t>
  </si>
  <si>
    <t>K-4637</t>
  </si>
  <si>
    <t>Кольца 2T TB 60, Suzuki RUN 60 0,25 (Ø43,25) "TORO"</t>
  </si>
  <si>
    <t>https://b2beez.ru/images/detailed/167/6224627796_izsl-47.jpg</t>
  </si>
  <si>
    <t>K-4640</t>
  </si>
  <si>
    <t>Кольца Honda LEAD 90 .STD (Ø48,00) "TORO"</t>
  </si>
  <si>
    <t>https://b2beez.ru/images/detailed/167/6224627796_e2gh-fh.jpg</t>
  </si>
  <si>
    <t>K-4645</t>
  </si>
  <si>
    <t>Кольца Honda LEAD 100 0,25 (Ø51,25) "TORO"</t>
  </si>
  <si>
    <t>https://b2beez.ru/images/detailed/167/6224627796_doc1-yp.jpg</t>
  </si>
  <si>
    <t>K-4651</t>
  </si>
  <si>
    <t>Кольца Yamaha JOG 90 .STD (Ø50,00) "TORO"</t>
  </si>
  <si>
    <t>https://b2beez.ru/images/detailed/167/6224627796_fxls-1o.jpg</t>
  </si>
  <si>
    <t>K-4653</t>
  </si>
  <si>
    <t>Кольца Yamaha JOG 90 0,25 (Ø50,25) "TORO"</t>
  </si>
  <si>
    <t>https://b2beez.ru/images/detailed/167/6224627796_k6cd-y5.jpg</t>
  </si>
  <si>
    <t>K-4657</t>
  </si>
  <si>
    <t>Кольца Yamaha AXIS 100/BW'S 100 0,25 (Ø52,25) "TORO"</t>
  </si>
  <si>
    <t>https://b2beez.ru/images/detailed/167/6224627796_l2vq-x3.jpg</t>
  </si>
  <si>
    <t>K-4673</t>
  </si>
  <si>
    <t>Кольца 4T GY6 60 0,25 (Ø44,25) "TORO"</t>
  </si>
  <si>
    <t>https://b2beez.ru/images/detailed/167/6224628049_8p6p-ht.jpg</t>
  </si>
  <si>
    <t>K-49</t>
  </si>
  <si>
    <t>Кольца 2T TB 60, Suzuki RUN 60 0,75 (Ø43,75) "KOSO"</t>
  </si>
  <si>
    <t>https://b2beez.ru/images/detailed/168/6224627748.jpg</t>
  </si>
  <si>
    <t>K-5077</t>
  </si>
  <si>
    <t>Колодки тормозные (диск) 4T GY6 50-150 (RACE/STORM, под двухпоршневой суппорт, черные) "BEEZMOTO"</t>
  </si>
  <si>
    <t>https://b2beez.ru/images/detailed/168/orig_h526-mj.jpg</t>
  </si>
  <si>
    <t>K-52</t>
  </si>
  <si>
    <t>Кольца 4T GY6 100 0,25 (Ø50,25) "KOSO"</t>
  </si>
  <si>
    <t>https://b2beez.ru/images/detailed/168/6224627810.jpg</t>
  </si>
  <si>
    <t>K-5394</t>
  </si>
  <si>
    <t>Кольца Honda DIO 75 0,25 (Ø47,25) оригинал Taiwan "SEE"</t>
  </si>
  <si>
    <t>https://b2beez.ru/images/detailed/168/6224628197.jpg</t>
  </si>
  <si>
    <t>K-54</t>
  </si>
  <si>
    <t>Кольца 4T GY6 100 0,75 (Ø50,75) "KOSO"</t>
  </si>
  <si>
    <t>https://b2beez.ru/images/detailed/168/6224627810_fq6r-gj.jpg</t>
  </si>
  <si>
    <t>K-5411</t>
  </si>
  <si>
    <t>Кольца Honda TACT 80 .STD (Ø47 AF16) оригинал Taiwan "SEE"</t>
  </si>
  <si>
    <t>https://b2beez.ru/images/detailed/168/6224627698_yx0u-1k.jpg</t>
  </si>
  <si>
    <t>K-5413</t>
  </si>
  <si>
    <t>Кольца Honda TACT 80 0,50 (Ø47,50 AF16) оригинал Taiwan "SEE"</t>
  </si>
  <si>
    <t>https://b2beez.ru/images/detailed/168/6224627698_c1vz-kk.jpg</t>
  </si>
  <si>
    <t>K-5417</t>
  </si>
  <si>
    <t>Кольца Honda DJ1 50 .STD (Ø41 p-10 AF12) оригинал Taiwan "SEE"</t>
  </si>
  <si>
    <t>https://b2beez.ru/images/detailed/168/6224627750_k4mq-bf.jpg</t>
  </si>
  <si>
    <t>K-5434</t>
  </si>
  <si>
    <t>Кольца Suzuki AD 65 0,50 (Ø44,50) оригинал Taiwan "SEE"</t>
  </si>
  <si>
    <t>https://b2beez.ru/images/detailed/168/6224628489_koro-n7.jpg</t>
  </si>
  <si>
    <t>K-5440</t>
  </si>
  <si>
    <t>Кольца Suzuki AD 100 0,50 (Ø53,00) оригинал Taiwan "SEE"</t>
  </si>
  <si>
    <t>https://b2beez.ru/images/detailed/168/6224628517.jpg</t>
  </si>
  <si>
    <t>K-5450</t>
  </si>
  <si>
    <t>Кольца 2T TB 50, Suzuki RUN 50 .STD (Ø41,00) оригинал Taiwan "SEE"</t>
  </si>
  <si>
    <t>https://b2beez.ru/images/detailed/168/6224627750_g2kl-lr.jpg</t>
  </si>
  <si>
    <t>K-5460</t>
  </si>
  <si>
    <t>Кольца Yamaha JOG 65 0,25 (Ø44,25, 2JA/3KJ) оригинал Taiwan "SEE" (mod.A)</t>
  </si>
  <si>
    <t>https://b2beez.ru/images/detailed/168/6224627676_zzyj-ay.jpg</t>
  </si>
  <si>
    <t>K-5463</t>
  </si>
  <si>
    <t>Кольца Yamaha JOG 72 0,25 (Ø47,25, 2JA/3KJ) оригинал Taiwan "SEE" (mod.B)</t>
  </si>
  <si>
    <t>https://b2beez.ru/images/detailed/168/6224627698_ly5c-zv.jpg</t>
  </si>
  <si>
    <t>K-5470</t>
  </si>
  <si>
    <t>Кольца Yamaha JOG 65 0,50 (Ø44,50, 2JA/3KJ) оригинал Taiwan "SEE" (mod.B)</t>
  </si>
  <si>
    <t>https://b2beez.ru/images/detailed/168/6224627676_r0xf-cf.jpg</t>
  </si>
  <si>
    <t>K-5473</t>
  </si>
  <si>
    <t>Кольца Yamaha JOG 72 0,50 (Ø47,50, 2JA/3KJ) оригинал Taiwan "SEE" (mod.B)</t>
  </si>
  <si>
    <t>https://b2beez.ru/images/detailed/168/orig_5l4c-t5.jpg</t>
  </si>
  <si>
    <t>K-5477</t>
  </si>
  <si>
    <t>Кольца Yamaha JOG 90 .STD (Ø50,00) оригинал Taiwan "SEE"</t>
  </si>
  <si>
    <t>https://b2beez.ru/images/detailed/168/6224628342.jpg</t>
  </si>
  <si>
    <t>K-5481</t>
  </si>
  <si>
    <t>Кольца Yamaha AXIS 100/BW'S 100 0,25 (Ø52,25) оригинал Taiwan "SEE"</t>
  </si>
  <si>
    <t>https://b2beez.ru/images/detailed/168/6224628517_w9q2-ax.jpg</t>
  </si>
  <si>
    <t>K-55</t>
  </si>
  <si>
    <t>Кольца 4T GY6 100 1,00 (Ø51,00) "KOSO"</t>
  </si>
  <si>
    <t>https://b2beez.ru/images/detailed/168/6224627810_za2k-jq.jpg</t>
  </si>
  <si>
    <t>K-5535</t>
  </si>
  <si>
    <t>Кольца 2T Stels 65 0,25 (Ø44,25 p-12) оригинал Taiwan "SEE"</t>
  </si>
  <si>
    <t>https://b2beez.ru/images/detailed/168/6224627676_pkcw-h4.jpg</t>
  </si>
  <si>
    <t>K-5538</t>
  </si>
  <si>
    <t>Кольца 2T Stels 72 0,25 (Ø47,25 p-12) оригинал Taiwan "SEE"</t>
  </si>
  <si>
    <t>https://b2beez.ru/images/detailed/168/6224627698_01yo-4d.jpg</t>
  </si>
  <si>
    <t>K-5600</t>
  </si>
  <si>
    <t>Кольца Honda DIO 75 0,75 (Ø47,75) оригинал Taiwan "SEE"</t>
  </si>
  <si>
    <t>https://b2beez.ru/images/detailed/168/6224628197_zw8x-em.jpg</t>
  </si>
  <si>
    <t>K-5606</t>
  </si>
  <si>
    <t>Кольца Honda DIO ZX 65 1,00 (Ø45,00) оригинал Taiwan "SEE"</t>
  </si>
  <si>
    <t>https://b2beez.ru/images/detailed/168/6224627676_xk0l-pu.jpg</t>
  </si>
  <si>
    <t>K-5611</t>
  </si>
  <si>
    <t>Кольца Honda TACT 65 0,75 (Ø44,75 AF16) оригинал Taiwan "SEE"</t>
  </si>
  <si>
    <t>https://b2beez.ru/images/detailed/168/6224627676_8quj-r2.jpg</t>
  </si>
  <si>
    <t>K-5612</t>
  </si>
  <si>
    <t>Кольца Honda TACT 65 1,00 (Ø45,00 AF16) оригинал Taiwan "SEE"</t>
  </si>
  <si>
    <t>https://b2beez.ru/images/detailed/168/6224627676_gmd5-vq.jpg</t>
  </si>
  <si>
    <t>K-5613</t>
  </si>
  <si>
    <t>Кольца Honda TACT 80 0,75 (Ø47,75 AF16) оригинал Taiwan "SEE"</t>
  </si>
  <si>
    <t>https://b2beez.ru/images/detailed/168/6224627698_tc6s-n0.jpg</t>
  </si>
  <si>
    <t>K-5614</t>
  </si>
  <si>
    <t>Кольца Honda TACT 80 1,00 (Ø48,00 AF16) оригинал Taiwan "SEE"</t>
  </si>
  <si>
    <t>https://b2beez.ru/images/detailed/168/6224627698_2hu3-ym.jpg</t>
  </si>
  <si>
    <t>K-5627</t>
  </si>
  <si>
    <t>Кольца Suzuki AD 65 0,75 (Ø44,75) оригинал Taiwan "SEE"</t>
  </si>
  <si>
    <t>https://b2beez.ru/images/detailed/168/6224627676_al07-he.jpg</t>
  </si>
  <si>
    <t>K-5628</t>
  </si>
  <si>
    <t>Кольца Suzuki AD 65 1,00 (Ø45,00) оригинал Taiwan "SEE"</t>
  </si>
  <si>
    <t>https://b2beez.ru/images/detailed/168/6224627676_svhc-r8.jpg</t>
  </si>
  <si>
    <t>K-5629</t>
  </si>
  <si>
    <t>Кольца Suzuki AD 72 0,75 (Ø47,75) оригинал Taiwan "SEE"</t>
  </si>
  <si>
    <t>https://b2beez.ru/images/detailed/168/6224627676_144d-3s.jpg</t>
  </si>
  <si>
    <t>K-5631</t>
  </si>
  <si>
    <t>Кольца Suzuki AD 100 0,75 (Ø53,25) оригинал Taiwan "SEE"</t>
  </si>
  <si>
    <t>https://b2beez.ru/images/detailed/168/6224628261_jnud-lj.jpg</t>
  </si>
  <si>
    <t>K-5637</t>
  </si>
  <si>
    <t>Кольца Suzuki LET'S 72 0,75 (Ø47,75) оригинал Taiwan "SEE"</t>
  </si>
  <si>
    <t>https://b2beez.ru/images/detailed/168/6224627698_1m6u-8p.jpg</t>
  </si>
  <si>
    <t>K-5648</t>
  </si>
  <si>
    <t>Кольца Yamaha JOG 72 1,00 (Ø48,00, 2JA/3KJ) оригинал Taiwan "SEE" (mod.A)</t>
  </si>
  <si>
    <t>https://b2beez.ru/images/detailed/168/6224627698_fbyd-pt.jpg</t>
  </si>
  <si>
    <t>K-5652</t>
  </si>
  <si>
    <t>Кольца Yamaha JOG 65 1,00 (Ø45,00, 2JA/3KJ) оригинал Taiwan "SEE" (mod.B)</t>
  </si>
  <si>
    <t>https://b2beez.ru/images/detailed/168/6224627676_o3la-4a.jpg</t>
  </si>
  <si>
    <t>K-5653</t>
  </si>
  <si>
    <t>Кольца Yamaha JOG 72 0,75 (Ø47,75, 2JA/3KJ) оригинал Taiwan "SEE" (mod.A)</t>
  </si>
  <si>
    <t>https://b2beez.ru/images/detailed/168/6224627698_f822-37.jpg</t>
  </si>
  <si>
    <t>K-5654</t>
  </si>
  <si>
    <t>Кольца Yamaha JOG 72 1,00 (Ø48,00, 2JA/3KJ) оригинал Taiwan "SEE" (mod.B)</t>
  </si>
  <si>
    <t>https://b2beez.ru/images/detailed/168/6224627698_y52o-1u.jpg</t>
  </si>
  <si>
    <t>K-5657</t>
  </si>
  <si>
    <t>Кольца Yamaha JOG 90 0,75 (Ø50,75) оригинал Taiwan "SEE"</t>
  </si>
  <si>
    <t>https://b2beez.ru/images/detailed/168/6224628342_ctq9-rn.jpg</t>
  </si>
  <si>
    <t>K-59</t>
  </si>
  <si>
    <t>Кольца 4T GY6 125 1,00 (Ø53,15) "KOSO"</t>
  </si>
  <si>
    <t>https://b2beez.ru/images/detailed/204/K-59.jpg</t>
  </si>
  <si>
    <t>K-6066</t>
  </si>
  <si>
    <t>Картер 4T GY6 50 (139QMB/A) (правый) "BEEZMOTO"</t>
  </si>
  <si>
    <t>https://b2beez.ru/images/detailed/168/6741711466.jpg</t>
  </si>
  <si>
    <t>K-65</t>
  </si>
  <si>
    <t>Кольца 4T GY6 50 .STD (Ø39,00) "KOSO"</t>
  </si>
  <si>
    <t>https://b2beez.ru/images/detailed/168/6224627810_x0sp-ce.jpg</t>
  </si>
  <si>
    <t>K-67</t>
  </si>
  <si>
    <t>Кольца 4T GY6 50 0,75 (Ø39,75) "KOSO"</t>
  </si>
  <si>
    <t>https://b2beez.ru/images/detailed/168/6224627810_h7wq-hu.jpg</t>
  </si>
  <si>
    <t>K-6734</t>
  </si>
  <si>
    <t>Кольца 2T Stels 50 .STD (Ø40,00) "SUNY" (mod.A)</t>
  </si>
  <si>
    <t>https://b2beez.ru/images/detailed/168/6224627905.jpg</t>
  </si>
  <si>
    <t>K-6735</t>
  </si>
  <si>
    <t>Кольца 2T Stels 50 .STD (Ø40,00) "SUNY" (mod.B)</t>
  </si>
  <si>
    <t>https://b2beez.ru/images/detailed/168/orig_9z0v-wh.jpg</t>
  </si>
  <si>
    <t>K-6741</t>
  </si>
  <si>
    <t>Кольца 2T Stels 50 0,75 (Ø40,75) "SUNY" (mod.B)</t>
  </si>
  <si>
    <t>https://b2beez.ru/images/detailed/168/6224628015.jpg</t>
  </si>
  <si>
    <t>K-6742</t>
  </si>
  <si>
    <t>Кольца 2T Stels 50 0.25 (Ø40,25) "SUNY" (mod.A)</t>
  </si>
  <si>
    <t>https://b2beez.ru/images/detailed/168/6224627783.jpg</t>
  </si>
  <si>
    <t>K-6743</t>
  </si>
  <si>
    <t>Кольца 2T Stels 50 0.25 (Ø40,25) "SUNY" (mod.B)</t>
  </si>
  <si>
    <t>https://b2beez.ru/images/detailed/168/6224628231.jpg</t>
  </si>
  <si>
    <t>K-6744</t>
  </si>
  <si>
    <t>Кольца 2T Stels 50 0.50 (Ø40,50) "SUNY" (mod.A)</t>
  </si>
  <si>
    <t>https://b2beez.ru/images/detailed/168/6224627864.jpg</t>
  </si>
  <si>
    <t>K-6746</t>
  </si>
  <si>
    <t>Кольца 2T Stels 50 1,00 (Ø41,00) "SUNY" (mod.A)</t>
  </si>
  <si>
    <t>https://b2beez.ru/images/detailed/168/6224627686.jpg</t>
  </si>
  <si>
    <t>K-6752</t>
  </si>
  <si>
    <t>Кольца 2T TB 50, Suzuki RUN 50 .STD (Ø41,00) "SUNY" (mod.A)</t>
  </si>
  <si>
    <t>https://b2beez.ru/images/detailed/168/6224627843.jpg</t>
  </si>
  <si>
    <t>K-6753</t>
  </si>
  <si>
    <t>Кольца 2T TB 50, Suzuki RUN 50 .STD (Ø41,00) "SUNY" (mod.B)</t>
  </si>
  <si>
    <t>https://b2beez.ru/images/detailed/168/6224627925.jpg</t>
  </si>
  <si>
    <t>K-6757</t>
  </si>
  <si>
    <t>Кольца 2T TB 50, Suzuki RUN 50 .STD (Ø41,00) "JIN" (mod.A)</t>
  </si>
  <si>
    <t>https://b2beez.ru/images/detailed/168/6224627896.jpg</t>
  </si>
  <si>
    <t>K-6763</t>
  </si>
  <si>
    <t>Кольца 2T TB 60, Suzuki RUN 60 .STD (Ø43,00) "SUNY" (mod.B)</t>
  </si>
  <si>
    <t>https://b2beez.ru/images/detailed/168/6224628213.jpg</t>
  </si>
  <si>
    <t>K-6768</t>
  </si>
  <si>
    <t>Кольца 2T TB 60, Suzuki RUN 60 0,50 (Ø43,50) "SUNY" (mod.A)</t>
  </si>
  <si>
    <t>https://b2beez.ru/images/detailed/168/6224627786.jpg</t>
  </si>
  <si>
    <t>K-6770</t>
  </si>
  <si>
    <t>Кольца 2T TB 60, Suzuki RUN 60 0,75 (Ø43,75) "SUNY" (mod.A)</t>
  </si>
  <si>
    <t>https://b2beez.ru/images/detailed/168/6224627934.jpg</t>
  </si>
  <si>
    <t>K-6830</t>
  </si>
  <si>
    <t>Кольца 4T GY6 100 0,25 (Ø50,25) "SUNY" (mod.A)</t>
  </si>
  <si>
    <t>https://b2beez.ru/images/detailed/168/6224627862.jpg</t>
  </si>
  <si>
    <t>K-6857</t>
  </si>
  <si>
    <t>Кольца 4T GY6 150 0,50 (Ø58,00) "SUNY" (mod.B)</t>
  </si>
  <si>
    <t>https://b2beez.ru/images/detailed/168/orig_b94u-9j.jpg</t>
  </si>
  <si>
    <t>K-6870</t>
  </si>
  <si>
    <t>Кольца 4T GY6 60 .STD (Ø44,00) "SUNY" (mod.A)</t>
  </si>
  <si>
    <t>https://b2beez.ru/images/detailed/168/6224628112.jpg</t>
  </si>
  <si>
    <t>K-6874</t>
  </si>
  <si>
    <t>Кольца 4T GY6 60 .STD (Ø44,00) "JIN" (mod.A)</t>
  </si>
  <si>
    <t>https://b2beez.ru/images/detailed/168/6224627845.jpg</t>
  </si>
  <si>
    <t>K-6888</t>
  </si>
  <si>
    <t>Кольца 4T GY6 80 0,50 (Ø47,50) "SUNY" (mod.B)</t>
  </si>
  <si>
    <t>https://b2beez.ru/images/detailed/168/6224628103.jpg</t>
  </si>
  <si>
    <t>K-69</t>
  </si>
  <si>
    <t>Кольца 4T GY6 60 0,75 (Ø44,75) "KOSO"</t>
  </si>
  <si>
    <t>https://b2beez.ru/images/detailed/168/6224627810_ldqk-cu.jpg</t>
  </si>
  <si>
    <t>K-6949</t>
  </si>
  <si>
    <t>Кольца Honda DIO ZX 50 .STD (Ø40,00) "SUNY" (mod.A)</t>
  </si>
  <si>
    <t>https://b2beez.ru/images/detailed/168/6224628358.jpg</t>
  </si>
  <si>
    <t>K-6950</t>
  </si>
  <si>
    <t>Кольца Honda DIO ZX 50 .STD (Ø40,00) "SUNY" (mod.B)</t>
  </si>
  <si>
    <t>https://b2beez.ru/images/detailed/169/6224628339.jpg</t>
  </si>
  <si>
    <t>K-6955</t>
  </si>
  <si>
    <t>Кольца Honda DIO ZX 50 0,25 (Ø40,25) "SUNY" (mod.A)</t>
  </si>
  <si>
    <t>https://b2beez.ru/images/detailed/169/6224628432.jpg</t>
  </si>
  <si>
    <t>K-6956</t>
  </si>
  <si>
    <t>Кольца Honda DIO ZX 50 0,25 (Ø40,25) "BAJAJ" (mod.B)</t>
  </si>
  <si>
    <t>https://b2beez.ru/images/detailed/169/orig.jpg</t>
  </si>
  <si>
    <t>K-6976</t>
  </si>
  <si>
    <t>Кольца Honda LEAD, GYRO 50 .STD (Ø40: AF01E, AF03E, TA01E) "JIN" (mod.A)</t>
  </si>
  <si>
    <t>https://b2beez.ru/images/detailed/169/6224628425.jpg</t>
  </si>
  <si>
    <t>K-6977</t>
  </si>
  <si>
    <t>Кольца Honda PAL 50 .STD (Ø41,00 AF17) "SUNY" (mod.A)</t>
  </si>
  <si>
    <t>https://b2beez.ru/images/detailed/169/6224628575.jpg</t>
  </si>
  <si>
    <t>K-6978</t>
  </si>
  <si>
    <t>Кольца Honda PAL 50 .STD (Ø41,00 AF17) "SUNY" (mod.B)</t>
  </si>
  <si>
    <t>https://b2beez.ru/images/detailed/169/6224628527.jpg</t>
  </si>
  <si>
    <t>K-6991</t>
  </si>
  <si>
    <t>Кольца Honda TACT 50 .STD (Ø41,00 AF16) "SUNY" (mod.A)</t>
  </si>
  <si>
    <t>https://b2beez.ru/images/detailed/169/6224628610.jpg</t>
  </si>
  <si>
    <t>K-6992</t>
  </si>
  <si>
    <t>Кольца Honda TACT 50 .STD (Ø41,00 AF16) "SUNY" (mod.B)</t>
  </si>
  <si>
    <t>https://b2beez.ru/images/detailed/169/6224628467.jpg</t>
  </si>
  <si>
    <t>K-70</t>
  </si>
  <si>
    <t>Кольца 4T GY6 60 1,00 (Ø45,00) "KOSO"</t>
  </si>
  <si>
    <t>https://b2beez.ru/images/detailed/169/6224627810.jpg</t>
  </si>
  <si>
    <t>K-7006</t>
  </si>
  <si>
    <t>Кольца Suzuki AD 100 .STD (Ø52,50) "SUNY" (mod.B)</t>
  </si>
  <si>
    <t>https://b2beez.ru/images/detailed/169/6224628508.jpg</t>
  </si>
  <si>
    <t>K-7010</t>
  </si>
  <si>
    <t>Кольца Suzuki AD 100 0,50 (Ø53,00) "SUNY" (mod.B)</t>
  </si>
  <si>
    <t>https://b2beez.ru/images/detailed/169/6224628656.jpg</t>
  </si>
  <si>
    <t>K-7012</t>
  </si>
  <si>
    <t>Кольца Suzuki AD 100 0,75 (Ø53,25) "SUNY" (mod.B)</t>
  </si>
  <si>
    <t>https://b2beez.ru/images/detailed/169/6224628709.jpg</t>
  </si>
  <si>
    <t>K-7014</t>
  </si>
  <si>
    <t>Кольца Suzuki AD 100 1,00 (Ø53,50) "SUNY" (mod.B)</t>
  </si>
  <si>
    <t>https://b2beez.ru/images/detailed/169/6224628722.jpg</t>
  </si>
  <si>
    <t>K-7015</t>
  </si>
  <si>
    <t>Кольца Suzuki AD 50 .STD (Ø41,00) "SUNY" (mod.A)</t>
  </si>
  <si>
    <t>https://b2beez.ru/images/detailed/169/6224628751.jpg</t>
  </si>
  <si>
    <t>K-7016</t>
  </si>
  <si>
    <t>Кольца Suzuki AD 50 .STD (Ø41,00) "SUNY" (mod.B)</t>
  </si>
  <si>
    <t>https://b2beez.ru/images/detailed/169/6224628760.jpg</t>
  </si>
  <si>
    <t>K-7025</t>
  </si>
  <si>
    <t>Кольца Suzuki LET'S 50 .STD (Ø41,00) "SUNY" (mod.A)</t>
  </si>
  <si>
    <t>https://b2beez.ru/images/detailed/169/6224628736.jpg</t>
  </si>
  <si>
    <t>K-7026</t>
  </si>
  <si>
    <t>Кольца Suzuki LET'S 50 .STD (Ø41,00) "SUNY" (mod.B)</t>
  </si>
  <si>
    <t>https://b2beez.ru/images/detailed/169/6224628689.jpg</t>
  </si>
  <si>
    <t>K-7043</t>
  </si>
  <si>
    <t>Кольца Yamaha AXIS 100/BW'S 100 0,25 (Ø52,25) "SUNY" (mod.A)</t>
  </si>
  <si>
    <t>https://b2beez.ru/images/detailed/169/6224628934.jpg</t>
  </si>
  <si>
    <t>K-7044</t>
  </si>
  <si>
    <t>Кольца Yamaha JOG 50 .STD (Ø40,00, 2JA/3KJ) "SUNY" (mod.A)</t>
  </si>
  <si>
    <t>https://b2beez.ru/images/detailed/169/6224628845.jpg</t>
  </si>
  <si>
    <t>K-7049</t>
  </si>
  <si>
    <t>Кольца Yamaha JOG 50 .STD (Ø40,00, 2JA/3KJ) "JIN" (mod.A)</t>
  </si>
  <si>
    <t>https://b2beez.ru/images/detailed/169/6224628814.jpg</t>
  </si>
  <si>
    <t>K-7062</t>
  </si>
  <si>
    <t>Кольца Yamaha JOG 50 0,50 (Ø40,50, 2JA/3KJ) "SUNY" (mod.C)</t>
  </si>
  <si>
    <t>https://b2beez.ru/images/detailed/169/6224628732.jpg</t>
  </si>
  <si>
    <t>K-7066</t>
  </si>
  <si>
    <t>Кольца Yamaha JOG 50 1,00 (Ø41,00, 2JA/3KJ) "SUNY" (mod.A)</t>
  </si>
  <si>
    <t>https://b2beez.ru/images/detailed/169/6224628693.jpg</t>
  </si>
  <si>
    <t>K-7069</t>
  </si>
  <si>
    <t>Кольца Yamaha JOG 65 .STD (Ø44,00, 2JA/3KJ) "JIN" (mod.A)</t>
  </si>
  <si>
    <t>https://b2beez.ru/images/detailed/169/6224628627.jpg</t>
  </si>
  <si>
    <t>K-7079</t>
  </si>
  <si>
    <t>https://b2beez.ru/images/detailed/169/6224628734_ttf8-a3.jpg</t>
  </si>
  <si>
    <t>K-7083</t>
  </si>
  <si>
    <t>Кольца Yamaha JOG 50 0,75 (Ø40,75, 2JA/3KJ) "SUNY" (mod.D)</t>
  </si>
  <si>
    <t>https://b2beez.ru/images/detailed/169/6224628972.jpg</t>
  </si>
  <si>
    <t>K-7124</t>
  </si>
  <si>
    <t>Кольца Honda DIO 50 0,25 (Ø39,25) "BAJAJ" (mod.B)</t>
  </si>
  <si>
    <t>https://b2beez.ru/images/detailed/169/orig_fr0i-rt.jpg</t>
  </si>
  <si>
    <t>K-7127</t>
  </si>
  <si>
    <t>Кольца Honda DIO 50 0,50 (Ø39,50) "SUNY" (mod.B)</t>
  </si>
  <si>
    <t>https://b2beez.ru/images/detailed/169/6224628203.jpg</t>
  </si>
  <si>
    <t>K-7129</t>
  </si>
  <si>
    <t>Кольца Honda DIO 50 0,75 (Ø39,75) "SUNY" (mod.B)</t>
  </si>
  <si>
    <t>https://b2beez.ru/images/detailed/169/6224628136.jpg</t>
  </si>
  <si>
    <t>K-79</t>
  </si>
  <si>
    <t>Кольца Honda DIO ZX 50 0,25 (Ø40,25) "KOSO"</t>
  </si>
  <si>
    <t>https://b2beez.ru/images/detailed/169/6224627748_dbk1-tq.jpg</t>
  </si>
  <si>
    <t>K-91</t>
  </si>
  <si>
    <t>Кольца Honda LEAD 90 0,75 (Ø48,75) "KOSO"</t>
  </si>
  <si>
    <t>https://b2beez.ru/images/detailed/169/6224627748_l3rj-6d.jpg</t>
  </si>
  <si>
    <t>K-92</t>
  </si>
  <si>
    <t>Кольца Honda TACT 50 .STD (Ø41,00 AF16) "KOSO"</t>
  </si>
  <si>
    <t>https://b2beez.ru/images/detailed/169/6224627748_cq2j-hd.jpg</t>
  </si>
  <si>
    <t>K-93</t>
  </si>
  <si>
    <t>Кольца Honda TACT 50 0,25 (Ø41,25 AF16) "KOSO"</t>
  </si>
  <si>
    <t>https://b2beez.ru/images/detailed/169/6224627748_ffb6-f3.jpg</t>
  </si>
  <si>
    <t>K-979</t>
  </si>
  <si>
    <t>Колодки тормозные (диск) Suzuki AD50 "BEEZMOTO"</t>
  </si>
  <si>
    <t>https://b2beez.ru/images/detailed/169/6204106180.jpg</t>
  </si>
  <si>
    <t>L-81</t>
  </si>
  <si>
    <t>Лепестковый клапан Yamaha CV-80</t>
  </si>
  <si>
    <t>https://b2beez.ru/images/detailed/169/6241082449.jpg</t>
  </si>
  <si>
    <t>M-350</t>
  </si>
  <si>
    <t>Звезда привода маслонасоса (на маслонасос) 4T GY6 125/150 "SUNY"</t>
  </si>
  <si>
    <t>https://b2beez.ru/images/detailed/169/orig_4w3z-06.jpg</t>
  </si>
  <si>
    <t>M-648</t>
  </si>
  <si>
    <t>Шестерня масляного насоса GY6 125/150 (152QMI, 157QMJ) "KOMATCU"</t>
  </si>
  <si>
    <t>https://b2beez.ru/images/detailed/170/orig_cf6j-nm.jpg</t>
  </si>
  <si>
    <t>O-1998</t>
  </si>
  <si>
    <t>Стекло поворотов зад (пара) Honda TACT AF24 "KOMATCU"</t>
  </si>
  <si>
    <t>https://b2beez.ru/images/detailed/172/6230191956.jpg</t>
  </si>
  <si>
    <t>O-751</t>
  </si>
  <si>
    <t>Стекло поворотов перед (пара) Suzuki LET'S 1 "KOMATCU"</t>
  </si>
  <si>
    <t>https://b2beez.ru/images/detailed/172/orig_ewmh-cr.jpg</t>
  </si>
  <si>
    <t>P-12</t>
  </si>
  <si>
    <t>Палец вариатора 4T GY6 50 (D-20mm, L-38mm) "DONGXIN"</t>
  </si>
  <si>
    <t>https://b2beez.ru/images/detailed/172/6241082489.jpg</t>
  </si>
  <si>
    <t>P-1208</t>
  </si>
  <si>
    <t>Пружины колодок сцепления Honda DIO AF27 (1000rpm, 3шт) "KOSO"</t>
  </si>
  <si>
    <t>https://b2beez.ru/images/detailed/172/6287756924_0x3b-ro.jpg</t>
  </si>
  <si>
    <t>P-1228</t>
  </si>
  <si>
    <t>Пружины колодок сцепления 4T GY6 150 (1500rpm, 3шт) "KOSO"</t>
  </si>
  <si>
    <t>https://b2beez.ru/images/detailed/172/orig_7e48-1u.jpg</t>
  </si>
  <si>
    <t>P-1230</t>
  </si>
  <si>
    <t>Пружины колодок сцепления 4T GY6 150 (2000rpm, 3шт) "KOSO"</t>
  </si>
  <si>
    <t>https://b2beez.ru/images/detailed/172/orig_0b10-an.jpg</t>
  </si>
  <si>
    <t>P-1234</t>
  </si>
  <si>
    <t>Пружины колодок сцепления 4T GY6 50 (2000rpm, 3шт) "KOSO"</t>
  </si>
  <si>
    <t>https://b2beez.ru/images/detailed/172/orig_k804-o3.jpg</t>
  </si>
  <si>
    <t>P-1236</t>
  </si>
  <si>
    <t>Пружины колодок сцепления Yamaha JOG 50 (1000rpm, 3шт) "KOSO"</t>
  </si>
  <si>
    <t>https://b2beez.ru/images/detailed/172/orig_3pk5-f4.jpg</t>
  </si>
  <si>
    <t>P-1248</t>
  </si>
  <si>
    <t>Пружины колодок сцепления Honda LEAD 90 (1500rpm, 3шт) "KOSO"</t>
  </si>
  <si>
    <t>https://b2beez.ru/images/detailed/172/6228734362_az8j-3b.jpg</t>
  </si>
  <si>
    <t>P-1437</t>
  </si>
  <si>
    <t>Сальники (набор) Suzuki AD110 3шт коленвальные (30*40*6, 17*27*6, 24*43*6) "HND"</t>
  </si>
  <si>
    <t>https://b2beez.ru/images/detailed/172/6228542149.jpg</t>
  </si>
  <si>
    <t>P-148</t>
  </si>
  <si>
    <t>Поршень 2T TB 60, Suzuki RUN 0,75 (Ø43,75 p-10) "TNT"</t>
  </si>
  <si>
    <t>https://b2beez.ru/images/detailed/172/6224689384.jpg</t>
  </si>
  <si>
    <t>P-151</t>
  </si>
  <si>
    <t>Поршень 2T TB 60, Suzuki RUN 1,00 (Ø44,00 p-10) "TNT"</t>
  </si>
  <si>
    <t>https://b2beez.ru/images/detailed/172/6224689390.jpg</t>
  </si>
  <si>
    <t>P-171</t>
  </si>
  <si>
    <t>Поршень 4T GY6 125 0,50 (Ø53,00) "TNT"</t>
  </si>
  <si>
    <t>https://b2beez.ru/images/detailed/173/6224689294.jpg</t>
  </si>
  <si>
    <t>P-177</t>
  </si>
  <si>
    <t>Поршень 4T GY6 125 1,00 (Ø53,50) "TNT"</t>
  </si>
  <si>
    <t>https://b2beez.ru/images/detailed/173/6224689294_nngs-tk.jpg</t>
  </si>
  <si>
    <t>P-1803</t>
  </si>
  <si>
    <t>Сальник вилки Zongshen VICTORY (30*40,5*10,5) "BEEZMOTO"</t>
  </si>
  <si>
    <t>https://b2beez.ru/images/detailed/173/7171626659.jpg</t>
  </si>
  <si>
    <t>P-1828</t>
  </si>
  <si>
    <t>Успокоитель цепи ГРМ 4T GY6 125/150 "BEEZMOTO"</t>
  </si>
  <si>
    <t>https://b2beez.ru/images/detailed/173/orig_a84s-8x.jpg</t>
  </si>
  <si>
    <t>P-185</t>
  </si>
  <si>
    <t>Поршень 4T GY6 150 0,25 (Ø57,65) "TNT"</t>
  </si>
  <si>
    <t>https://b2beez.ru/images/detailed/173/orig_xpol-ur.jpg</t>
  </si>
  <si>
    <t>P-2000</t>
  </si>
  <si>
    <t>Прокладки цилиндра (набор) Honda LEAD 90 Ø48mm (mod:C) "MAX GASKETS"</t>
  </si>
  <si>
    <t>https://b2beez.ru/images/detailed/173/6224781883.jpg</t>
  </si>
  <si>
    <t>P-2052</t>
  </si>
  <si>
    <t>Прокладки цилиндра (набор) Honda TACT AF16 Ø47mm "SHANGZHI" (mod:A)</t>
  </si>
  <si>
    <t>https://b2beez.ru/images/detailed/173/6224782212.jpg</t>
  </si>
  <si>
    <t>P-2054</t>
  </si>
  <si>
    <t>Прокладки цилиндра (набор) Honda TACT AF16 Ø47mm "MAX GASKETS" (mod:C)</t>
  </si>
  <si>
    <t>https://b2beez.ru/images/detailed/173/6224782690.jpg</t>
  </si>
  <si>
    <t>P-207</t>
  </si>
  <si>
    <t>Поршень 4T GY6 50 0,75 (Ø39,75) "TNT"</t>
  </si>
  <si>
    <t>https://b2beez.ru/images/detailed/173/orig_l6vl-za.jpg</t>
  </si>
  <si>
    <t>P-217</t>
  </si>
  <si>
    <t>Поршень 4T GY6 60 0,25 (Ø44,25) "TNT"</t>
  </si>
  <si>
    <t>https://b2beez.ru/images/detailed/173/6224689314.jpg</t>
  </si>
  <si>
    <t>P-219</t>
  </si>
  <si>
    <t>Поршень 4T GY6 60 0,50 (Ø44,50)</t>
  </si>
  <si>
    <t>https://b2beez.ru/images/detailed/173/6224689400.jpg</t>
  </si>
  <si>
    <t>P-221</t>
  </si>
  <si>
    <t>Поршень 4T GY6 60 0,50 (Ø44,50) "TNT"</t>
  </si>
  <si>
    <t>https://b2beez.ru/images/detailed/173/6224689314_x1dh-bi.jpg</t>
  </si>
  <si>
    <t>P-224</t>
  </si>
  <si>
    <t>Поршень 4T GY6 60 0,75 (Ø44,75) "TNT"</t>
  </si>
  <si>
    <t>https://b2beez.ru/images/detailed/173/6224689314_vh42-l4.jpg</t>
  </si>
  <si>
    <t>P-227</t>
  </si>
  <si>
    <t>Поршень 4T GY6 60 1,00 (Ø45,00) "TNT"</t>
  </si>
  <si>
    <t>https://b2beez.ru/images/detailed/173/6224689314_9fza-wy.jpg</t>
  </si>
  <si>
    <t>P-238</t>
  </si>
  <si>
    <t>Поршень 4T GY6 80 0,50 (Ø47,50) "TNT"</t>
  </si>
  <si>
    <t>https://b2beez.ru/images/detailed/173/6224689324_7n4l-k8.jpg</t>
  </si>
  <si>
    <t>P-2935</t>
  </si>
  <si>
    <t>Прокладки глушителя (компл.) 4T GY6 50 (2 прокладки, 3 болта)</t>
  </si>
  <si>
    <t>https://b2beez.ru/images/detailed/173/orig_ns0n-hh.jpg</t>
  </si>
  <si>
    <t>P-2937</t>
  </si>
  <si>
    <t>Поршень Suzuki VECSTAR AN125 .STD (Ø52,00) "JIN"</t>
  </si>
  <si>
    <t>https://b2beez.ru/images/detailed/173/6224689674.jpg</t>
  </si>
  <si>
    <t>P-2940</t>
  </si>
  <si>
    <t>Поршень Suzuki VECSTAR AN150 0,25 (Ø57,75) "PRIMIUM D&amp;K"</t>
  </si>
  <si>
    <t>https://b2beez.ru/images/detailed/173/6224689680_vd8d-kq.jpg</t>
  </si>
  <si>
    <t>P-2965</t>
  </si>
  <si>
    <t>Поршень Honda CH125 SPACY/ELITE .STD (Ø52,40 p-15) "JIN"</t>
  </si>
  <si>
    <t>https://b2beez.ru/images/detailed/173/6224689397.jpg</t>
  </si>
  <si>
    <t>P-3359</t>
  </si>
  <si>
    <t>Пружина торкдрайвера Yamaha JOG (2000RPM) "DLH"</t>
  </si>
  <si>
    <t>https://b2beez.ru/images/detailed/173/7160329664.jpg</t>
  </si>
  <si>
    <t>P-3496</t>
  </si>
  <si>
    <t>Пластик Honda DIO AF34/35 бака топливного (лючок) "KOMATCU"</t>
  </si>
  <si>
    <t>https://b2beez.ru/images/detailed/173/6923372922.jpg</t>
  </si>
  <si>
    <t>P-3789</t>
  </si>
  <si>
    <t>Пластик Suzuki AD50 накладки на перья (черные) "KOMATCU"</t>
  </si>
  <si>
    <t>https://b2beez.ru/images/detailed/173/orig_wpg9-nh.jpg</t>
  </si>
  <si>
    <t>P-407</t>
  </si>
  <si>
    <t>Поршень Suzuki AD 100 0,50 (Ø53,00 p-12) "TNT"</t>
  </si>
  <si>
    <t>https://b2beez.ru/images/detailed/173/6224689479_je1j-bd.jpg</t>
  </si>
  <si>
    <t>P-412</t>
  </si>
  <si>
    <t>Поршень Suzuki AD 100 1,00 (Ø53,50 p-12) "TNT"</t>
  </si>
  <si>
    <t>https://b2beez.ru/images/detailed/173/orig_1a26-bu.jpg</t>
  </si>
  <si>
    <t>P-448</t>
  </si>
  <si>
    <t>Поршень Suzuki AD 65 0,75 (Ø44,75) "TNT"</t>
  </si>
  <si>
    <t>https://b2beez.ru/images/detailed/173/6224689691_zlp2-ga.jpg</t>
  </si>
  <si>
    <t>P-449</t>
  </si>
  <si>
    <t>Поршень Suzuki AD 65 1,00 (Ø45,00) "TNT"</t>
  </si>
  <si>
    <t>https://b2beez.ru/images/detailed/173/orig_58vc-nm.jpg</t>
  </si>
  <si>
    <t>P-4515</t>
  </si>
  <si>
    <t>Накладка крышки генератора диодная (красная) "GJCT"</t>
  </si>
  <si>
    <t>https://b2beez.ru/images/detailed/173/6242641592.jpg</t>
  </si>
  <si>
    <t>P-4517</t>
  </si>
  <si>
    <t>Накладка крышки генератора диодная (желтая) mod;2 "GJCT"</t>
  </si>
  <si>
    <t>https://b2beez.ru/images/detailed/173/6241082529.jpg</t>
  </si>
  <si>
    <t>P-5262</t>
  </si>
  <si>
    <t>Прокладки цилиндра (набор) Honda DIO ZX Ø40mm "BEEZMOTO"</t>
  </si>
  <si>
    <t>https://b2beez.ru/images/detailed/174/orig_f4jq-a6.jpg</t>
  </si>
  <si>
    <t>P-5380</t>
  </si>
  <si>
    <t>Стекло стоп-сигнала и поворотов Honda DIO AF18/25 "KOMATCU"</t>
  </si>
  <si>
    <t>https://b2beez.ru/images/detailed/174/6242640613.jpg</t>
  </si>
  <si>
    <t>P-5382</t>
  </si>
  <si>
    <t>Стекло стоп-сигнала и поворотов Suzuki SEPIA ZZ "KOMATCU"</t>
  </si>
  <si>
    <t>https://b2beez.ru/images/detailed/174/6228542374.jpg</t>
  </si>
  <si>
    <t>P-5520</t>
  </si>
  <si>
    <t>Поршень Honda PAL 50 0,25 (Ø41,25 AF17) оригинал Taiwan "SEE"</t>
  </si>
  <si>
    <t>https://b2beez.ru/images/detailed/174/6224689452.jpg</t>
  </si>
  <si>
    <t>P-5521</t>
  </si>
  <si>
    <t>Поршень Honda PAL 50 0,50 (Ø41,50 AF17) оригинал Taiwan "SEE"</t>
  </si>
  <si>
    <t>https://b2beez.ru/images/detailed/174/6224689451.jpg</t>
  </si>
  <si>
    <t>P-5523</t>
  </si>
  <si>
    <t>Поршень Honda DJ1 50 0,25 (Ø41,25 p-10 AF12) оригинал Taiwan "SEE"</t>
  </si>
  <si>
    <t>https://b2beez.ru/images/detailed/174/6224689451_38zw-gh.jpg</t>
  </si>
  <si>
    <t>P-5526</t>
  </si>
  <si>
    <t>Поршень Honda LEAD, GYRO 50 0,25 (Ø40,25: AF01E, AF03E, TA01E) оригинал Taiwan "SEE"</t>
  </si>
  <si>
    <t>https://b2beez.ru/images/detailed/174/6224689554.jpg</t>
  </si>
  <si>
    <t>P-5527</t>
  </si>
  <si>
    <t>Поршень Honda LEAD, GYRO 50 0,50 (Ø40,500: AF01E, AF03E, TA01E) оригинал Taiwan "SEE"</t>
  </si>
  <si>
    <t>https://b2beez.ru/images/detailed/174/orig_0v9l-kd.jpg</t>
  </si>
  <si>
    <t>P-5538</t>
  </si>
  <si>
    <t>Поршень Suzuki AD 65 0,25 (Ø44,25)оригинал Taiwan "SEE"</t>
  </si>
  <si>
    <t>https://b2beez.ru/images/detailed/174/6224689679.jpg</t>
  </si>
  <si>
    <t>P-5541</t>
  </si>
  <si>
    <t>Поршень Suzuki AD 72 0,25 (Ø47,25) оригинал Taiwan "SEE"</t>
  </si>
  <si>
    <t>https://b2beez.ru/images/detailed/174/6224689849.jpg</t>
  </si>
  <si>
    <t>P-5542</t>
  </si>
  <si>
    <t>Поршень Suzuki AD 72 0,50 (Ø47,50) оригинал Taiwan "SEE"</t>
  </si>
  <si>
    <t>https://b2beez.ru/images/detailed/174/6224689595.jpg</t>
  </si>
  <si>
    <t>P-5545</t>
  </si>
  <si>
    <t>Поршень Suzuki AD 100 0,25 (Ø52,75, p-12) оригинал Taiwan "SEE"</t>
  </si>
  <si>
    <t>https://b2beez.ru/images/detailed/174/6224689507_g1un-q2.jpg</t>
  </si>
  <si>
    <t>P-5553</t>
  </si>
  <si>
    <t>Поршень Suzuki LET'S 72 .STD (Ø47) "KOMATCU"</t>
  </si>
  <si>
    <t>https://b2beez.ru/images/detailed/174/orig_bd0t-qf.jpg</t>
  </si>
  <si>
    <t>P-5561</t>
  </si>
  <si>
    <t>Поршень 2T TB 60, Suzuki RUN 0,50 (Ø43,50 p-10) оригинал Taiwan "SEE"</t>
  </si>
  <si>
    <t>https://b2beez.ru/images/detailed/174/6224689302.jpg</t>
  </si>
  <si>
    <t>P-5566</t>
  </si>
  <si>
    <t>Поршень Yamaha JOG 65 0,25 (Ø44,25 p-10, 2JA/3KJ) оригинал Taiwan "SEE" (mod.A)</t>
  </si>
  <si>
    <t>https://b2beez.ru/images/detailed/174/6224689669.jpg</t>
  </si>
  <si>
    <t>P-5584</t>
  </si>
  <si>
    <t>Поршень Yamaha JOG 3WF 90 0,25 (Ø50,25 p-12) оригинал Taiwan "SEE"</t>
  </si>
  <si>
    <t>https://b2beez.ru/images/detailed/174/6224689685.jpg</t>
  </si>
  <si>
    <t>P-5585</t>
  </si>
  <si>
    <t>Поршень Yamaha JOG 3WF 90 0,50 (Ø50,50 p-12) оригинал Taiwan "SEE"</t>
  </si>
  <si>
    <t>https://b2beez.ru/images/detailed/174/6226098970_c4cu-78.jpg</t>
  </si>
  <si>
    <t>P-5619</t>
  </si>
  <si>
    <t>Поршень 4T GY6 125 .STD (Ø52,40) оригинал Taiwan "SEE"</t>
  </si>
  <si>
    <t>https://b2beez.ru/images/detailed/174/orig_g984-q1.jpg</t>
  </si>
  <si>
    <t>P-5621</t>
  </si>
  <si>
    <t>Поршень 4T GY6 125 0,50 (Ø52,5) оригинал Taiwan "SEE"</t>
  </si>
  <si>
    <t>https://b2beez.ru/images/detailed/174/6224689359.jpg</t>
  </si>
  <si>
    <t>P-5673</t>
  </si>
  <si>
    <t>Поршень Honda TACT 50 1,00 (Ø42,00 AF16) оригинал Taiwan "SEE"</t>
  </si>
  <si>
    <t>https://b2beez.ru/images/detailed/174/6224689567_jkgh-0x.jpg</t>
  </si>
  <si>
    <t>P-5692</t>
  </si>
  <si>
    <t>Поршень Suzuki AD 72 0,75 (Ø47,75) оригинал Taiwan "SEE"</t>
  </si>
  <si>
    <t>https://b2beez.ru/images/detailed/174/6224689587.jpg</t>
  </si>
  <si>
    <t>P-5693</t>
  </si>
  <si>
    <t>Поршень Suzuki AD 72 1,00 (Ø48,00) оригинал Taiwan "SEE"</t>
  </si>
  <si>
    <t>https://b2beez.ru/images/detailed/174/6224689845.jpg</t>
  </si>
  <si>
    <t>P-5700</t>
  </si>
  <si>
    <t>Поршень Suzuki LET'S 72 0,75 (Ø47,75) оригинал Taiwan "SEE"</t>
  </si>
  <si>
    <t>https://b2beez.ru/images/detailed/174/6224689341_fxhc-ik.jpg</t>
  </si>
  <si>
    <t>P-5701</t>
  </si>
  <si>
    <t>Поршень Suzuki LET'S 72 1,00 (Ø48,00) оригинал Taiwan "SEE"</t>
  </si>
  <si>
    <t>https://b2beez.ru/images/detailed/174/6224689341_zye6-3l.jpg</t>
  </si>
  <si>
    <t>P-5704</t>
  </si>
  <si>
    <t>Поршень 2T TB 60, Suzuki RUN 0,75 (Ø43,75 p-10) оригинал Taiwan "SEE"</t>
  </si>
  <si>
    <t>https://b2beez.ru/images/detailed/174/6224689341_chyk-0t.jpg</t>
  </si>
  <si>
    <t>P-5705</t>
  </si>
  <si>
    <t>Поршень 2T TB 60, Suzuki RUN 1,00 (Ø44,00 p-10) оригинал Taiwan "SEE"</t>
  </si>
  <si>
    <t>https://b2beez.ru/images/detailed/174/6224689341_adcl-88.jpg</t>
  </si>
  <si>
    <t>P-5709</t>
  </si>
  <si>
    <t>Поршень Yamaha JOG 65 1,00 (Ø45,00 p-10, 2JA/3KJ) оригинал Taiwan "SEE" (mod.A)</t>
  </si>
  <si>
    <t>https://b2beez.ru/images/detailed/174/6224689711_yro4-kz.jpg</t>
  </si>
  <si>
    <t>P-5714</t>
  </si>
  <si>
    <t>Поршень Yamaha JOG 65 0,75 (Ø44,75 p-10, 2JA/3KJ) оригинал Taiwan "SEE" (mod.B)</t>
  </si>
  <si>
    <t>https://b2beez.ru/images/detailed/174/6224689722.jpg</t>
  </si>
  <si>
    <t>P-5715</t>
  </si>
  <si>
    <t>Поршень Yamaha JOG 65 1,00 (Ø45,00 p-10, 2JA/3KJ) оригинал Taiwan "SEE" (mod.B)</t>
  </si>
  <si>
    <t>https://b2beez.ru/images/detailed/174/6224689810.jpg</t>
  </si>
  <si>
    <t>P-6343</t>
  </si>
  <si>
    <t>Прокладка редуктора Suzuki AD50 (паронит) "KOMATCU" (mod.A)</t>
  </si>
  <si>
    <t>https://b2beez.ru/images/detailed/174/6224782130.jpg</t>
  </si>
  <si>
    <t>P-6353</t>
  </si>
  <si>
    <t>Прокладки двигателя (набор) 4T GY6 50 (Ø39mm, L-430mm) "KOMATCU" (mod.A)</t>
  </si>
  <si>
    <t>https://b2beez.ru/images/detailed/174/6224782307.jpg</t>
  </si>
  <si>
    <t>P-6355</t>
  </si>
  <si>
    <t>Прокладки двигателя (набор) 4T GY6 60 (Ø44mm, L-400mm) "KOMATCU" (mod.A)</t>
  </si>
  <si>
    <t>https://b2beez.ru/images/detailed/174/orig_q9sg-2o.jpg</t>
  </si>
  <si>
    <t>P-6357</t>
  </si>
  <si>
    <t>Прокладки двигателя (набор) 4T GY6 60 (Ø44mm, L-460mm) "KOMATCU" (mod.A)</t>
  </si>
  <si>
    <t>https://b2beez.ru/images/detailed/174/6232057781_3wuf-9a.jpg</t>
  </si>
  <si>
    <t>P-6392</t>
  </si>
  <si>
    <t>Сальник коленвала 2T TB50, Suzuki RUN (17*29*8) "KOMATCU" (mod.A)</t>
  </si>
  <si>
    <t>https://b2beez.ru/images/detailed/174/6228542636.jpg</t>
  </si>
  <si>
    <t>P-6431</t>
  </si>
  <si>
    <t>Сальники вилки Zongshen F50 (31*43*10.3 х 2шт) "BEEZMOTO"</t>
  </si>
  <si>
    <t>https://b2beez.ru/images/detailed/175/orig.jpg</t>
  </si>
  <si>
    <t>P-6437</t>
  </si>
  <si>
    <t>Сальники вилки Zongshen VICTORY (30*40.5*10.3 х 2шт) "KOMATCU" (mod.A)</t>
  </si>
  <si>
    <t>https://b2beez.ru/images/detailed/175/7095593960.jpg</t>
  </si>
  <si>
    <t>P-6824</t>
  </si>
  <si>
    <t>Поршень 4T GY6 60 0,25 (Ø44,25) "SUNY" (mod.A)</t>
  </si>
  <si>
    <t>https://b2beez.ru/images/detailed/175/6224689354.jpg</t>
  </si>
  <si>
    <t>P-6826</t>
  </si>
  <si>
    <t>Поршень 4T GY6 60 0,50 (Ø44,50) "SUNY" (mod.A)</t>
  </si>
  <si>
    <t>https://b2beez.ru/images/detailed/175/6224689345.jpg</t>
  </si>
  <si>
    <t>P-7029</t>
  </si>
  <si>
    <t>Поршень Suzuki LET'S 65 .STD (Ø44, p-10) "BEEZMOTO"</t>
  </si>
  <si>
    <t>https://b2beez.ru/images/detailed/175/orig_6tay-68.jpg</t>
  </si>
  <si>
    <t>P-8</t>
  </si>
  <si>
    <t>Палец вариатора Suzuki AD50 (D-22mm, d-16mm, L-39mm) (mod.A)</t>
  </si>
  <si>
    <t>https://b2beez.ru/images/detailed/175/6241082565.jpg</t>
  </si>
  <si>
    <t>R-1059</t>
  </si>
  <si>
    <t>Вал редуктора первичный 4T GY6 50 "SUNY"</t>
  </si>
  <si>
    <t>https://b2beez.ru/images/detailed/176/6191946915.jpg</t>
  </si>
  <si>
    <t>R-1060</t>
  </si>
  <si>
    <t>Вал редуктора вторичный 4T GY6 50 "SUNY"</t>
  </si>
  <si>
    <t>https://b2beez.ru/images/detailed/176/6189883670.jpg</t>
  </si>
  <si>
    <t>R-15</t>
  </si>
  <si>
    <t>Ролики вариатора (тюнинг) Yamaha 15*12 6,5г (синие) "DONGXIN"</t>
  </si>
  <si>
    <t>https://b2beez.ru/images/detailed/176/6228542180.jpg</t>
  </si>
  <si>
    <t>R-1575</t>
  </si>
  <si>
    <t>Траверса Zongshen F50, F1 "KOMATCU" (mod:A)</t>
  </si>
  <si>
    <t>https://b2beez.ru/images/detailed/176/6228542568.jpg</t>
  </si>
  <si>
    <t>R-1577</t>
  </si>
  <si>
    <t>Траверса Zongshen STORM "KOMATCU"</t>
  </si>
  <si>
    <t>https://b2beez.ru/images/detailed/176/6830329292.jpg</t>
  </si>
  <si>
    <t>R-1578</t>
  </si>
  <si>
    <t>Траверса Zongshen WIND "KOMATCU" (mod:A)</t>
  </si>
  <si>
    <t>https://b2beez.ru/images/detailed/176/6228542539.jpg</t>
  </si>
  <si>
    <t>R-1584</t>
  </si>
  <si>
    <t>Мембрана карбюратора (с заслонкой) 4T GY6 50 (с ушками) "LIPAI"</t>
  </si>
  <si>
    <t>https://b2beez.ru/images/detailed/176/6241082418.jpg</t>
  </si>
  <si>
    <t>R-166</t>
  </si>
  <si>
    <t>Реле зарядки 4T GY6 125/150 (6 проводов 3+3) "BEEZMOTO"</t>
  </si>
  <si>
    <t>https://b2beez.ru/images/detailed/176/6545700430.jpg</t>
  </si>
  <si>
    <t>R-17</t>
  </si>
  <si>
    <t>Ролики вариатора (тюнинг) Suzuki 17*12 7,5г (синие) "DONGXIN"</t>
  </si>
  <si>
    <t>https://b2beez.ru/images/detailed/176/6228542180_zxla-jc.jpg</t>
  </si>
  <si>
    <t>R-1752</t>
  </si>
  <si>
    <t>Ремень вариатора 710 * 17,5 4T GY6 50 (#F146) "POWERLINK"</t>
  </si>
  <si>
    <t>https://b2beez.ru/images/detailed/176/6187548983.jpg</t>
  </si>
  <si>
    <t>R-1761</t>
  </si>
  <si>
    <t>Ремень вариатора 770 * 17,5 Yamaha BW'S 100 "MALOSSI"</t>
  </si>
  <si>
    <t>https://b2beez.ru/images/detailed/176/orig_nqw0-fh.jpg</t>
  </si>
  <si>
    <t>R-1765</t>
  </si>
  <si>
    <t>Ремень вариатора 790 * 16,8 Yamaha JOG 3KJ "MALOSSI"</t>
  </si>
  <si>
    <t>https://b2beez.ru/images/detailed/176/7065664262.jpg</t>
  </si>
  <si>
    <t>R-1775</t>
  </si>
  <si>
    <t>Ремень вариатора 906 * 22,5 Honda SH125/150 ""MALOSSI"</t>
  </si>
  <si>
    <t>https://b2beez.ru/images/detailed/176/7095573244.jpg</t>
  </si>
  <si>
    <t>R-1789</t>
  </si>
  <si>
    <t>Ремень вариатора 664 * 16,5 Suzuki AD50 "MALOSSI"</t>
  </si>
  <si>
    <t>https://b2beez.ru/images/detailed/176/orig_1f5j-wk.jpg</t>
  </si>
  <si>
    <t>R-1794</t>
  </si>
  <si>
    <t>Ремень вариатора 788 * 17,0 2T Stels 50, Zongshen STORM "MALOSSI"</t>
  </si>
  <si>
    <t>https://b2beez.ru/images/detailed/176/orig_24sn-uf.jpg</t>
  </si>
  <si>
    <t>R-1815</t>
  </si>
  <si>
    <t>Ремень вариатора 792 * 16,6 Yamaha JOG 3KJ "BEEZMOTO"</t>
  </si>
  <si>
    <t>https://b2beez.ru/images/detailed/176/orig_687p-cb.jpg</t>
  </si>
  <si>
    <t>R-202</t>
  </si>
  <si>
    <t>Реле поворотов 4T GY6 125/150 (3 контакта) "BEEZMOTO"</t>
  </si>
  <si>
    <t>https://b2beez.ru/images/detailed/176/orig_ea4o-lz.jpg</t>
  </si>
  <si>
    <t>R-203</t>
  </si>
  <si>
    <t>Реле поворотов 4T GY6 50-150 (3 провода) "BEEZMOTO"</t>
  </si>
  <si>
    <t>https://b2beez.ru/images/detailed/176/orig_em4h-b7.jpg</t>
  </si>
  <si>
    <t>R-2120</t>
  </si>
  <si>
    <t>Рычаги руля Yamaha JOG 50 (голые) (тюнинг, барабан/барабан, зеленые) "YMBT"</t>
  </si>
  <si>
    <t>https://b2beez.ru/images/detailed/176/6228542150.jpg</t>
  </si>
  <si>
    <t>R-2121</t>
  </si>
  <si>
    <t>Рычаги руля Yamaha JOG 50 (голые) (тюнинг, барабан/барабан, белые) "YMBT"</t>
  </si>
  <si>
    <t>https://b2beez.ru/images/detailed/176/6228542236.jpg</t>
  </si>
  <si>
    <t>R-2593</t>
  </si>
  <si>
    <t>Редуктор (в сборе) 4T GY6 125/150 (длинный, под два амортизатора) "BEEZMOTO"</t>
  </si>
  <si>
    <t>https://b2beez.ru/images/detailed/204/R-2593-2_7ori-xl.jpg</t>
  </si>
  <si>
    <t>R-444</t>
  </si>
  <si>
    <t>Ролики вариатора (тюнинг) Honda 16*13 11,0г (черные) "DONGXIN"</t>
  </si>
  <si>
    <t>https://b2beez.ru/images/detailed/177/6228542228.jpg</t>
  </si>
  <si>
    <t>R-455</t>
  </si>
  <si>
    <t>Ролики вариатора (тюнинг) Suzuki 17*12 8,5г (синие) "DONGXIN"</t>
  </si>
  <si>
    <t>https://b2beez.ru/images/detailed/177/6228542034.jpg</t>
  </si>
  <si>
    <t>R-458</t>
  </si>
  <si>
    <t>Ролики вариатора (тюнинг) Yamaha 15*12 7,5г (черные) "DONGXIN"</t>
  </si>
  <si>
    <t>https://b2beez.ru/images/detailed/177/6228541968.jpg</t>
  </si>
  <si>
    <t>R-470</t>
  </si>
  <si>
    <t>Ролики вариатора Yamaha 15*12 5,0г (красные) "DONGXIN"</t>
  </si>
  <si>
    <t>https://b2beez.ru/images/detailed/177/orig_62i1-gu.jpg</t>
  </si>
  <si>
    <t>R-480</t>
  </si>
  <si>
    <t>Ролики вариатора Yamaha 15*12 6,5г (черные) "DONGXIN"</t>
  </si>
  <si>
    <t>https://b2beez.ru/images/detailed/177/orig_swzn-bj.jpg</t>
  </si>
  <si>
    <t>R-5</t>
  </si>
  <si>
    <t>Ролики вариатора Honda 16*13 9,5г (черные) "DONGXIN"</t>
  </si>
  <si>
    <t>https://b2beez.ru/images/detailed/177/orig_5q1q-ho.jpg</t>
  </si>
  <si>
    <t>R-535</t>
  </si>
  <si>
    <t>Ролики вариатора Suzuki 17*12 11,0г (красные) "DONGXIN"</t>
  </si>
  <si>
    <t>https://b2beez.ru/images/detailed/177/6228542125.jpg</t>
  </si>
  <si>
    <t>R-557</t>
  </si>
  <si>
    <t>Ролики вариатора Suzuki 17*12 8,5г "RAINBOW"</t>
  </si>
  <si>
    <t>https://b2beez.ru/images/detailed/177/6228542107.jpg</t>
  </si>
  <si>
    <t>R-697</t>
  </si>
  <si>
    <t>Рычаг руля правый (голый) Honda LEAD 50/90 (диск) "BEEZMOTO"</t>
  </si>
  <si>
    <t>https://b2beez.ru/images/detailed/177/6228542504.jpg</t>
  </si>
  <si>
    <t>S-1105</t>
  </si>
  <si>
    <t>Скользители (слайдеры) Honda DIO AF18 (тюнинг, красные) (Тайвань) "KOSO"</t>
  </si>
  <si>
    <t>https://b2beez.ru/images/detailed/178/6986147182.jpg</t>
  </si>
  <si>
    <t>S-1119</t>
  </si>
  <si>
    <t>Скользители (слайдеры) 4T GY6 125 (тюнинг, красные) (Тайвань) "KOSO"</t>
  </si>
  <si>
    <t>https://b2beez.ru/images/detailed/178/6228542359.jpg</t>
  </si>
  <si>
    <t>S-1143</t>
  </si>
  <si>
    <t>Скользители (слайдеры) Suzuki LET'S (тюнинг, красный) (Тайвань) "KOSO"</t>
  </si>
  <si>
    <t>https://b2beez.ru/images/detailed/178/orig_yggg-65.jpg</t>
  </si>
  <si>
    <t>S-1467</t>
  </si>
  <si>
    <t>Щека вариатора неподвижная Suzuki AD 50 "DONGXIN"</t>
  </si>
  <si>
    <t>https://b2beez.ru/images/detailed/178/6228296141.jpg</t>
  </si>
  <si>
    <t>S-1470</t>
  </si>
  <si>
    <t>Щека вариатора неподвижная Honda PAL AF17 "STEEL MARK"</t>
  </si>
  <si>
    <t>https://b2beez.ru/images/detailed/178/6228296220.jpg</t>
  </si>
  <si>
    <t>S-1966</t>
  </si>
  <si>
    <t>Шайба щеки вариатора (ступица) Yamaha JOG 90 "STEEL MARK"</t>
  </si>
  <si>
    <t>https://b2beez.ru/images/detailed/179/6228296187.jpg</t>
  </si>
  <si>
    <t>S-2352</t>
  </si>
  <si>
    <t>Гайка М8 (фланцевая) "GUANG" (50шт)</t>
  </si>
  <si>
    <t>https://b2beez.ru/images/detailed/179/6458496850.jpg</t>
  </si>
  <si>
    <t>S-3144</t>
  </si>
  <si>
    <t>Суппорт тормозной (дисковый) "Brembo" (однопоршневой) (#0003)</t>
  </si>
  <si>
    <t>https://b2beez.ru/images/detailed/180/6242640837.jpg</t>
  </si>
  <si>
    <t>S-4671</t>
  </si>
  <si>
    <t>Сектор заводной (полумесяц) 4T GY6 125/150 (L-160mm) (+пружина, втулка) "BEEZMOTO"</t>
  </si>
  <si>
    <t>https://b2beez.ru/images/detailed/181/6228542363.jpg</t>
  </si>
  <si>
    <t>T-18</t>
  </si>
  <si>
    <t>Трос переднего тормоза Suzuki AD50 (1280mm, уп.1шт, желтый)</t>
  </si>
  <si>
    <t>https://b2beez.ru/images/detailed/182/6226566805.jpg</t>
  </si>
  <si>
    <t>T-186</t>
  </si>
  <si>
    <t>Трос спидометра Suzuki AD50 (диск) (1000mm, уп.1шт) "BEEZMOTO"</t>
  </si>
  <si>
    <t>https://b2beez.ru/images/detailed/182/7132434313.jpg</t>
  </si>
  <si>
    <t>T-663</t>
  </si>
  <si>
    <t>Трос переднего тормоза 4T GY6 50 (уп.1шт) "KOMATCU"</t>
  </si>
  <si>
    <t>https://b2beez.ru/images/detailed/183/orig_0zm9-2t.jpg</t>
  </si>
  <si>
    <t>T-737</t>
  </si>
  <si>
    <t>Трос переднего тормоза Yamaha JOG 50 (1100mm, уп.1шт) "KOMATCU"</t>
  </si>
  <si>
    <t>https://b2beez.ru/images/detailed/183/6226567065.jpg</t>
  </si>
  <si>
    <t>V-1193</t>
  </si>
  <si>
    <t>Элемент воздушного фильтра Suzuki VECSTAR 125 (бумажная гармошка в пластике) "KM"</t>
  </si>
  <si>
    <t>https://b2beez.ru/images/detailed/184/orig_9ahe-dq.jpg</t>
  </si>
  <si>
    <t>V-1196</t>
  </si>
  <si>
    <t>Элемент воздушного фильтра 4T GY6 125/150 BIWIS (бумажная гармошка в пластике) "KOMATCU"</t>
  </si>
  <si>
    <t>https://b2beez.ru/images/detailed/184/orig_k1p0-br.jpg</t>
  </si>
  <si>
    <t>V-1197</t>
  </si>
  <si>
    <t>Элемент воздушного фильтра 4T GY6 125/150 KYMCO (бумажная гармошка в пластике) "KM"</t>
  </si>
  <si>
    <t>https://b2beez.ru/images/detailed/184/orig_1auh-uo.jpg</t>
  </si>
  <si>
    <t>V-126</t>
  </si>
  <si>
    <t>Вариатор передний Yamaha BW'S 100 "DONGXIN"</t>
  </si>
  <si>
    <t>https://b2beez.ru/images/detailed/184/orig_n9ux-m6.jpg</t>
  </si>
  <si>
    <t>V-143</t>
  </si>
  <si>
    <t>Вариатор передний 4T GY6 50 (палец, крыльчатка) "BEEZMOTO"</t>
  </si>
  <si>
    <t>https://b2beez.ru/images/detailed/185/orig_i581-yx.jpg</t>
  </si>
  <si>
    <t>V-1469</t>
  </si>
  <si>
    <t>Патрубок воздушного фильтра Suzuki LET'S (красный) "KOMATCU"</t>
  </si>
  <si>
    <t>https://b2beez.ru/images/detailed/185/orig_npiv-4n.jpg</t>
  </si>
  <si>
    <t>V-1471</t>
  </si>
  <si>
    <t>Патрубок воздушного фильтра Suzuki LET'S (зеленый) "KOMATCU"</t>
  </si>
  <si>
    <t>https://b2beez.ru/images/detailed/185/orig_iu4a-8x.jpg</t>
  </si>
  <si>
    <t>V-1472</t>
  </si>
  <si>
    <t>Патрубок воздушного фильтра Suzuki LET'S (синий) "KOMATCU"</t>
  </si>
  <si>
    <t>https://b2beez.ru/images/detailed/185/orig_l619-xx.jpg</t>
  </si>
  <si>
    <t>V-1487</t>
  </si>
  <si>
    <t>Патрубок карбюратора (коллектор) 4T GY6 125/150 (силиконовый, красный) "KOMATCU"</t>
  </si>
  <si>
    <t>https://b2beez.ru/images/detailed/185/7160350129.jpg</t>
  </si>
  <si>
    <t>V-167</t>
  </si>
  <si>
    <t>Вариатор передний (тюнинг) Yamaha BW'S 100 (ролики латунь 9шт, палец, пружины сцепления) "DLH"</t>
  </si>
  <si>
    <t>https://b2beez.ru/images/detailed/185/orig_zk2o-we.jpg</t>
  </si>
  <si>
    <t>V-173</t>
  </si>
  <si>
    <t>Вариатор передний (тюнинг) 4T GY6 50 light (ролики латунь 9шт, палец, пружины сцепления) "DLH"</t>
  </si>
  <si>
    <t>https://b2beez.ru/images/detailed/186/7160347785.jpg</t>
  </si>
  <si>
    <t>V-1799</t>
  </si>
  <si>
    <t>Патрубок воздушного фильтра Yamaha MINT "KOMATCU"</t>
  </si>
  <si>
    <t>https://b2beez.ru/images/detailed/186/orig_t80w-tk.jpg</t>
  </si>
  <si>
    <t>V-1801</t>
  </si>
  <si>
    <t>Патрубок воздушного фильтра Yamaha CHAMP "KOMATCU"</t>
  </si>
  <si>
    <t>https://b2beez.ru/images/detailed/186/orig_2nok-t3.jpg</t>
  </si>
  <si>
    <t>V-1802</t>
  </si>
  <si>
    <t>Патрубок воздушного фильтра Yamaha BWS 50 "KOMATCU"</t>
  </si>
  <si>
    <t>https://b2beez.ru/images/detailed/186/orig_mrb8-as.jpg</t>
  </si>
  <si>
    <t>V-205</t>
  </si>
  <si>
    <t>Колодки сцепления (тюнинг) Yamaha BW'S 100 4VP "KOSO"</t>
  </si>
  <si>
    <t>https://b2beez.ru/images/detailed/186/7065658654.jpg</t>
  </si>
  <si>
    <t>V-208</t>
  </si>
  <si>
    <t>Колодки сцепления (тюнинг) 4T GY6 125/150 "KOSO"</t>
  </si>
  <si>
    <t>https://b2beez.ru/images/detailed/186/orig_it5t-dm.jpg</t>
  </si>
  <si>
    <t>V-209</t>
  </si>
  <si>
    <t>Колодки сцепления (тюнинг) 4T GY6 50, Honda DIO ZX "KOSO"</t>
  </si>
  <si>
    <t>https://b2beez.ru/images/detailed/186/orig_7jw6-ph.jpg</t>
  </si>
  <si>
    <t>V-211</t>
  </si>
  <si>
    <t>Колодки сцепления (тюнинг) Yamaha JOG 90 3WF, 2T Stels 50 "KOSO"</t>
  </si>
  <si>
    <t>https://b2beez.ru/images/detailed/186/orig_s63o-az.jpg</t>
  </si>
  <si>
    <t>V-2179</t>
  </si>
  <si>
    <t>Патрубок воздушного фильтра Suzuki AD50 (черный) "KOMATСU"</t>
  </si>
  <si>
    <t>https://b2beez.ru/images/detailed/186/orig_tbj3-ap.jpg</t>
  </si>
  <si>
    <t>V-547</t>
  </si>
  <si>
    <t>Вариатор передний Yamaha JOG 50 (d-13mm, палец) "F-64"</t>
  </si>
  <si>
    <t>https://b2beez.ru/images/detailed/187/orig_tzhm-pa.jpg</t>
  </si>
  <si>
    <t>V-549</t>
  </si>
  <si>
    <t>Вариатор передний Suzuki AD50 (палец) "F-64"</t>
  </si>
  <si>
    <t>https://b2beez.ru/images/detailed/187/orig_qxil-i5.jpg</t>
  </si>
  <si>
    <t>V-664</t>
  </si>
  <si>
    <t>Вариатор передний 4T GY6 50 (палец, крыльчатка) "KOMATCU"</t>
  </si>
  <si>
    <t>https://b2beez.ru/images/detailed/187/orig_6i64-t1.jpg</t>
  </si>
  <si>
    <t>V-82</t>
  </si>
  <si>
    <t>Вариатор передний (тюнинг) Suzuki LET'S (медно-граф. втулка, ролики латунь) "KOSO"</t>
  </si>
  <si>
    <t>https://b2beez.ru/images/detailed/187/orig_lofe-73.png</t>
  </si>
  <si>
    <t>V-845</t>
  </si>
  <si>
    <t>Прокладка карбюратора Honda TACT AF16 (текстолитовая) (10шт) "STEEL MARK"</t>
  </si>
  <si>
    <t>https://b2beez.ru/images/detailed/187/6224782555.jpg</t>
  </si>
  <si>
    <t>Z-21</t>
  </si>
  <si>
    <t>Замок зажигания (голый) Honda DIO AF18/27 (2 провода) "EURORUN"</t>
  </si>
  <si>
    <t>https://b2beez.ru/images/detailed/188/6203577218.jpg</t>
  </si>
  <si>
    <t>Z-433</t>
  </si>
  <si>
    <t>Ключ замка зажигания (заготовка) Suzuki (с эмблемой, длинный, синий) "KOMATCU"</t>
  </si>
  <si>
    <t>https://b2beez.ru/images/detailed/204/Z-433-2.jpg</t>
  </si>
  <si>
    <t>C-1470</t>
  </si>
  <si>
    <t>Солнцезащитный экран для сиденья Zongshen STORM (690*390mm) "SOFT SEAT"</t>
  </si>
  <si>
    <t>https://b2beez.ru/images/detailed/155/6228542570.jpg</t>
  </si>
  <si>
    <t>P-4594</t>
  </si>
  <si>
    <t>Подшипники руля Zongshen GRAND PRIX "GEHUI"</t>
  </si>
  <si>
    <t>https://b2beez.ru/images/detailed/174/6224782096.jpg</t>
  </si>
  <si>
    <t>R-1064</t>
  </si>
  <si>
    <t>Подшипники руля Zongshen STORM 2007 "SUNY"</t>
  </si>
  <si>
    <t>https://b2beez.ru/images/detailed/176/orig_h5z6-3c.jpg</t>
  </si>
  <si>
    <t>S-1789</t>
  </si>
  <si>
    <t>Подшипник коленвала 2552 25*52*13 (Suzuki, LETS, AD, SC05A51CS24PX1/2ASQF) (Япония) "NT"</t>
  </si>
  <si>
    <t>https://b2beez.ru/images/detailed/179/6224781790_7fqg-1k.jpg</t>
  </si>
  <si>
    <t>S-2016</t>
  </si>
  <si>
    <t>Подшипник коленвала 63/22 22*56*16 (GY6 125/150) "NT"</t>
  </si>
  <si>
    <t>https://b2beez.ru/images/detailed/179/6224781790_lzhu-yg.jpg</t>
  </si>
  <si>
    <t>S-2888</t>
  </si>
  <si>
    <t>Подшипник редуктора 6004-2RS 20*42*12 (Honda Lead, Yamaha JOG 90, GY6-50/150, ATV 125) "BEEZMOTO"</t>
  </si>
  <si>
    <t>C-1471</t>
  </si>
  <si>
    <t>Солнцезащитный экран для сиденья Zongshen F-50 (600*360mm) "SOFT SEAT"</t>
  </si>
  <si>
    <t>https://b2beez.ru/images/detailed/155/6228542324.jpg</t>
  </si>
  <si>
    <t>H-353</t>
  </si>
  <si>
    <t>Шайбы резиновые крепления пластика Honda"KOMATCU"</t>
  </si>
  <si>
    <t>https://b2beez.ru/images/detailed/164/6228426516.jpg</t>
  </si>
  <si>
    <t>O-574</t>
  </si>
  <si>
    <t>Габаритный свет Zongshen WIND "KOMATCU"</t>
  </si>
  <si>
    <t>https://b2beez.ru/images/detailed/172/6202821382.jpg</t>
  </si>
  <si>
    <t>S-1792</t>
  </si>
  <si>
    <t>Подшипник коленвала 22*56*15 (GY6 125/150, SC04A86/PSCS12) (Япония) "NT"</t>
  </si>
  <si>
    <t>https://b2beez.ru/images/detailed/179/6224781790_5qo7-6n.jpg</t>
  </si>
  <si>
    <t>S-2914</t>
  </si>
  <si>
    <t>Подшипник коленвала 6205-2RS 25*52*15 (к-л Suzuki AD100, Yamaha AEROX, BW'S100, GR.AXIS, ИЖ) "LIPAI"</t>
  </si>
  <si>
    <t>https://b2beez.ru/images/detailed/179/6224781892.jpg</t>
  </si>
  <si>
    <t>S-2923</t>
  </si>
  <si>
    <t>Подшипник коленвала 63/22 22*56*16 (GY6 125/150) "SK"</t>
  </si>
  <si>
    <t>https://b2beez.ru/images/detailed/179/6224781821.jpg</t>
  </si>
  <si>
    <t>S-2930</t>
  </si>
  <si>
    <t>Подшипник коленвала 6303-2RS 17*47*14 ( GY6 50, ред-р Suzuki AD50, колесо ZUBR) "NSK"</t>
  </si>
  <si>
    <t>https://b2beez.ru/images/detailed/179/6224781798.jpg</t>
  </si>
  <si>
    <t>S-3033</t>
  </si>
  <si>
    <t>Подшипник коленвала 22*56*16 (GY6 125/150) "TRDA"</t>
  </si>
  <si>
    <t>https://b2beez.ru/images/detailed/180/6144150793_ga4c-4n.jpg</t>
  </si>
  <si>
    <t>P-6937</t>
  </si>
  <si>
    <t>Сальники (набор) Honda DIO AF18, TACT AF16 коленвальные (15.5*25.5*7) x 5шт "BEEZMOTO"</t>
  </si>
  <si>
    <t>https://b2beez.ru/images/detailed/175/7171590234.jpg</t>
  </si>
  <si>
    <t>009315</t>
  </si>
  <si>
    <t>Кожух цепи трансмиссии Active 110 (черный) "KOMATCU"</t>
  </si>
  <si>
    <t>https://b2beez.ru/images/detailed/47/orig_wxgz-fm.jpg</t>
  </si>
  <si>
    <t>E-1752</t>
  </si>
  <si>
    <t>Элемент воздушного фильтра Honda DIO AF34/35 (поролон сухой, двухслойный) "KOMATCU"</t>
  </si>
  <si>
    <t>https://b2beez.ru/images/detailed/160/orig_vtj7-to.jpg</t>
  </si>
  <si>
    <t>K-1957</t>
  </si>
  <si>
    <t>Крышка вариатора 4T GY6 50 (12 колесо, 139QMB) "KOMATCU"</t>
  </si>
  <si>
    <t>https://b2beez.ru/images/detailed/166/orig_jwh4-eh.jpg</t>
  </si>
  <si>
    <t>K-1956</t>
  </si>
  <si>
    <t>Крышка вариатора 4T GY6 50 (12 колесо, 139QMB) серебро "KOMATCU"</t>
  </si>
  <si>
    <t>https://b2beez.ru/images/detailed/166/orig_1yzx-4z.jpg</t>
  </si>
  <si>
    <t>V-365</t>
  </si>
  <si>
    <t>Вариатор задний Suzuki  AD100 (с барабаном) "KOMATCU"</t>
  </si>
  <si>
    <t>https://b2beez.ru/images/detailed/187/orig_wbyx-sy.jpg</t>
  </si>
  <si>
    <t>G-2362</t>
  </si>
  <si>
    <t>Головка цилиндра 4T GY6 125 (в сборе) (+цепь ГРМ, свеча, шпильки) (d=22/24) "KOMATCU"</t>
  </si>
  <si>
    <t>https://b2beez.ru/images/detailed/162/orig_6hpj-sd.jpg</t>
  </si>
  <si>
    <t>023589</t>
  </si>
  <si>
    <t>Катушка зажигания Honda DIO, GY6 50-150 (+насвечник) "KOMATCU"</t>
  </si>
  <si>
    <t>https://b2beez.ru/images/detailed/48/orig_8g9w-cv.jpg</t>
  </si>
  <si>
    <t>Колодки сцепления 4T GY6 50, Honda DIO AF34 "KOMATCU"</t>
  </si>
  <si>
    <t>https://b2beez.ru/images/detailed/48/orig_vkjk-zb.jpg</t>
  </si>
  <si>
    <t>K-5</t>
  </si>
  <si>
    <t>Колодки сцепления Honda LEAD 90 "KOMATCU"</t>
  </si>
  <si>
    <t>https://b2beez.ru/images/detailed/168/orig_6k1u-6g.jpg</t>
  </si>
  <si>
    <t>L-565</t>
  </si>
  <si>
    <t>Лепестковый клапан 2T Stels 50 "KOMATCU"</t>
  </si>
  <si>
    <t>https://b2beez.ru/images/detailed/169/6809245164.jpg</t>
  </si>
  <si>
    <t>L-895</t>
  </si>
  <si>
    <t>Лепестковый клапан 2T APRILIA, GILERA, PIAGGIO (горизонтальный цилиндр) "KOMATCU"</t>
  </si>
  <si>
    <t>https://b2beez.ru/images/detailed/169/6808398875.jpg</t>
  </si>
  <si>
    <t>P-1545</t>
  </si>
  <si>
    <t>Поршневая (ЦПГ) Honda DIO 75 (Ø47, p-12) "KOMATCU"</t>
  </si>
  <si>
    <t>https://b2beez.ru/images/detailed/172/orig_63si-mf.jpg</t>
  </si>
  <si>
    <t>019317</t>
  </si>
  <si>
    <t>Ремень вариатора 774 * 17.5 GRAND AXIS, BWS 100 "KOMATCU"</t>
  </si>
  <si>
    <t>https://b2beez.ru/images/detailed/47/6324923653.jpg</t>
  </si>
  <si>
    <t>K-9353</t>
  </si>
  <si>
    <t>Втулка сектора заводного 4Т GY6-125/150 "BEEZMOTO"</t>
  </si>
  <si>
    <t>https://b2beez.ru/images/detailed/169/6741714793.jpg</t>
  </si>
  <si>
    <t>P-142</t>
  </si>
  <si>
    <t>Поршень 2T TB 60, Suzuki RUN 0,25 (Ø43,25 p-10) "TNT"</t>
  </si>
  <si>
    <t>https://b2beez.ru/images/detailed/172/6224689394.jpg</t>
  </si>
  <si>
    <t>V-695</t>
  </si>
  <si>
    <t>Гофры передней вилки (пара) Yamaha JOG 50 3KJ (барабан) "KOMATCU"</t>
  </si>
  <si>
    <t>https://b2beez.ru/images/detailed/187/orig_x9m0-fm.jpg</t>
  </si>
  <si>
    <t>C-594</t>
  </si>
  <si>
    <t>Колодки сцепления (тюнинг) Yamaha JOG 90 3WF, 2T Stels 50 "LUXUPART"</t>
  </si>
  <si>
    <t>https://b2beez.ru/images/detailed/156/orig_5wps-uy.jpg</t>
  </si>
  <si>
    <t>C-616</t>
  </si>
  <si>
    <t>Головка цилиндра Suzuki AD 50, 2T TB50, Suzuki RUN (Ø41) "BEEZMOTO"</t>
  </si>
  <si>
    <t>https://b2beez.ru/images/detailed/156/orig_4j3w-pe.jpg</t>
  </si>
  <si>
    <t>C-618</t>
  </si>
  <si>
    <t>https://b2beez.ru/images/detailed/156/orig_j3u7-1c.jpg</t>
  </si>
  <si>
    <t>C-636</t>
  </si>
  <si>
    <t>Поршень Yamaha JOG90, AXIS 90 .STD (Ø50,00 p-12) "BEEZMOTO"</t>
  </si>
  <si>
    <t>https://b2beez.ru/images/detailed/156/orig_jl0s-np.jpg</t>
  </si>
  <si>
    <t>C-775</t>
  </si>
  <si>
    <t>Щека вариатора неподвижная Yamaha JOG 90, BW'S (алюминий) "TMMP"</t>
  </si>
  <si>
    <t>https://b2beez.ru/images/detailed/156/6417447775.jpg</t>
  </si>
  <si>
    <t>C-776</t>
  </si>
  <si>
    <t>Замок зажигания (голый) Honda DIO AF34/35 (2 провода) "TMMP"</t>
  </si>
  <si>
    <t>https://b2beez.ru/images/detailed/156/6528795756.jpg</t>
  </si>
  <si>
    <t>Вариатор задний Yamaha JOG 50 (с барабаном) "TMMP"</t>
  </si>
  <si>
    <t>C-912</t>
  </si>
  <si>
    <t>Вариатор задний Yamaha JOG 90 (с барабаном) "BEEZMOTO"</t>
  </si>
  <si>
    <t>https://b2beez.ru/images/detailed/156/orig_clbe-4q.jpg</t>
  </si>
  <si>
    <t>C-941</t>
  </si>
  <si>
    <t>Ремкомплект карбюратора 4T GY6 125 "TMMP"</t>
  </si>
  <si>
    <t>https://b2beez.ru/images/detailed/157/6228542268.jpg</t>
  </si>
  <si>
    <t>C-952</t>
  </si>
  <si>
    <t>Ремкомплект карбюратора Honda LEAD 90 "TMMP" mod:B</t>
  </si>
  <si>
    <t>https://b2beez.ru/images/detailed/157/6228542083.jpg</t>
  </si>
  <si>
    <t>K-3075</t>
  </si>
  <si>
    <t>Ключ замка зажигания (заготовка) Honda (с эмблемой, длинный, черный) "KOMATCU"</t>
  </si>
  <si>
    <t>https://b2beez.ru/images/detailed/166/orig_nu3o-or.jpg</t>
  </si>
  <si>
    <t>K-7691</t>
  </si>
  <si>
    <t>Ключ замка зажигания (заготовка) Honda (с эмблемой, длинный, синий) "KOMATCU"</t>
  </si>
  <si>
    <t>https://b2beez.ru/images/detailed/169/6400429193.jpg</t>
  </si>
  <si>
    <t>K-1962</t>
  </si>
  <si>
    <t>https://b2beez.ru/images/detailed/166/7080875000.jpg</t>
  </si>
  <si>
    <t>V-648</t>
  </si>
  <si>
    <t>Вариатор задний 4T GY6 50, Honda DIO AF34 (с барабаном) "BEEZMOTO" mod:A</t>
  </si>
  <si>
    <t>https://b2beez.ru/images/detailed/187/6843701912.jpg</t>
  </si>
  <si>
    <t>P-446</t>
  </si>
  <si>
    <t>Поршень Suzuki AD 65 0,50 (Ø44,50) "TNT"</t>
  </si>
  <si>
    <t>P-3492</t>
  </si>
  <si>
    <t>Пластик Honda DIO AF34/35 нижний (лыжи) "KOMATCU"</t>
  </si>
  <si>
    <t>https://b2beez.ru/images/detailed/173/6923922804.jpg</t>
  </si>
  <si>
    <t>G-0745</t>
  </si>
  <si>
    <t>Головка цилиндра Yamaha JOG 72, 2T Stels 72 (Ø47)  "KOMATCU"</t>
  </si>
  <si>
    <t>https://b2beez.ru/images/detailed/161/orig_kx2a-z3.jpg</t>
  </si>
  <si>
    <t>A-7572</t>
  </si>
  <si>
    <t>Амортизатор GY6, HONDA DIO 270mm, регулируемый (Ø10mm, красный) "NDT"</t>
  </si>
  <si>
    <t>https://b2beez.ru/images/detailed/153/orig_wlff-od.jpg</t>
  </si>
  <si>
    <t>A-7573</t>
  </si>
  <si>
    <t>Амортизатор GY6, HONDA DIO 270mm, регулируемый (синий) "NDT"</t>
  </si>
  <si>
    <t>https://b2beez.ru/images/detailed/153/orig_1tvd-qk.jpg</t>
  </si>
  <si>
    <t>O-2572</t>
  </si>
  <si>
    <t>Стекло стоп-сигнала Yamaha JOG SA16 "KOMATCU"</t>
  </si>
  <si>
    <t>https://b2beez.ru/images/detailed/172/7160584488.jpg</t>
  </si>
  <si>
    <t>P-4564</t>
  </si>
  <si>
    <t>Накладка крышки генератора диодная (фиолетовая) "GJCT"</t>
  </si>
  <si>
    <t>https://b2beez.ru/images/detailed/174/6241082499.jpg</t>
  </si>
  <si>
    <t>C-2863</t>
  </si>
  <si>
    <t>Поршневая (ЦПГ) Honda LEAD 100 (Ø51) "TMMP"</t>
  </si>
  <si>
    <t>https://b2beez.ru/images/detailed/156/orig_m99t-i9.jpg</t>
  </si>
  <si>
    <t>K-6136</t>
  </si>
  <si>
    <t>Крышка вариатора 4T GY6 50 (10 колесо, 139QMB, 8 болтов) серебро "TMMP"</t>
  </si>
  <si>
    <t>https://b2beez.ru/images/detailed/168/orig_yxjp-t1.jpg</t>
  </si>
  <si>
    <t>V-1579-U1</t>
  </si>
  <si>
    <t>Фильтр воздушный (в сборе) Honda DIO AF34/35 "KOMATCU"(Скол)</t>
  </si>
  <si>
    <t>V-92</t>
  </si>
  <si>
    <t>Вариатор передний (тюнинг) 4T GY6 50 спорт (Ø103mm, медно-граф. втулка,ролки 8 г) "KOSO"</t>
  </si>
  <si>
    <t>https://b2beez.ru/images/detailed/187/orig_o1pm-bf.jpg</t>
  </si>
  <si>
    <t>P-110</t>
  </si>
  <si>
    <t>Поршень 2T Stels 72 .STD (Ø47 p-12) "BEEZMOTO"</t>
  </si>
  <si>
    <t>https://b2beez.ru/images/detailed/172/orig_m31q-3a.jpg</t>
  </si>
  <si>
    <t>C-610</t>
  </si>
  <si>
    <t>Вал редуктора промежуточный 4T GY6 50</t>
  </si>
  <si>
    <t>https://b2beez.ru/images/detailed/156/6189884132.jpg</t>
  </si>
  <si>
    <t>V-1327</t>
  </si>
  <si>
    <t>Патрубок воздушного фильтра Honda DIO AF18/27 "PIPE" (черный) "KOMATCU"</t>
  </si>
  <si>
    <t>https://b2beez.ru/images/detailed/184/orig_m0oo-yh.jpg</t>
  </si>
  <si>
    <t>K-4913</t>
  </si>
  <si>
    <t>Карбюратор Honda DIO AF34/35 ZX "BEEZMOTO"</t>
  </si>
  <si>
    <t>https://b2beez.ru/images/detailed/168/orig_xika-k3.jpg</t>
  </si>
  <si>
    <t>K-0403</t>
  </si>
  <si>
    <t>Карбюратор Yamaha JOG 50/90 2JA 1E40QMB (Stels Skif, Vortex Tactik) "BEEZMOTO"</t>
  </si>
  <si>
    <t>https://b2beez.ru/images/detailed/166/orig.jpg</t>
  </si>
  <si>
    <t>C-755</t>
  </si>
  <si>
    <t>Поршневая (ЦПГ) 4T GY6 80 (Ø47.0) "KOMATCU"</t>
  </si>
  <si>
    <t>https://b2beez.ru/images/detailed/204/1_orhy-9q.jpg</t>
  </si>
  <si>
    <t>R-866</t>
  </si>
  <si>
    <t>Ремень вариатора 650 * 15.5 Honda DIO "KOMATCU"</t>
  </si>
  <si>
    <t>https://b2beez.ru/images/detailed/178/orig_slrr-2r.jpg</t>
  </si>
  <si>
    <t>R-869</t>
  </si>
  <si>
    <t>Ремень вариатора 669 * 18.1 4T GY6 50 (10" колесо)  "KOMATCU"</t>
  </si>
  <si>
    <t>https://b2beez.ru/images/detailed/178/orig_o8sw-r1.jpg</t>
  </si>
  <si>
    <t>V-1485</t>
  </si>
  <si>
    <t>Патрубок воздушного фильтра Honda TACT AF16 (черный) "KOMATСU"</t>
  </si>
  <si>
    <t>https://b2beez.ru/images/detailed/185/6830331936.jpg</t>
  </si>
  <si>
    <t>K-4738</t>
  </si>
  <si>
    <t>Крышка вариатора 4T GY6 125/150 (10/12 колесо, 152QMI, 157QMJ) "KOMATCU"</t>
  </si>
  <si>
    <t>https://b2beez.ru/images/detailed/167/6241082468.jpg</t>
  </si>
  <si>
    <t>K-0542</t>
  </si>
  <si>
    <t>Болты крышки вариатора 4T GY6 150 (13 колесо) (шестигранный шлиц, x10шт) "BEEZMOTO"</t>
  </si>
  <si>
    <t>https://b2beez.ru/images/detailed/166/7050404812.jpg</t>
  </si>
  <si>
    <t>S-2868</t>
  </si>
  <si>
    <t>Шланг топливный Ø4mm, 1 метр (красный, + фильтр) "BEEZMOTO"</t>
  </si>
  <si>
    <t>https://b2beez.ru/images/detailed/179/orig_7chm-3a.jpg</t>
  </si>
  <si>
    <t>K-1464</t>
  </si>
  <si>
    <t>Блоки кнопок руля (пара) 4T GY6 50 (диск/диск) "KOMATCU"</t>
  </si>
  <si>
    <t>https://b2beez.ru/images/detailed/166/orig_z4ej-p4.jpg</t>
  </si>
  <si>
    <t>K-4991</t>
  </si>
  <si>
    <t>Коленвал Honda DIO AF34/35 ZX50 (щеки 34mm) (+сепаратор, шпонка) "KOMATCU"</t>
  </si>
  <si>
    <t>https://b2beez.ru/images/detailed/168/orig_ja3x-wj.jpg</t>
  </si>
  <si>
    <t>K-6860</t>
  </si>
  <si>
    <t>Кольца 4T GY6 150 1,00 (Ø58,50) "SUNY" (mod.A)</t>
  </si>
  <si>
    <t>https://b2beez.ru/images/detailed/168/6224627919.jpg</t>
  </si>
  <si>
    <t>K-6861</t>
  </si>
  <si>
    <t>Кольца 4T GY6 150 1,00 (Ø58,50) "SUNY" (mod.B)</t>
  </si>
  <si>
    <t>https://b2beez.ru/images/detailed/168/6224627884.jpg</t>
  </si>
  <si>
    <t>M-458</t>
  </si>
  <si>
    <t>Машинка тормозная (ГТЦ) Honda LEAD (+рычаг, правая) "KOMATCU"</t>
  </si>
  <si>
    <t>https://b2beez.ru/images/detailed/169/orig_ht9x-91.jpg</t>
  </si>
  <si>
    <t>R-1795</t>
  </si>
  <si>
    <t>Ремень вариатора 792 * 16,6 Yamaha JOG 3KJ "MALOSSI"</t>
  </si>
  <si>
    <t>https://b2beez.ru/images/detailed/176/7095613799.jpg</t>
  </si>
  <si>
    <t>P-1226</t>
  </si>
  <si>
    <t>Пружины колодок сцепления 4T GY6 150 (1000rpm, 3шт) "KOSO"</t>
  </si>
  <si>
    <t>https://b2beez.ru/images/detailed/172/orig_ppws-lz.jpg</t>
  </si>
  <si>
    <t>P-1233</t>
  </si>
  <si>
    <t>Пружины колодок сцепления 4T GY6 50 (1500rpm, 3шт) "KOSO"</t>
  </si>
  <si>
    <t>https://b2beez.ru/images/detailed/172/orig_y2xo-fq.jpg</t>
  </si>
  <si>
    <t>M-639</t>
  </si>
  <si>
    <t>Машинка тормозная (ГТЦ) 4T GY6 50 (правая, высокая) "KOMATCU"</t>
  </si>
  <si>
    <t>https://b2beez.ru/images/detailed/169/orig_31en-sr.jpg</t>
  </si>
  <si>
    <t>R-867</t>
  </si>
  <si>
    <t>Ремень вариатора 652 * 15.3 Honda DIO "KOMATCU"</t>
  </si>
  <si>
    <t>https://b2beez.ru/images/detailed/178/orig_zdme-0j.jpg</t>
  </si>
  <si>
    <t>GY6 50-190</t>
  </si>
  <si>
    <t>Бендикс</t>
  </si>
  <si>
    <t>GY6 50-80</t>
  </si>
  <si>
    <t>Honda</t>
  </si>
  <si>
    <t>DIO</t>
  </si>
  <si>
    <t>На снегоходы</t>
  </si>
  <si>
    <t>Для электроинструмента</t>
  </si>
  <si>
    <t>На электропилы</t>
  </si>
  <si>
    <t>D-1042</t>
  </si>
  <si>
    <t>Звезда электропилы (венец привода) (D-35, d-12, H-7mm) Einhell,Craft "JIANTAI"</t>
  </si>
  <si>
    <t>https://b2beez.ru/images/detailed/157/orig_kof6-u8.jpg</t>
  </si>
  <si>
    <t>D-1909</t>
  </si>
  <si>
    <t>Тарелка сцепления электропилы (звезда ведущая) MakitaUC3530A/UC4030A/UC4530A (125331-7) "JIANTAI"</t>
  </si>
  <si>
    <t>https://b2beez.ru/images/detailed/157/6321462067.jpg</t>
  </si>
  <si>
    <t>D-1910</t>
  </si>
  <si>
    <t>Тарелка сцепления электропилы (звезда ведущая) MakitaUCXX30A (226 223 110) "JIANTAI"</t>
  </si>
  <si>
    <t>https://b2beez.ru/images/detailed/157/6321460897.jpg</t>
  </si>
  <si>
    <t>D-2122</t>
  </si>
  <si>
    <t>Шестерня ведомая привода электропилы Matrix (D-85,1mm 43 шлицов)</t>
  </si>
  <si>
    <t>https://b2beez.ru/images/detailed/157/6265640368.jpg</t>
  </si>
  <si>
    <t>D-2129</t>
  </si>
  <si>
    <t>Шестерня ведомая привода электропилы Vorskla (d-10mm, D-74мм 33 шлицов с правым наклоном)</t>
  </si>
  <si>
    <t>https://b2beez.ru/images/detailed/157/6321463644.jpg</t>
  </si>
  <si>
    <t>D-1047</t>
  </si>
  <si>
    <t>Маслонасос электропилы Foresta, Днипро-М 1,1-1,6 КВт "JIANTAI"</t>
  </si>
  <si>
    <t>https://b2beez.ru/images/detailed/157/6265643600.jpg</t>
  </si>
  <si>
    <t>D-2131</t>
  </si>
  <si>
    <t>Маслонасос электропилы Rebir 1.4, Einhell Royal, Rebir MKZ1-38/40, MaxCut, Stern</t>
  </si>
  <si>
    <t>https://b2beez.ru/images/detailed/157/6265641949.jpg</t>
  </si>
  <si>
    <t>M-0618</t>
  </si>
  <si>
    <t>Мотор для электроинструментов 21V (шуруповерты, дрели, гайковёрт) (RD21-A)</t>
  </si>
  <si>
    <t>https://b2beez.ru/images/detailed/169/orig_szxn-z2.jpg</t>
  </si>
  <si>
    <t>Для электротранспорта</t>
  </si>
  <si>
    <t>На электросамокаты</t>
  </si>
  <si>
    <t>K-4269</t>
  </si>
  <si>
    <t>Камера 8.5x2.5 для самоката электрического (усиленная, прямой ниппель) Xiaomi 1s, Aovo m365 Pro, HOVERBOT ACE, Digma Urban/HF</t>
  </si>
  <si>
    <t>https://b2beez.ru/images/detailed/167/6981918348.jpg</t>
  </si>
  <si>
    <t>K-0999</t>
  </si>
  <si>
    <t>Камера 8x2.0 для самоката электрического (усиленная, кривой ниппель) Kugoo M2, midway/yamato 0809 и 0809 pro</t>
  </si>
  <si>
    <t>https://b2beez.ru/images/detailed/166/6981861642.jpg</t>
  </si>
  <si>
    <t>K-1726</t>
  </si>
  <si>
    <t>Камера 11" 90/65-6.5 для самоката электрического (кривой ниппель) Ultron T11, T108, T118, T128, Halten RS-03, Kugoo M5</t>
  </si>
  <si>
    <t>https://b2beez.ru/images/detailed/166/6981860669.jpg</t>
  </si>
  <si>
    <t>K-1755</t>
  </si>
  <si>
    <t>Камера 8.5"/2.0 для самоката электрического (усиленная, прямой ниппель) Xiaomi mijia M365, M365 Pro, M2 Pro</t>
  </si>
  <si>
    <t>https://b2beez.ru/images/detailed/166/orig_nnx7-ib.jpg</t>
  </si>
  <si>
    <t>K-3053</t>
  </si>
  <si>
    <t>Камера 8.5" 8 1/2x2 для самоката электрического (усиленная, кривой ниппель) Xiaomi mijia M365, M365 Pro, M2 Pro</t>
  </si>
  <si>
    <t>https://b2beez.ru/images/detailed/166/6981876437.jpg</t>
  </si>
  <si>
    <t>P-3070</t>
  </si>
  <si>
    <t>Покрышка с камерой 10x3.0 4PR (45PSI) для самоката электрического Kugoo M3 / М4 / M4 PRO (усиленная, кривой ниппель)</t>
  </si>
  <si>
    <t>https://b2beez.ru/images/detailed/173/orig_h9lm-xb.jpg</t>
  </si>
  <si>
    <t>P-9387</t>
  </si>
  <si>
    <t>Покрышка 10х3.0 4PR (45PSI) для самоката электрического Kugoo M3 / М4 / M4 PRO (усиленная, 310 KPa, 77Kg)</t>
  </si>
  <si>
    <t>https://b2beez.ru/images/detailed/204/1_uhcq-dp.jpg</t>
  </si>
  <si>
    <t>P-2791</t>
  </si>
  <si>
    <t>Покрышка 8.5x2.0 бескамерная литая с перфорацией для самоката электрического Xiaomi Mijia M365, PRO, S1, AOVO M365, Kugoo ES2 (красная)</t>
  </si>
  <si>
    <t>https://b2beez.ru/images/detailed/173/orig_r8z3-kh.jpg</t>
  </si>
  <si>
    <t>P-2722</t>
  </si>
  <si>
    <t>Покрышка 8.5x2.0 бескамерная литая для самоката электрического Xiaomi Mijia M365, PRO, S1, AOVO M365, Kugoo ES2 (черная)</t>
  </si>
  <si>
    <t>https://b2beez.ru/images/detailed/173/orig_2xmt-vx.jpg</t>
  </si>
  <si>
    <t>P-2390</t>
  </si>
  <si>
    <t>Покрышка 8.5x2.0 бескамерная литая с перфорацией для самоката электрического Xiaomi Mijia M365, PRO, S1, AOVO M365, Kugoo ES2 (черная)</t>
  </si>
  <si>
    <t>https://b2beez.ru/images/detailed/173/orig_0n35-lo.jpg</t>
  </si>
  <si>
    <t>P-5301</t>
  </si>
  <si>
    <t>Покрышка с камерой 8.5x2.0 для электросамоката Xiaomi Mijia M365, PRO, S1, AOVO M365, Kugoo ES2 (усиленная, прямой ниппель, 50PSI)</t>
  </si>
  <si>
    <t>https://b2beez.ru/images/detailed/174/orig_nua6-rp.jpg</t>
  </si>
  <si>
    <t>P-8028</t>
  </si>
  <si>
    <t>Покрышка с камерой 10x3.0 для самоката электрического Kugoo m4/m4 pro (внедорожная, 80/65-6, 50PSI)</t>
  </si>
  <si>
    <t>https://b2beez.ru/images/detailed/175/orig_qv4w-xs.jpg</t>
  </si>
  <si>
    <t>P-9921</t>
  </si>
  <si>
    <t>Покрышка 10x2.5 бескамерная литая для самоката электрического Ninebot Max G30/ Yokamura i8/Midway I-Max pro (черная) "BEEZMOTO"</t>
  </si>
  <si>
    <t>https://b2beez.ru/images/detailed/175/orig_d6th-ty.jpg</t>
  </si>
  <si>
    <t>P-0522</t>
  </si>
  <si>
    <t>Покрышка 3.5x6.0 CST 4PR (32PSI) для самоката электрического (2.5BAR)</t>
  </si>
  <si>
    <t>https://b2beez.ru/images/detailed/172/orig_iott-p8.jpg</t>
  </si>
  <si>
    <t>K-6739</t>
  </si>
  <si>
    <t>Крыло заднее для электросамоката Xiaomi Mi Electric Scooter M365, Pro, Aovo M365 Pro (сапожок в комплекте, темно-серое) "BEEZMOTO"</t>
  </si>
  <si>
    <t>https://b2beez.ru/images/detailed/168/orig_oq2g-op.jpg</t>
  </si>
  <si>
    <t>Z-4644</t>
  </si>
  <si>
    <t>Заднее крыло (в сборе) для электросамоката Xiaomi M365, Pro, Pro2, 1S, Aovo M365 Pro, Aovo M1 "BEEZMOTO"</t>
  </si>
  <si>
    <t>https://b2beez.ru/images/detailed/204/Z-4644.jpg</t>
  </si>
  <si>
    <t>Z-1573</t>
  </si>
  <si>
    <t>Заднее крыло для электросамоката(в сборе) Xiaomi M365, Pro, Pro2, 1S, Aovo M365 Pro, Aovo M1, стоп-сигнал и поддержка крыла в комплекте, белый</t>
  </si>
  <si>
    <t>https://b2beez.ru/images/detailed/188/6981915642.jpg</t>
  </si>
  <si>
    <t>B-1984</t>
  </si>
  <si>
    <t>Брызговики для электросамокатов Ninebot, Xiaomi и др, комплект 2 шт (передний и задний) для установки на крыло и защиты самоката от брызг воды, грязи</t>
  </si>
  <si>
    <t>https://b2beez.ru/images/detailed/154/6981855106.jpg</t>
  </si>
  <si>
    <t>B-6961</t>
  </si>
  <si>
    <t>Брызговики резиновые для электросамоката xiaomi, Kugoo,Halten, midway. Аксессуары и запчасти для электрического самоката</t>
  </si>
  <si>
    <t>https://b2beez.ru/images/detailed/154/6982105803.jpg</t>
  </si>
  <si>
    <t>Z-7473</t>
  </si>
  <si>
    <t>Заднее крыло в сборе для электросамоката Kugoo S2,S3,S3 pro, S3 GT 350s,GT Best s3,Aovo s3, Minipro S3. С фарой стоп сигнал</t>
  </si>
  <si>
    <t>https://b2beez.ru/images/detailed/204/Z-7473.jpg</t>
  </si>
  <si>
    <t>P-6307</t>
  </si>
  <si>
    <t>Поддержка заднего крыла для электросамоката Ninebot KickScooter MAX G30 металл, черный</t>
  </si>
  <si>
    <t>https://b2beez.ru/images/detailed/174/orig_mjqy-yp.jpg</t>
  </si>
  <si>
    <t>P-8138</t>
  </si>
  <si>
    <t>Переднее крыло для электросамоката Kugoo М4/М4Pro/МахSpeed "BEEZMOTO"</t>
  </si>
  <si>
    <t>https://b2beez.ru/images/detailed/175/orig_vple-28.jpg</t>
  </si>
  <si>
    <t>K-9416</t>
  </si>
  <si>
    <t>Крыло для электросамоката Kugoo M2. Переднее крыло Kugoo M2</t>
  </si>
  <si>
    <t>https://b2beez.ru/images/detailed/169/orig_lcw9-lz.jpg</t>
  </si>
  <si>
    <t>P-8490</t>
  </si>
  <si>
    <t>Поддержка заднего крыла для электросамоката Xiaomi Mijia M365, Pro, 1S, AOVO, Mini Robot и др, черны</t>
  </si>
  <si>
    <t>https://b2beez.ru/images/detailed/175/orig_np4o-sy.jpg</t>
  </si>
  <si>
    <t>P-8036</t>
  </si>
  <si>
    <t>Подшипник 608-2RS 8*22*7 для самоката, роликов, скейтборда (комплект-10 шт) "BEEZMOTO"</t>
  </si>
  <si>
    <t>https://b2beez.ru/images/detailed/175/6981892581.jpg</t>
  </si>
  <si>
    <t>P-7997</t>
  </si>
  <si>
    <t>Подшипник 608-ZZ 8*22*7 Abec 7 для самоката, роликов, скейтборда (комплект-5 шт) "BEEZMOTO"</t>
  </si>
  <si>
    <t>https://b2beez.ru/images/detailed/175/orig_aeac-5r.jpg</t>
  </si>
  <si>
    <t>P-0894</t>
  </si>
  <si>
    <t>Подшипник шариковый рулевой колонки самоката, трюкового самоката. Количество 2 шт</t>
  </si>
  <si>
    <t>https://b2beez.ru/images/detailed/172/6983060255.jpg</t>
  </si>
  <si>
    <t>D-0403</t>
  </si>
  <si>
    <t>Ручка на руль дополнительная для электросамоката/самоката (детская.  Ø25-43mm) "BabyBike"</t>
  </si>
  <si>
    <t>https://b2beez.ru/images/detailed/157/orig_3dj6-n2.jpg</t>
  </si>
  <si>
    <t>B-5532</t>
  </si>
  <si>
    <t>Бортовой компьютер (дисплей) TF-100 для электросамоката Kugoo M3, M3 Pro, Kugoo M4, M4 Pro, M5, Max Speed /6-pin, 48V. Аксессуары для электрического с</t>
  </si>
  <si>
    <t>https://b2beez.ru/images/detailed/154/orig_f253-b9.jpg</t>
  </si>
  <si>
    <t>B-4297</t>
  </si>
  <si>
    <t>Зарядное устройство для электросамоката, электроскутера (100-240V/AC, DC-67.2V, быстрое, с кулером охлаждения) JN-60B "BEEZMOTO"</t>
  </si>
  <si>
    <t>https://b2beez.ru/images/detailed/154/6981855535.jpg</t>
  </si>
  <si>
    <t>G-5406</t>
  </si>
  <si>
    <t>Грипсы для самоката, велосипеда и трюкового самоката 165mm (Ø21mm, черно-зееные) "BEEZMOTO"</t>
  </si>
  <si>
    <t>https://b2beez.ru/images/detailed/162/orig_j9ck-34.jpg</t>
  </si>
  <si>
    <t>G-9451</t>
  </si>
  <si>
    <t>Грипсы для самоката, велосипеда и трюкового самоката 165mm (Ø21mm, черно-синие) "BEEZMOTO"</t>
  </si>
  <si>
    <t>https://b2beez.ru/images/detailed/162/orig_tqbo-ys.jpg</t>
  </si>
  <si>
    <t>G-5766</t>
  </si>
  <si>
    <t>Грипсы для самоката, велосипеда и трюкового самоката 165mm (Ø21mm, черно-серые) "BEEZMOTO"</t>
  </si>
  <si>
    <t>https://b2beez.ru/images/detailed/162/orig_8nrm-w2.jpg</t>
  </si>
  <si>
    <t>G-9044</t>
  </si>
  <si>
    <t>Грипсы для электросамоката Kugoo S3 "BEEZMOTO"</t>
  </si>
  <si>
    <t>https://b2beez.ru/images/detailed/162/6981860258.jpg</t>
  </si>
  <si>
    <t>P-0555</t>
  </si>
  <si>
    <t>Переходник-насадка с обратным клапаном для накачки колёс (Ø8/8mm) "BEEZMOTO"</t>
  </si>
  <si>
    <t>https://b2beez.ru/images/detailed/172/orig_jird-x9.jpg</t>
  </si>
  <si>
    <t>R-9844</t>
  </si>
  <si>
    <t>Разъем питания XT30 (пара) коннектор силовой (гнездо + штекер) x 5 пар "BEEZMOTO"</t>
  </si>
  <si>
    <t>https://b2beez.ru/images/detailed/178/orig_byqu-9n.jpg</t>
  </si>
  <si>
    <t>T-5002</t>
  </si>
  <si>
    <t>Тормозные колодки для электросамоката Xiaomi Mijia M365 Pro "BEEZMOTO"</t>
  </si>
  <si>
    <t>https://b2beez.ru/images/detailed/183/orig_okq7-x8.jpg</t>
  </si>
  <si>
    <t>T-5937</t>
  </si>
  <si>
    <t>Тормозные колодки для электросамоката Kugoo M4 / M4 PRO / Maxspeed</t>
  </si>
  <si>
    <t>https://b2beez.ru/images/detailed/183/orig_stta-t9.jpg</t>
  </si>
  <si>
    <t>K-3306</t>
  </si>
  <si>
    <t>Колодки тормозные для электросамоката Kugoo G1</t>
  </si>
  <si>
    <t>https://b2beez.ru/images/detailed/167/orig_1fb9-dl.jpg</t>
  </si>
  <si>
    <t>K-2165</t>
  </si>
  <si>
    <t>Колодки тормозные для электросамоката Kugoo M5 (передние колодки)</t>
  </si>
  <si>
    <t>https://b2beez.ru/images/detailed/166/6979032085.jpg</t>
  </si>
  <si>
    <t>T-5782</t>
  </si>
  <si>
    <t>Тормозные колодки для барабанного тормоза электросамоката Ninebot Max, Yokamura i8, Allroad Max</t>
  </si>
  <si>
    <t>https://b2beez.ru/images/detailed/183/orig_kzb8-au.jpg</t>
  </si>
  <si>
    <t>T-4890</t>
  </si>
  <si>
    <t>Диск тормозной для электросамоката Xiaomi M365 (Ø110мм, на 5 болтов) "BEEZMOTO"</t>
  </si>
  <si>
    <t>https://b2beez.ru/images/detailed/183/orig_5wvp-io.jpg</t>
  </si>
  <si>
    <t>D-3348</t>
  </si>
  <si>
    <t>Суппорт тормозной (калипер) для электросамоката Kugoo M4 (+колодки) "BEEZMOTO"</t>
  </si>
  <si>
    <t>https://b2beez.ru/images/detailed/159/orig_i8n5-76.jpg</t>
  </si>
  <si>
    <t>K-3131</t>
  </si>
  <si>
    <t>Курок ручка газа для электросамоката Ninebot by Segway KickScooter ES1, ES2, ES4, E22, E25, E45, синий "BEEZMOTO"</t>
  </si>
  <si>
    <t>https://b2beez.ru/images/detailed/166/orig_mupi-7r.jpg</t>
  </si>
  <si>
    <t>K-4063</t>
  </si>
  <si>
    <t>Курок тормоза для электросамоката Ninebot by Segway KickScooter ES1, ES2, ES4, E22, E25, E45 "BEEZMOTO"</t>
  </si>
  <si>
    <t>https://b2beez.ru/images/detailed/167/orig_zyju-8c.jpg</t>
  </si>
  <si>
    <t>K-8206</t>
  </si>
  <si>
    <t>Курок газа/тормоза для электросамоката, электровелосипеда универсальный (черный) "BEEZMOTO"</t>
  </si>
  <si>
    <t>https://b2beez.ru/images/detailed/169/orig_6yii-vx.jpg</t>
  </si>
  <si>
    <t>R-0435</t>
  </si>
  <si>
    <t>Ручка газа (в сборе) + ручка руля  для электросамоката Kugoo C1 Plus (8 пинов) "BEEZMOTO"</t>
  </si>
  <si>
    <t>https://b2beez.ru/images/detailed/176/6981872904.jpg</t>
  </si>
  <si>
    <t>R-8787</t>
  </si>
  <si>
    <t>Ручка газа HZ-22 для электросамоката, электровелосипеда</t>
  </si>
  <si>
    <t>https://b2beez.ru/images/detailed/178/orig_7vnk-6h.jpg</t>
  </si>
  <si>
    <t>K-7339</t>
  </si>
  <si>
    <t>Курок газа и курок тормаза (пара) для электросамоката Kugoo S3 "BEEZMOTO"</t>
  </si>
  <si>
    <t>https://b2beez.ru/images/detailed/169/6981870035.jpg</t>
  </si>
  <si>
    <t>R-5297</t>
  </si>
  <si>
    <t>Рулевая плата (дисплей) для электросамоката Ninebot KickScooter ES1, ES1L, ES2, ES4, E22, E45, с Bluetooth соединением</t>
  </si>
  <si>
    <t>https://b2beez.ru/images/detailed/177/orig_f1m4-9o.jpg</t>
  </si>
  <si>
    <t>V-2461</t>
  </si>
  <si>
    <t>Водонепроницаемый силиконовый чехол для защиты приборной панели (дисплея) электросамоката Ninebot KickScooter ES1, ES2, ES4, E22, E25, E45 и др., черн</t>
  </si>
  <si>
    <t>https://b2beez.ru/images/detailed/186/orig_sz06-5x.jpg</t>
  </si>
  <si>
    <t>V-8098</t>
  </si>
  <si>
    <t>Накладка водонепроницаемая, силиконовая для панели управления/дисплея электросамоката Xiaomi Pro, 1S, Mini Robot 365, AOVO M365 (черный) "BEEZMOTO"</t>
  </si>
  <si>
    <t>https://b2beez.ru/images/detailed/187/orig_a5xt-5d.jpg</t>
  </si>
  <si>
    <t>S-7082</t>
  </si>
  <si>
    <t>Силиконовый чехол на бортовой компьютер TF-100, LH-100, QS-S4 для электросамоката Kugoo M4 Pro, Max Speed, M5 (красный) "BEEZMOTO"</t>
  </si>
  <si>
    <t>https://b2beez.ru/images/detailed/182/orig_a7db-cp.jpg</t>
  </si>
  <si>
    <t>Z-2148</t>
  </si>
  <si>
    <t>Защитная крышка дисплея приборной панели для электросамоката Xiaomi M365 PRO, 1S</t>
  </si>
  <si>
    <t>https://b2beez.ru/images/detailed/188/orig_gk1k-df.jpg</t>
  </si>
  <si>
    <t>F-9135</t>
  </si>
  <si>
    <t>Фиксатор, пластиковое кольцо механизма складывания электросамоката Ninebot Max G30, G30P, G30LP "BEEZMOTO"</t>
  </si>
  <si>
    <t>https://b2beez.ru/images/detailed/160/orig_4fls-i8.jpg</t>
  </si>
  <si>
    <t>R-7366</t>
  </si>
  <si>
    <t>Ручка тормоза для электросамоката Xiaomi Mijia M365, PRO, 1S, AOVO M365 Pro, Mini Robot 365, Ninebot KickScooter MAX G30 и др.</t>
  </si>
  <si>
    <t>https://b2beez.ru/images/detailed/177/orig_n1px-o1.jpg</t>
  </si>
  <si>
    <t>G-0360</t>
  </si>
  <si>
    <t>Гнездо зарядки с заглушкой для электросамоката Kugoo M4, M4 Pro, M5 (GX16 - Deans) "BEEZMOTO"</t>
  </si>
  <si>
    <t>https://b2beez.ru/images/detailed/161/6981834491.jpg</t>
  </si>
  <si>
    <t>G-5291</t>
  </si>
  <si>
    <t>Гнездо зарядки с кабелем и заглушкой для электросамоката Kugoo Max Speed, M2 "BEEZMOTO"</t>
  </si>
  <si>
    <t>https://b2beez.ru/images/detailed/162/orig_zpi8-jd.jpg</t>
  </si>
  <si>
    <t>R-6278</t>
  </si>
  <si>
    <t>Резиновая заглушка разъема питания DC-025 и DC-022B (Ø5.5 мм, для зарядки электросамоката Kugoo M2 Pro/G2 Pro/C1/IconBIT/Midway-Yamato) "BEEZMOTO"</t>
  </si>
  <si>
    <t>https://b2beez.ru/images/detailed/177/orig_ysu1-un.jpg</t>
  </si>
  <si>
    <t>G-9303</t>
  </si>
  <si>
    <t>Гнездо / разъем зарядки для электросамоката Xiaomi Mijia m365, PRO, 1S</t>
  </si>
  <si>
    <t>https://b2beez.ru/images/detailed/162/6981749531.jpg</t>
  </si>
  <si>
    <t>S-0846</t>
  </si>
  <si>
    <t>Сиденье для электросамоката и электроскутера (Ø23mm) "BEEZMOTO"</t>
  </si>
  <si>
    <t>https://b2beez.ru/images/detailed/178/orig_68vh-kp.jpg</t>
  </si>
  <si>
    <t>P-1990</t>
  </si>
  <si>
    <t>Подножка для электросамоката Kugoo S2/S3, Kugoo S3 Pro, GT 350S, AOVO S3 Pro</t>
  </si>
  <si>
    <t>https://b2beez.ru/images/detailed/173/orig_kv32-ff.jpg</t>
  </si>
  <si>
    <t>P-1722</t>
  </si>
  <si>
    <t>Подножка для электросамоката Kugoo Kirin M4 PRO Plus. Запчасти и аксессуары для электрического самоката</t>
  </si>
  <si>
    <t>https://b2beez.ru/images/detailed/173/orig.jpg</t>
  </si>
  <si>
    <t>K-1733</t>
  </si>
  <si>
    <t>Крючок черный на руль электросамоката Xiaomi М365/Pro.Передний крюк вешалка для перевозки сумок на электоросамокате "BEEZMOTO"</t>
  </si>
  <si>
    <t>https://b2beez.ru/images/detailed/166/orig_dj8f-ot.jpg</t>
  </si>
  <si>
    <t>S-1224</t>
  </si>
  <si>
    <t>Сумка на руль электросамоката (275x155x130 мм)</t>
  </si>
  <si>
    <t>https://b2beez.ru/images/detailed/178/orig_vt2m-w1.jpg</t>
  </si>
  <si>
    <t>S-9006</t>
  </si>
  <si>
    <t>Сумка для электросамоката, самоката, велосипеда (Карбон, водонепроницаемая) "WILD MAN"</t>
  </si>
  <si>
    <t>https://b2beez.ru/images/detailed/182/orig_2xj8-b6.jpg</t>
  </si>
  <si>
    <t>B-7447</t>
  </si>
  <si>
    <t>Бабочки для устранения люфта электросамоката Xiaomi M365 (комплект-3шт) "BEEZMOTO"</t>
  </si>
  <si>
    <t>https://b2beez.ru/images/detailed/154/6981747870.jpg</t>
  </si>
  <si>
    <t>N-4511</t>
  </si>
  <si>
    <t>Наклейки светоотражающие для пластиковых накладок электросамоката Xiaomi, красный</t>
  </si>
  <si>
    <t>https://b2beez.ru/images/detailed/171/orig_ulns-mf.jpg</t>
  </si>
  <si>
    <t>O-0259</t>
  </si>
  <si>
    <t>Ось для самоката 8 мм, с болтом, длинна без шляпки 28 мм</t>
  </si>
  <si>
    <t>https://b2beez.ru/images/detailed/171/orig_bwf8-pr.jpg</t>
  </si>
  <si>
    <t>O-2450</t>
  </si>
  <si>
    <t>Ось для самоката 8 мм, с болтом, длинна без шляпки 34 мм "BEEZMOTO"</t>
  </si>
  <si>
    <t>https://b2beez.ru/images/detailed/172/6981992114.jpg</t>
  </si>
  <si>
    <t>O-0377</t>
  </si>
  <si>
    <t>Ось для самоката 8 мм, с болтом, длинна без шляпки 40 мм</t>
  </si>
  <si>
    <t>https://b2beez.ru/images/detailed/171/6981758806.jpg</t>
  </si>
  <si>
    <t>O-8537</t>
  </si>
  <si>
    <t>Ось для самоката 8 мм, с болтом, длина без шляпки 45 мм</t>
  </si>
  <si>
    <t>https://b2beez.ru/images/detailed/172/6981728424.jpg</t>
  </si>
  <si>
    <t>O-5427</t>
  </si>
  <si>
    <t>Ось для самоката 8 мм, с болтом, длинна без шляпки 60 мм</t>
  </si>
  <si>
    <t>https://b2beez.ru/images/detailed/172/6981723117.jpg</t>
  </si>
  <si>
    <t>M-2640</t>
  </si>
  <si>
    <t>Мотор-колесо для электросамоката Kugoo M4/M4 pro/Max Speed, Joyor (48V, 1000W) "BEEZMOTO"</t>
  </si>
  <si>
    <t>https://b2beez.ru/images/detailed/169/orig_x5o7-bl.jpg</t>
  </si>
  <si>
    <t>M-9343</t>
  </si>
  <si>
    <t>Механизм (узел) складывания для электросамоката Xiaomi Mijia M365, M365 PRO, 1S и др., черный</t>
  </si>
  <si>
    <t>https://b2beez.ru/images/detailed/170/orig_pv10-48.jpg</t>
  </si>
  <si>
    <t>P-9681</t>
  </si>
  <si>
    <t>Покрышка 16х3.0  для электровелосипеда колхозника monster или моноколеса</t>
  </si>
  <si>
    <t>https://b2beez.ru/images/detailed/175/6981870491.jpg</t>
  </si>
  <si>
    <t>T-3725</t>
  </si>
  <si>
    <t>Диск тормозной для электросамоката Xiaomi Mijia M365 Pro (дв. перфорация, Ø120мм, на 5 болтов) "BEEZMOTO"</t>
  </si>
  <si>
    <t>https://b2beez.ru/images/detailed/183/7096450580.jpg</t>
  </si>
  <si>
    <t>K-0388</t>
  </si>
  <si>
    <t>Корпус бортового компьютера TF-100, QS-S4 (+крепление) для электросамоката Kugoo M4 / M4 Pro / M3 / M2 / X1 / G1, Falcon Zero 10x "BEEZMOTO"</t>
  </si>
  <si>
    <t>https://b2beez.ru/images/detailed/166/7036811872.jpg</t>
  </si>
  <si>
    <t>N-2927</t>
  </si>
  <si>
    <t>Кожух троса 610</t>
  </si>
  <si>
    <t>https://b2beez.ru/images/detailed/204/N-2927.jpg</t>
  </si>
  <si>
    <t>N-2934</t>
  </si>
  <si>
    <t>Кожух троса 661-1</t>
  </si>
  <si>
    <t>N-2929</t>
  </si>
  <si>
    <t>Кожух троса 602</t>
  </si>
  <si>
    <t>https://b2beez.ru/images/detailed/204/N-2929.jpg</t>
  </si>
  <si>
    <t>Инструменты</t>
  </si>
  <si>
    <t>Аккумуляторный инструмент</t>
  </si>
  <si>
    <t>Деревообработка</t>
  </si>
  <si>
    <t>F066</t>
  </si>
  <si>
    <t>Аккумуляторная шлифовальная машинка Ø125мм 21V (4.0Ah, 2 акб(Li-Ion), 3 скорости(7000/9500/11000), +2 круга) "BEEZMOTO"</t>
  </si>
  <si>
    <t>https://b2beez.ru/images/detailed/161/orig_j8hb-w9.jpg</t>
  </si>
  <si>
    <t>F024</t>
  </si>
  <si>
    <t>Аккумуляторный лобзик 18V (4.0Ah, 2 акб(Li-ion), +кейс, 1 полотно, "makita") "BEEZMOTO"</t>
  </si>
  <si>
    <t>https://b2beez.ru/images/detailed/160/orig_rb1l-1u.jpg</t>
  </si>
  <si>
    <t>Краскопульты</t>
  </si>
  <si>
    <t>Паяльники для труб</t>
  </si>
  <si>
    <t>F-078</t>
  </si>
  <si>
    <t>Аккумуляторный клеевой пистолет 21V (4,0Ah, 1 акб(Li-Ion), +10шт стержней) "BEEZMOTO"</t>
  </si>
  <si>
    <t>https://b2beez.ru/images/detailed/160/orig_by5s-pk.jpg</t>
  </si>
  <si>
    <t>F-078-U1</t>
  </si>
  <si>
    <t>Аккумуляторный клеевой пистолет 21V (4,0Ah, 1 акб(Li-Ion) "BEEZMOTO" (Не комплект)</t>
  </si>
  <si>
    <t>F0149</t>
  </si>
  <si>
    <t>Аккумуляторный паяльник для ПВХ труб 21V (4,0Ah, 2 акб(Li-Ion), +насадки 20/25/32мм, ножницы, кейс)</t>
  </si>
  <si>
    <t>https://b2beez.ru/images/detailed/160/7066524721.jpg</t>
  </si>
  <si>
    <t>F0150</t>
  </si>
  <si>
    <t>Аккумуляторный паяльник для ПВХ труб 588Vf (4,0Ah, 2 акб(Li-ion), +насадки 20/25/32мм, кейс)</t>
  </si>
  <si>
    <t>https://b2beez.ru/images/detailed/160/7066540358.jpg</t>
  </si>
  <si>
    <t>F078</t>
  </si>
  <si>
    <t>Аккумуляторный паяльник для ПВХ труб 588Vf (4,0Ah, 2 акб(Li-ion), +насадки 20/25/32мм, кейс) "BEEZMOTO"</t>
  </si>
  <si>
    <t>https://b2beez.ru/images/detailed/161/orig_9cj3-h0.jpg</t>
  </si>
  <si>
    <t>F079</t>
  </si>
  <si>
    <t>Аккумуляторный паяльник для ПВХ труб 21V (4,0Ah, 2 акб(Li-Ion), +насадки 20/25/32мм, ножницы, кейс) "BEEZMOTO"</t>
  </si>
  <si>
    <t>https://b2beez.ru/images/detailed/161/orig_0frj-yn.jpg</t>
  </si>
  <si>
    <t>Прочий инструмент</t>
  </si>
  <si>
    <t>F052</t>
  </si>
  <si>
    <t>Аккумуляторная виброприсоска для укладки плитки 21V(1.5Ah, 2 акб(Li-ion), +сумка) "BEEZMOTO"</t>
  </si>
  <si>
    <t>https://b2beez.ru/images/detailed/161/orig_dcjp-la.jpg</t>
  </si>
  <si>
    <t>Пылесосы</t>
  </si>
  <si>
    <t>F084</t>
  </si>
  <si>
    <t>Аккумуляторный пылесос для автомобиля  (120Вт +6 насадок)</t>
  </si>
  <si>
    <t>https://b2beez.ru/images/detailed/204/2_g6yv-z8.jpg</t>
  </si>
  <si>
    <t>Строительные фены</t>
  </si>
  <si>
    <t>F048</t>
  </si>
  <si>
    <t>Аккумуляторный строительный фен 18V (4,0Ah, 2 акб, кейс, t до 600 ℃, +3 насадки) "BEEZMOTO"</t>
  </si>
  <si>
    <t>https://b2beez.ru/images/detailed/161/orig_tqzq-hk.jpg</t>
  </si>
  <si>
    <t>УШМ Болгарка</t>
  </si>
  <si>
    <t>F077</t>
  </si>
  <si>
    <t>Аккумуляторная болгарка, УШМ Ø76мм 12V (2Ah, 2акб(Li-Ion), +4 диска, перчатки) "BEEZMOTO"</t>
  </si>
  <si>
    <t>https://b2beez.ru/images/detailed/161/orig_al0d-r1.jpg</t>
  </si>
  <si>
    <t>M-897</t>
  </si>
  <si>
    <t>Аккумуляторная болгарка, УШМ Ø125мм 21V (4,0Ah, 2 акб(Li-Ion), регулятор скорости, 3 положения раб. части, +кейс, ключ) "BEEZMOTO"</t>
  </si>
  <si>
    <t>https://b2beez.ru/images/detailed/170/orig_39sj-sd.jpg</t>
  </si>
  <si>
    <t>Шуруповерт/Дрель/Перфоратор/Гайковерт</t>
  </si>
  <si>
    <t>F047</t>
  </si>
  <si>
    <t>Аккумуляторный перфоратор 21V (4,0Ah, 2 акб(Li-Ion), 4700/мин, 7 насадок, бесщёточный, +кейс) "BEEZMOTO"</t>
  </si>
  <si>
    <t>https://b2beez.ru/images/detailed/161/orig.jpg</t>
  </si>
  <si>
    <t>F546</t>
  </si>
  <si>
    <t>Аккумуляторный ударный гайковерт 21V (4,0Ah, 2 акб, 880Hm, 3500/мин, бесщёточный, +кейс) "BEEZMOTO"</t>
  </si>
  <si>
    <t>https://b2beez.ru/images/detailed/161/orig_ptlt-0w.jpg</t>
  </si>
  <si>
    <t>F054</t>
  </si>
  <si>
    <t>Аккумуляторный шуруповерт ударный импульсный 20V (4Ah, 2 акб(Li-In), +кейс) "BEEZMOTO"</t>
  </si>
  <si>
    <t>https://b2beez.ru/images/detailed/161/6953988324.jpg</t>
  </si>
  <si>
    <t>F080</t>
  </si>
  <si>
    <t>Аккумуляторный набор инструментов 4в1 21V (4,0Ah, 4 акб(Li-Ion), УШМ, Гайковерт, Перфоратор, Шуруповерт) "BEEZMOTO"</t>
  </si>
  <si>
    <t>https://b2beez.ru/images/detailed/161/orig_ztkj-nb.jpg</t>
  </si>
  <si>
    <t>F6821</t>
  </si>
  <si>
    <t>Аккумуляторный шуруповерт 21V (1.5 Ah, 2 акб(Li-Ion), бесщеточный, с металлическим патроном, +кейс) "BEEZMOTO"</t>
  </si>
  <si>
    <t>https://b2beez.ru/images/detailed/161/orig_36uj-fg.jpg</t>
  </si>
  <si>
    <t>F031</t>
  </si>
  <si>
    <t>Аккумуляторный перфоратор 21V (1.5Ah, 2 акб(Li-ion), 2000 об/мин, 20мм) "BEEZMOTO"</t>
  </si>
  <si>
    <t>https://b2beez.ru/images/detailed/160/orig_qqiq-1o.jpg</t>
  </si>
  <si>
    <t>F029</t>
  </si>
  <si>
    <t>Аккумуляторный перфоратор 18V (7.5Ah, 2 акб(Li-Ion), 6000 об/мин, 26мм)</t>
  </si>
  <si>
    <t>https://b2beez.ru/images/detailed/160/6352314275.jpg</t>
  </si>
  <si>
    <t>F030</t>
  </si>
  <si>
    <t>Аккумуляторный ударный гайковерт + набор инструментов 18V (4,0Ah, 2 акб, 1/2, 1/4 дюйма) "BEEZMOTO"</t>
  </si>
  <si>
    <t>https://b2beez.ru/images/detailed/160/orig_atxb-fw.jpg</t>
  </si>
  <si>
    <t>F8621</t>
  </si>
  <si>
    <t>Аккумуляторный шуруповерт 18V (2.0Ah, 2 акб(Li-Ion), бесщеточный, с металлическим патроном, +кейс) "BEEZMOTO"</t>
  </si>
  <si>
    <t>https://b2beez.ru/images/detailed/161/orig_dfti-ek.jpg</t>
  </si>
  <si>
    <t>Сабельные пилы</t>
  </si>
  <si>
    <t>F006</t>
  </si>
  <si>
    <t>Аккумуляторная сабельная пила 88Vf (1.5Ah, 2 акб(Li-Ion), предохр курка, прорезиненная ручка, +4 полотна) "BEEZMOTO"</t>
  </si>
  <si>
    <t>https://b2beez.ru/images/detailed/160/orig_jjvt-qu.png</t>
  </si>
  <si>
    <t>Сетевой инструмент</t>
  </si>
  <si>
    <t>Лобзики</t>
  </si>
  <si>
    <t>Машины шлифовальные</t>
  </si>
  <si>
    <t>Металлообрабатывающее оборудование</t>
  </si>
  <si>
    <t>Миксеры</t>
  </si>
  <si>
    <t>Молотки отбойные</t>
  </si>
  <si>
    <t>Циркулярные пилы</t>
  </si>
  <si>
    <t>F057</t>
  </si>
  <si>
    <t>Многофункциональная мини-пила, циркулярная 24V (96W, 10А) (полотно 4шт)</t>
  </si>
  <si>
    <t>https://b2beez.ru/images/detailed/161/orig_fwke-z5.jpg</t>
  </si>
  <si>
    <t>Садовый инструмент</t>
  </si>
  <si>
    <t>Триммеры</t>
  </si>
  <si>
    <t>Бензокоса</t>
  </si>
  <si>
    <t>Электрокоса</t>
  </si>
  <si>
    <t>Триммеры аккумуляторные</t>
  </si>
  <si>
    <t>Пилы цепные</t>
  </si>
  <si>
    <t>Бензопилы</t>
  </si>
  <si>
    <t>Электропилы</t>
  </si>
  <si>
    <t>Пилы аккумуляторные</t>
  </si>
  <si>
    <t>F004</t>
  </si>
  <si>
    <t>Аккумуляторная цепная пила 88Vf (6 дюймов, 1.5Ah, 2 акб(Li-ion), цепь 2шт, подсветка) "BEEZMOTO"</t>
  </si>
  <si>
    <t>https://b2beez.ru/images/detailed/160/orig_r6f9-r7.jpg</t>
  </si>
  <si>
    <t>F035</t>
  </si>
  <si>
    <t>Аккумуляторная цепная пила 21V (6", 1.5Ah, 2акб, система смазки, +индикатор, желтая) "BEEZMOTO"</t>
  </si>
  <si>
    <t>https://b2beez.ru/images/detailed/160/orig_6hyo-ge.jpg</t>
  </si>
  <si>
    <t>F027</t>
  </si>
  <si>
    <t>Аккумуляторная цепная пила 21V (6", 1.5Ah, 2акб, система смазки, +индикатор, белая) "BEEZMOTO"</t>
  </si>
  <si>
    <t>https://b2beez.ru/images/detailed/160/orig_wtb9-d0.jpg</t>
  </si>
  <si>
    <t>F028</t>
  </si>
  <si>
    <t>Аккумуляторная цепная пила 21V (6", 1.5Ah, 2акб, система смазки, +индикатор, чёрная) "BEEZMOTO"</t>
  </si>
  <si>
    <t>https://b2beez.ru/images/detailed/160/orig_tw4t-iw.jpg</t>
  </si>
  <si>
    <t>F001</t>
  </si>
  <si>
    <t>Аккумуляторная цепная пила 88Vf (4 дюйма, 1.5Ah, 2 акб(Li-ion), цепь 2шт, черный) "BEEZMOTO"</t>
  </si>
  <si>
    <t>https://b2beez.ru/images/detailed/160/orig.png</t>
  </si>
  <si>
    <t>F009</t>
  </si>
  <si>
    <t>Аккумуляторная цепная пила 88Vf (6 дюймов, 1.5Ah, 2 акб(Li-ion), цепь 2шт, предохр курка) "BEEZMOTO"</t>
  </si>
  <si>
    <t>https://b2beez.ru/images/detailed/160/orig_qfs0-ze.jpg</t>
  </si>
  <si>
    <t>F021</t>
  </si>
  <si>
    <t>Аккумуляторная цепная пила 21V (6", 1,5Ah, 2акб, система смазки, +индикатор, голубая) "BEEZMOTO"</t>
  </si>
  <si>
    <t>https://b2beez.ru/images/detailed/160/orig_ijlv-a8.jpg</t>
  </si>
  <si>
    <t>F002</t>
  </si>
  <si>
    <t>Аккумуляторная цепная пила 88Vf (4 дюйма, 1.5Ah, 2 акб(Li-ion), цепь 2шт, красный) "BEEZMOTO"</t>
  </si>
  <si>
    <t>https://b2beez.ru/images/detailed/160/orig_7jf1-yg.png</t>
  </si>
  <si>
    <t>F003</t>
  </si>
  <si>
    <t>Аккумуляторная цепная пила 88Vf (4 дюйма, 1.5Ah, 2 акб(Li-ion), цепь 2шт, зеленый) "BEEZMOTO"</t>
  </si>
  <si>
    <t>https://b2beez.ru/images/detailed/160/6422146304.jpg</t>
  </si>
  <si>
    <t>F012</t>
  </si>
  <si>
    <t>Аккумуляторная цепная пила 88Vf (6 дюймов, 1.5Ah, 2 акб(Li-ion), цепь 2шт, защита) "BEEZMOTO"</t>
  </si>
  <si>
    <t>https://b2beez.ru/images/detailed/160/orig_tw5j-2a.png</t>
  </si>
  <si>
    <t>F013</t>
  </si>
  <si>
    <t>Аккумуляторная цепная пила 21V (6", 1,5Ah, 2акб, система смазки, +индикатор, оранжевая) "BEEZMOTO"</t>
  </si>
  <si>
    <t>https://b2beez.ru/images/detailed/160/orig_loci-b5.jpg</t>
  </si>
  <si>
    <t>Секаторы аккумуляторные</t>
  </si>
  <si>
    <t>Воздуходувки</t>
  </si>
  <si>
    <t>F019</t>
  </si>
  <si>
    <t>Аккумуляторная воздуходувка-пылесос 388Vf (4.0Ah, 2 акб(Li-ion), 13000 об./мин., + мешок) "BEEZMOTO"</t>
  </si>
  <si>
    <t>https://b2beez.ru/images/detailed/160/orig_ng6r-vh.jpg</t>
  </si>
  <si>
    <t>Генераторы</t>
  </si>
  <si>
    <t>Электроопрыскиватели</t>
  </si>
  <si>
    <t>Секаторы</t>
  </si>
  <si>
    <t>S-0124</t>
  </si>
  <si>
    <t>Секатор-сучкорез садовый профессиональный (с храповым механизмом и фиксатором, черный) SF-118-J "Wuking  Tools"</t>
  </si>
  <si>
    <t>https://b2beez.ru/images/detailed/178/6949572873.jpg</t>
  </si>
  <si>
    <t>S-0125</t>
  </si>
  <si>
    <t>Секатор-сучкорез садовый профессиональный (с храповым механизмом и фиксатором, серый) SF-118-H "Wuking  Tools"</t>
  </si>
  <si>
    <t>https://b2beez.ru/images/detailed/178/6949649934.jpg</t>
  </si>
  <si>
    <t>S-0123</t>
  </si>
  <si>
    <t>Секатор-сучкорез садовый плоскостной (с фиксатором, +запасная пружина) XH-Y "BRKEN"</t>
  </si>
  <si>
    <t>https://b2beez.ru/images/detailed/178/6949647987.jpg</t>
  </si>
  <si>
    <t>S-0122</t>
  </si>
  <si>
    <t>Секатор-сучкорез садовый плоскостной (с тефлоновым покрытием и фиксатором, +ремешок, запасная пружина) YS-168 "Pruning shears"</t>
  </si>
  <si>
    <t>https://b2beez.ru/images/detailed/178/6949647554.jpg</t>
  </si>
  <si>
    <t>S-0128</t>
  </si>
  <si>
    <t>Секатор-сучкорез садовый плоскостной 8" (с фиксатором) SA-213-1 "GS"</t>
  </si>
  <si>
    <t>https://b2beez.ru/images/detailed/178/6949649078.jpg</t>
  </si>
  <si>
    <t>S-0127</t>
  </si>
  <si>
    <t>Секатор-сучкорез садовый плоскостной (с фиксатором) SA-213-2 "GS MT"</t>
  </si>
  <si>
    <t>https://b2beez.ru/images/detailed/178/orig_su8u-jf.jpg</t>
  </si>
  <si>
    <t>S-0130</t>
  </si>
  <si>
    <t>Секатор-сучкорез садовый плоскостной 10" (с фиксатором) SA-213-3 "GS"</t>
  </si>
  <si>
    <t>https://b2beez.ru/images/detailed/178/6949646052.jpg</t>
  </si>
  <si>
    <t>S-0131</t>
  </si>
  <si>
    <t>Секатор-сучкорез садовый плоскостной (с фиксатором) SA-213-4 "GS MT"</t>
  </si>
  <si>
    <t>https://b2beez.ru/images/detailed/178/6949645218.jpg</t>
  </si>
  <si>
    <t>S-0120</t>
  </si>
  <si>
    <t>Секатор-сучкорез садовый плоскостной (с тефлонновым покрытием и фиксатором) XP-12080 "XPERT"</t>
  </si>
  <si>
    <t>https://b2beez.ru/images/detailed/178/orig_09oe-uo.jpg</t>
  </si>
  <si>
    <t>S-0121</t>
  </si>
  <si>
    <t>Секатор-сучкорез садовый плоскостной (с тефлоновым покрытием и фиксатором) "KW"</t>
  </si>
  <si>
    <t>https://b2beez.ru/images/detailed/178/6949643923.jpg</t>
  </si>
  <si>
    <t>S-0126</t>
  </si>
  <si>
    <t>Секатор-сучкорез садовый плоскостной (с фиксатором) SA-213-10 "KW"</t>
  </si>
  <si>
    <t>https://b2beez.ru/images/detailed/178/6949646419.jpg</t>
  </si>
  <si>
    <t>F043</t>
  </si>
  <si>
    <t>Аккумуляторный садовый секатор 21V (1.5Ah, 2 акб(Li-Ion), +кейс, красный) "BEEZMOTO"</t>
  </si>
  <si>
    <t>https://b2beez.ru/images/detailed/160/orig_8gkb-13.jpg</t>
  </si>
  <si>
    <t>F045</t>
  </si>
  <si>
    <t>Аккумуляторный садовый секатор 21V (1.5Ah, 2 акб(Li-Ion), +кейс, черный) "BEEZMOTO"</t>
  </si>
  <si>
    <t>https://b2beez.ru/images/detailed/160/orig_5lzo-57.png</t>
  </si>
  <si>
    <t>T-1232</t>
  </si>
  <si>
    <t>Аккумуляторный триммер для газона 21V (4.0Аh, 2 акб(Li-Ion), бесщеточный, 9") "BEEZMOTO"</t>
  </si>
  <si>
    <t>https://b2beez.ru/images/detailed/182/orig_8fni-ir.jpg</t>
  </si>
  <si>
    <t>T-1233</t>
  </si>
  <si>
    <t>Аккумуляторный триммер для газона 21V (1.5Аh, 2 акб(Li-Ion), 4000/min, 1000W, щеточный, 5") "BEEZMOTO"</t>
  </si>
  <si>
    <t>https://b2beez.ru/images/detailed/182/orig_8isk-0z.jpg</t>
  </si>
  <si>
    <t>F051</t>
  </si>
  <si>
    <t>Аккумуляторные ножницы для травы и кустов 21V (1.5Ah, 1 акб(Li-ion), 2 насадки) "BEEZMOTO"</t>
  </si>
  <si>
    <t>https://b2beez.ru/images/detailed/161/orig.png</t>
  </si>
  <si>
    <t>Адаптеры</t>
  </si>
  <si>
    <t>F042</t>
  </si>
  <si>
    <t>Адаптер, насадка реноватор для угловой шлифовальной машины (M10, 100/115/125 мм)</t>
  </si>
  <si>
    <t>https://b2beez.ru/images/detailed/160/orig_xrfm-yn.jpg</t>
  </si>
  <si>
    <t>F050</t>
  </si>
  <si>
    <t>Адаптер на дрель для резки листового металла</t>
  </si>
  <si>
    <t>https://b2beez.ru/images/detailed/161/orig_o0zz-6x.jpg</t>
  </si>
  <si>
    <t>F040</t>
  </si>
  <si>
    <t>Адаптер, насадка реноватор для угловой шлифовальной машины (M14, 100/115/125 мм)</t>
  </si>
  <si>
    <t>https://b2beez.ru/images/detailed/160/orig_0vta-jz.jpg</t>
  </si>
  <si>
    <t>F033</t>
  </si>
  <si>
    <t>Адаптер цепная пила для дрели и шуруповерта 6-дюймов</t>
  </si>
  <si>
    <t>https://b2beez.ru/images/detailed/160/6481959457.jpg</t>
  </si>
  <si>
    <t>F-152</t>
  </si>
  <si>
    <t>Адаптер заклепочный пистолет для шуруповерта и дрели (насадки D-2.4, 3.2, 4.0, 4,8, рукоятка, ключ)</t>
  </si>
  <si>
    <t>https://b2beez.ru/images/detailed/160/orig_rg3h-iq.jpg</t>
  </si>
  <si>
    <t>F038</t>
  </si>
  <si>
    <t>Адаптер сабельной пилы для дрели и шуруповерта (с баком для охлаждающей жидкости) "SAW"</t>
  </si>
  <si>
    <t>https://b2beez.ru/images/detailed/160/6417212337.jpg</t>
  </si>
  <si>
    <t>F039</t>
  </si>
  <si>
    <t>Адаптер цепная пила для дрели и шуруповерта 4-дюйма</t>
  </si>
  <si>
    <t>https://b2beez.ru/images/detailed/160/6417447368.jpg</t>
  </si>
  <si>
    <t>Аксессуары для электроинструмента</t>
  </si>
  <si>
    <t>R-5238</t>
  </si>
  <si>
    <t>Диск пильный по дереву Ø125x22 мм "Maxmum"</t>
  </si>
  <si>
    <t>https://b2beez.ru/images/detailed/177/6185362240.jpg</t>
  </si>
  <si>
    <t>R-0797</t>
  </si>
  <si>
    <t>Рулетка с автостопом 10м/25мм 33FT (ударопрочный корпус, красный) BS17C "BOSMT"</t>
  </si>
  <si>
    <t>https://b2beez.ru/images/detailed/176/orig_4ndw-n6.jpg</t>
  </si>
  <si>
    <t>R-0798</t>
  </si>
  <si>
    <t>Рулетка с автостопом 7.5м/25мм 25FT (ударопрочный корпус, красный) BS17C "BOSMT"</t>
  </si>
  <si>
    <t>https://b2beez.ru/images/detailed/176/orig_viel-7e.jpg</t>
  </si>
  <si>
    <t>R-0799</t>
  </si>
  <si>
    <t>Рулетка с автостопом 5м/25мм 16FT (ударопрочный корпус, красный) BS17C "BOSMT"</t>
  </si>
  <si>
    <t>https://b2beez.ru/images/detailed/176/orig_6hqa-w0.jpg</t>
  </si>
  <si>
    <t>R-0700</t>
  </si>
  <si>
    <t>Рулетка с автостопом 10м/25мм 33FT (ударопрочный корпус, желтый) BS17C "BOSMT"</t>
  </si>
  <si>
    <t>https://b2beez.ru/images/detailed/176/orig_l6ym-ts.jpg</t>
  </si>
  <si>
    <t>R-0701</t>
  </si>
  <si>
    <t>Рулетка с автостопом 7.5м/25мм 25FT (ударопрочный корпус, желтый) BS17C "BOSMT"</t>
  </si>
  <si>
    <t>https://b2beez.ru/images/detailed/176/orig_c87k-ni.jpg</t>
  </si>
  <si>
    <t>R-0703</t>
  </si>
  <si>
    <t>Рулетка с автостопом 5м/25мм 16FT (ударопрочный корпус, желтый) BS17C "BOSMT"</t>
  </si>
  <si>
    <t>https://b2beez.ru/images/detailed/176/orig_o7wl-fr.jpg</t>
  </si>
  <si>
    <t>F-4563</t>
  </si>
  <si>
    <t>Аккумуляторный лазерный уровень 4D (2акб(Li-Ion), магнитный держатель, пульт, +кейс, Bluetooth) "BEEZMOTO"</t>
  </si>
  <si>
    <t>https://b2beez.ru/images/detailed/160/orig_dq1f-rr.jpg</t>
  </si>
  <si>
    <t>D-9494</t>
  </si>
  <si>
    <t>Диск 230мм отрезной алмазный ( по камню, бетону, мрамору) толщина 2,4 мм, 230х10х22,23</t>
  </si>
  <si>
    <t>https://b2beez.ru/images/detailed/160/6309788192.jpg</t>
  </si>
  <si>
    <t>Домкраты</t>
  </si>
  <si>
    <t>Зарядные устройства</t>
  </si>
  <si>
    <t>Z-1199</t>
  </si>
  <si>
    <t>Автомобильное беспроводное зарядное устройство для телефона (USB, 5/7,5/10/15 Вт) (mod.2)</t>
  </si>
  <si>
    <t>https://b2beez.ru/images/detailed/188/orig_2c51-y2.jpg</t>
  </si>
  <si>
    <t>Зарядное устройство для АКБ 12V 1А/ч EVO</t>
  </si>
  <si>
    <t>https://b2beez.ru/images/detailed/48/orig_3eeh-d5.jpg</t>
  </si>
  <si>
    <t>Z-124</t>
  </si>
  <si>
    <t>Зарядное устройство для АКБ Makita 80-240V 21V-1.0 ADC DS (SRJ 21-1.0)</t>
  </si>
  <si>
    <t>https://b2beez.ru/images/detailed/188/orig_0rhh-ql.jpg</t>
  </si>
  <si>
    <t>Z-1198</t>
  </si>
  <si>
    <t>Автомобильное беспроводное зарядное устройство для телефона (USB, 5/7,5/10/15 Вт) (mod.1)</t>
  </si>
  <si>
    <t>https://b2beez.ru/images/detailed/188/orig_de0o-3k.jpg</t>
  </si>
  <si>
    <t>Z-353</t>
  </si>
  <si>
    <t>Зарядное устройство для АКБ Makita 100-240V 21V-1.3A (YH-2113)</t>
  </si>
  <si>
    <t>https://b2beez.ru/images/detailed/204/Z-353-2_o1ut-9a.jpg</t>
  </si>
  <si>
    <t>Z-6564</t>
  </si>
  <si>
    <t>Зарядное устройство для АКБ 4,2V 0,6A (USB-порт, 1 слот)</t>
  </si>
  <si>
    <t>https://b2beez.ru/images/detailed/204/Z-6564.jpg</t>
  </si>
  <si>
    <t>Z-527</t>
  </si>
  <si>
    <t>Кабель пусковой (пара) 15A/12В(прикуриватель) "YILON"</t>
  </si>
  <si>
    <t>https://b2beez.ru/images/detailed/204/Z-931-2_i7vj-y9.jpg</t>
  </si>
  <si>
    <t>Измерительно-разметочный инструмент</t>
  </si>
  <si>
    <t>Ключи</t>
  </si>
  <si>
    <t>K-5946</t>
  </si>
  <si>
    <t>Набор инструмента для велосипеда (mod:1)</t>
  </si>
  <si>
    <t>https://b2beez.ru/images/detailed/168/orig_3nds-no.png</t>
  </si>
  <si>
    <t>K-8035</t>
  </si>
  <si>
    <t>Набор инструмента для велосипеда (синий)</t>
  </si>
  <si>
    <t>https://b2beez.ru/images/detailed/169/6495818398.jpg</t>
  </si>
  <si>
    <t>P-6465</t>
  </si>
  <si>
    <t>Набор инструмента для велосипеда (желтый)</t>
  </si>
  <si>
    <t>https://b2beez.ru/images/detailed/175/orig.png</t>
  </si>
  <si>
    <t>N-7339</t>
  </si>
  <si>
    <t>Набор инструмента (шестигранники с шаром, CrV, 1.5 - 10mm, 9 шт, чёрный) "LOM"</t>
  </si>
  <si>
    <t>https://b2beez.ru/images/detailed/171/6459634834.jpg</t>
  </si>
  <si>
    <t>N-2960</t>
  </si>
  <si>
    <t>Набор инструмента раскладной (7 предметов)</t>
  </si>
  <si>
    <t>https://b2beez.ru/images/detailed/171/6459631904.jpg</t>
  </si>
  <si>
    <t>K-7141</t>
  </si>
  <si>
    <t>Ключ гаечный для ремонта сантехники универсальный 18 в 1 "WTW"</t>
  </si>
  <si>
    <t>https://b2beez.ru/images/detailed/169/orig_rfx8-lb.jpg</t>
  </si>
  <si>
    <t>K-4242</t>
  </si>
  <si>
    <t>Ключ торцевой шестигранный 6мм (L-86mm) x 5шт "BEEZMOTO"</t>
  </si>
  <si>
    <t>https://b2beez.ru/images/detailed/167/7056539246.jpg</t>
  </si>
  <si>
    <t>K-3718</t>
  </si>
  <si>
    <t>Ключ торцевой Т-образный 19 мм "WANGPAI"</t>
  </si>
  <si>
    <t>https://b2beez.ru/images/detailed/167/6323778150.jpg</t>
  </si>
  <si>
    <t>K-3725</t>
  </si>
  <si>
    <t>Ключ рожковый 13х15 мм "XINYU"</t>
  </si>
  <si>
    <t>https://b2beez.ru/images/detailed/167/6323778152.jpg</t>
  </si>
  <si>
    <t>K-2182</t>
  </si>
  <si>
    <t>Набор инструмента для велосипеда (красный)</t>
  </si>
  <si>
    <t>https://b2beez.ru/images/detailed/166/6495817250.jpg</t>
  </si>
  <si>
    <t>K-3098</t>
  </si>
  <si>
    <t>Ключ торцевой Т-образный 8 мм "YITON"</t>
  </si>
  <si>
    <t>https://b2beez.ru/images/detailed/166/6323778258.jpg</t>
  </si>
  <si>
    <t>K-3100</t>
  </si>
  <si>
    <t>Ключ торцевой Т-образный 12 мм "YITON"</t>
  </si>
  <si>
    <t>https://b2beez.ru/images/detailed/166/6323778269.jpg</t>
  </si>
  <si>
    <t>K-3700</t>
  </si>
  <si>
    <t>Ключ торцевой Т-образный 6 мм "WANGPAI"</t>
  </si>
  <si>
    <t>https://b2beez.ru/images/detailed/167/6323778181.jpg</t>
  </si>
  <si>
    <t>K-3706</t>
  </si>
  <si>
    <t>Ключ торцевой Т-образный 9 мм "WANGPAI"</t>
  </si>
  <si>
    <t>https://b2beez.ru/images/detailed/167/6323778186.jpg</t>
  </si>
  <si>
    <t>K-3717</t>
  </si>
  <si>
    <t>Ключ торцевой Т-образный 17 мм "WANGPAI"</t>
  </si>
  <si>
    <t>https://b2beez.ru/images/detailed/167/6323778188.jpg</t>
  </si>
  <si>
    <t>K-3723</t>
  </si>
  <si>
    <t>Ключ рожковый 9х11 мм "XINYU"</t>
  </si>
  <si>
    <t>https://b2beez.ru/images/detailed/167/6323778525.jpg</t>
  </si>
  <si>
    <t>K-3724</t>
  </si>
  <si>
    <t>Ключ рожковый 12х14 мм "XINYU"</t>
  </si>
  <si>
    <t>https://b2beez.ru/images/detailed/167/6323778217.jpg</t>
  </si>
  <si>
    <t>K-3726</t>
  </si>
  <si>
    <t>Ключ рожковый 14х17 мм "XINYU"</t>
  </si>
  <si>
    <t>https://b2beez.ru/images/detailed/167/6323778178.jpg</t>
  </si>
  <si>
    <t>K-3727</t>
  </si>
  <si>
    <t>Ключ рожковый 16х18 мм "XINYU"</t>
  </si>
  <si>
    <t>https://b2beez.ru/images/detailed/167/6323778522.jpg</t>
  </si>
  <si>
    <t>Насосы, компрессоры</t>
  </si>
  <si>
    <t>F095</t>
  </si>
  <si>
    <t>Аккумуляторный автомобильный насос 21V (4,0Ah, 2 акб(Li-In), Max: 830kpa, +кейс, 2 насадки, переходник, запас. предохранитель) "BEEZMOTO"</t>
  </si>
  <si>
    <t>https://b2beez.ru/images/detailed/161/orig_qq16-lh.jpg</t>
  </si>
  <si>
    <t>N-2034</t>
  </si>
  <si>
    <t>Насос ручной (алюм. с маном. универ. гол-ка, Т-образ. ручка) GIYO</t>
  </si>
  <si>
    <t>https://b2beez.ru/images/detailed/170/6448348196.jpg</t>
  </si>
  <si>
    <t>N-2029</t>
  </si>
  <si>
    <t>Насос ручной (L-350mm, красный) "OP"</t>
  </si>
  <si>
    <t>https://b2beez.ru/images/detailed/170/6731209049.jpg</t>
  </si>
  <si>
    <t>N-8120</t>
  </si>
  <si>
    <t>Насос ручной (L-290mm, с крепежом на раму, серебристый) "LECHI"</t>
  </si>
  <si>
    <t>https://b2beez.ru/images/detailed/171/6120807417.jpg</t>
  </si>
  <si>
    <t>N-2279</t>
  </si>
  <si>
    <t>Насос ручной (L-350mm, зеленый) "OP"</t>
  </si>
  <si>
    <t>https://b2beez.ru/images/detailed/170/6731208534.jpg</t>
  </si>
  <si>
    <t>R-3545</t>
  </si>
  <si>
    <t>Ручка насоса(29mm*140mm)(mod:HB-01) "DS"</t>
  </si>
  <si>
    <t>https://b2beez.ru/images/detailed/177/6459641434.jpg</t>
  </si>
  <si>
    <t>Отвертки</t>
  </si>
  <si>
    <t>NO8812</t>
  </si>
  <si>
    <t>Отвертки для телефона, PC (52 в 1, 42 бит) "SPHIN"</t>
  </si>
  <si>
    <t>https://b2beez.ru/images/detailed/171/orig_f98g-15.jpg</t>
  </si>
  <si>
    <t>7672A-8D</t>
  </si>
  <si>
    <t>Отвертки для электрика (15 в 1) (PH0/PH1/PH2/T10/T25/Y2/2.3/3.0/5.0/6.0/T20/T15/Y1/2.6) "RUIKE"</t>
  </si>
  <si>
    <t>https://b2beez.ru/images/detailed/48/orig_9ukz-10.jpg</t>
  </si>
  <si>
    <t>O-2577</t>
  </si>
  <si>
    <t>Отвертка индикатор-тестер многофункциональная 5 в 1 (6-24V, плоский наконечник) "LVT"</t>
  </si>
  <si>
    <t>https://b2beez.ru/images/detailed/172/orig_ey0a-gv.jpg</t>
  </si>
  <si>
    <t>O-2579</t>
  </si>
  <si>
    <t>Отвертка индикатор-тестер многофункциональная (12-220 V) "ACDC"</t>
  </si>
  <si>
    <t>https://b2beez.ru/images/detailed/172/orig_24g3-yv.jpg</t>
  </si>
  <si>
    <t>7672A-7D</t>
  </si>
  <si>
    <t>Отвертки професиональные (7 в 1) "Sibale"</t>
  </si>
  <si>
    <t>https://b2beez.ru/images/detailed/48/6949706082.jpg</t>
  </si>
  <si>
    <t>SL-GS175</t>
  </si>
  <si>
    <t>Отвертки для электрика (набор 5шт) (+2шт, -3шт) "Professional"</t>
  </si>
  <si>
    <t>https://b2beez.ru/images/detailed/182/6248109304.jpg</t>
  </si>
  <si>
    <t>NO.8108</t>
  </si>
  <si>
    <t>Набор для ремонта телефона (8 в 1, пинцет, лопатка, 6 отверток, намагниченные) для  iPhone, Sumsung</t>
  </si>
  <si>
    <t>https://b2beez.ru/images/detailed/171/orig_f9y4-ry.jpg</t>
  </si>
  <si>
    <t>O-1306</t>
  </si>
  <si>
    <t>Отвертка двусторонная 3" (L-160mm) "XINYU"</t>
  </si>
  <si>
    <t>https://b2beez.ru/images/detailed/171/6459638559.jpg</t>
  </si>
  <si>
    <t>O-1309</t>
  </si>
  <si>
    <t>Отвертка двусторонная 4" (L-180mm) "XINYU"</t>
  </si>
  <si>
    <t>https://b2beez.ru/images/detailed/171/6459637613.jpg</t>
  </si>
  <si>
    <t>Плоскогубцы</t>
  </si>
  <si>
    <t>P-7394</t>
  </si>
  <si>
    <t>Плоскогубцы комбинированные (mod. 97-7)</t>
  </si>
  <si>
    <t>https://b2beez.ru/images/detailed/175/orig_yu0u-qx.jpg</t>
  </si>
  <si>
    <t>Приспособления</t>
  </si>
  <si>
    <t>I-1003</t>
  </si>
  <si>
    <t>Щетка для чистки цепи и звезд мотоцикла (синий) "BEEZMOTO"</t>
  </si>
  <si>
    <t>https://b2beez.ru/images/detailed/165/orig_hted-81.jpg</t>
  </si>
  <si>
    <t>I-1004</t>
  </si>
  <si>
    <t>Щетка для чистки цепи и звезд мотоцикла (красный) "BEEZMOTO"</t>
  </si>
  <si>
    <t>https://b2beez.ru/images/detailed/165/orig_ots9-05.jpg</t>
  </si>
  <si>
    <t>S-2733</t>
  </si>
  <si>
    <t>Съемники для сальников (4шт) "KOMATCU"</t>
  </si>
  <si>
    <t>https://b2beez.ru/images/detailed/179/orig_4dpr-tn.jpg</t>
  </si>
  <si>
    <t>P-3199</t>
  </si>
  <si>
    <t>Опрыскиватель-пульверизатор ручной (на бутылку)</t>
  </si>
  <si>
    <t>https://b2beez.ru/images/detailed/173/6334997843.jpg</t>
  </si>
  <si>
    <t>O-2580</t>
  </si>
  <si>
    <t>Детектор-индикатор скрытой проводки (+2 батарейки(AAA), фонарик) (AC VOLTAGE DETECTOR) YYDZ-8880 "AVD"</t>
  </si>
  <si>
    <t>https://b2beez.ru/images/detailed/172/orig_jf8g-r4.jpg</t>
  </si>
  <si>
    <t>S-0081</t>
  </si>
  <si>
    <t>Шпатель-скребок с фиксированным лезвием универсальный (300/600/1000mm) "WEITE"</t>
  </si>
  <si>
    <t>https://b2beez.ru/images/detailed/178/6949832215.jpg</t>
  </si>
  <si>
    <t>S-0001</t>
  </si>
  <si>
    <t>Стеклорез роликовый 155мм (масляный, металлическая ручка) "N&amp;S"</t>
  </si>
  <si>
    <t>https://b2beez.ru/images/detailed/178/6981789786.jpg</t>
  </si>
  <si>
    <t>S-0002</t>
  </si>
  <si>
    <t>Стеклорез роликовый 180мм (масляный, металлическая ручка, синий) "Li BANG"</t>
  </si>
  <si>
    <t>https://b2beez.ru/images/detailed/178/orig_7bm0-5t.jpg</t>
  </si>
  <si>
    <t>S-0003</t>
  </si>
  <si>
    <t>Стеклорез роликовый 180мм (масляный, металлическая ручка, красный) "Li BANG"</t>
  </si>
  <si>
    <t>https://b2beez.ru/images/detailed/178/orig_jjzo-bu.jpg</t>
  </si>
  <si>
    <t>P-3181</t>
  </si>
  <si>
    <t>Пистолет пневматический (с манометром, для подкачки шин) "KOMATCU"</t>
  </si>
  <si>
    <t>https://b2beez.ru/images/detailed/173/6121536942.jpg</t>
  </si>
  <si>
    <t>P-3192</t>
  </si>
  <si>
    <t>Инструмент для извлечения сломанных шпилек (экстрактор) "KOMATCU"</t>
  </si>
  <si>
    <t>https://b2beez.ru/images/detailed/173/6121581037.jpg</t>
  </si>
  <si>
    <t>P-3706</t>
  </si>
  <si>
    <t>Инструмент для разбортировки колес (лопатка, L-450mm) 18" "XINYU"</t>
  </si>
  <si>
    <t>https://b2beez.ru/images/detailed/173/6652376223.jpg</t>
  </si>
  <si>
    <t>P-3707</t>
  </si>
  <si>
    <t>Плашка (для нарезки резьбы на ниппель велосипедный) "KOMATCU"</t>
  </si>
  <si>
    <t>https://b2beez.ru/images/detailed/173/orig_2agv-8d.jpg</t>
  </si>
  <si>
    <t>P-3709</t>
  </si>
  <si>
    <t>Инструмент для зачистки проводов (стриппер) "XINYU"</t>
  </si>
  <si>
    <t>https://b2beez.ru/images/detailed/173/orig_h4e5-2j.jpg</t>
  </si>
  <si>
    <t>P-3183</t>
  </si>
  <si>
    <t>Шланг для перекачки топлива (груша) "KOMATCU" (mod:2)</t>
  </si>
  <si>
    <t>https://b2beez.ru/images/detailed/173/6121508534.jpg</t>
  </si>
  <si>
    <t>P-3194</t>
  </si>
  <si>
    <t>Тестер с лампой 12V "KOMATCU"</t>
  </si>
  <si>
    <t>https://b2beez.ru/images/detailed/173/6121524865.jpg</t>
  </si>
  <si>
    <t>P-4103</t>
  </si>
  <si>
    <t>Пила ручная карманная (3/8", L-102 см) "SENDI"</t>
  </si>
  <si>
    <t>https://b2beez.ru/images/detailed/173/6118907230.jpg</t>
  </si>
  <si>
    <t>P-4104</t>
  </si>
  <si>
    <t>Пила ручная карманная (L-98 см) "KOMATCU"</t>
  </si>
  <si>
    <t>https://b2beez.ru/images/detailed/173/orig_tc1m-jx.jpg</t>
  </si>
  <si>
    <t>P-4138</t>
  </si>
  <si>
    <t>Инструмент для выкручивания ниппеля (отвертка) "BEEZMOTO"</t>
  </si>
  <si>
    <t>https://b2beez.ru/images/detailed/173/orig_uaiv-nc.jpg</t>
  </si>
  <si>
    <t>S-2727</t>
  </si>
  <si>
    <t>Масленка рычажная с нейлоновой трубкой "KOMATCU"</t>
  </si>
  <si>
    <t>https://b2beez.ru/images/detailed/179/orig_qmmr-5c.jpg</t>
  </si>
  <si>
    <t>Сварочное оборудование</t>
  </si>
  <si>
    <t>S-7195</t>
  </si>
  <si>
    <t>Маска сварщика хамелеон (4/5-8/9-13 SLD 1/1/1/2/379 CE, 4 датчика, 5-13 DIN, экран 100х100, realcolor) ADF-400H "BEEZMOTO"</t>
  </si>
  <si>
    <t>https://b2beez.ru/images/detailed/182/7180883963.jpg</t>
  </si>
  <si>
    <t>MIG-180</t>
  </si>
  <si>
    <t>Сварочный аппарат полуавтомат без газа 180A 3 в 1 (ММА/MIG) (+проволока 1mm) "BEEZMOTO"</t>
  </si>
  <si>
    <t>https://b2beez.ru/images/detailed/170/orig_l2ei-mp.jpg</t>
  </si>
  <si>
    <t>S-7187</t>
  </si>
  <si>
    <t>Маска сварщика хамелеон (4/9-13 JL 1/1/1/2 379CE, 2 датчика, 3-11 DIN, экран 90х35) C90W "BEEZMOTO"</t>
  </si>
  <si>
    <t>https://b2beez.ru/images/detailed/182/7180881350.jpg</t>
  </si>
  <si>
    <t>K-9998</t>
  </si>
  <si>
    <t>Магнитная клемма для сварки 200А усилие 20кг D-35</t>
  </si>
  <si>
    <t>https://b2beez.ru/images/detailed/169/orig_ukhz-6a.jpg</t>
  </si>
  <si>
    <t>U-1045</t>
  </si>
  <si>
    <t>Магнитный угольник-держатель для сварки 5" (углы: 45°,90°,135°, нагрузка до 33kg) "JINSHUAI"</t>
  </si>
  <si>
    <t>https://b2beez.ru/images/detailed/183/orig_1p1m-if.jpg</t>
  </si>
  <si>
    <t>U-1034</t>
  </si>
  <si>
    <t>Магнитный угольник-держатель для сварки 4" (углы: 45°,90°,135°, нагрузка до 22kg) "JINSHUAI"</t>
  </si>
  <si>
    <t>https://b2beez.ru/images/detailed/183/orig_0nyo-wv.jpg</t>
  </si>
  <si>
    <t>U-1023</t>
  </si>
  <si>
    <t>Магнитный угольник-держатель для сварки 3" (углы: 45°,90°,135°, нагрузка до 12kg) "JINSHUAI"</t>
  </si>
  <si>
    <t>https://b2beez.ru/images/detailed/183/orig_d3cx-p9.jpg</t>
  </si>
  <si>
    <t>Сварочные маски</t>
  </si>
  <si>
    <t>Съемники</t>
  </si>
  <si>
    <t>S-3329</t>
  </si>
  <si>
    <t>Съемник магнита генератора (ротора) Alpha, Delta "BEEZMOTO"</t>
  </si>
  <si>
    <t>https://b2beez.ru/images/detailed/180/7180922212.jpg</t>
  </si>
  <si>
    <t>S-4614</t>
  </si>
  <si>
    <t>Съемник заднего вариатора (сцепления) "BEEZMOTO"</t>
  </si>
  <si>
    <t>https://b2beez.ru/images/detailed/181/7181018239.jpg</t>
  </si>
  <si>
    <t>S-2829</t>
  </si>
  <si>
    <t>Съемник гайки сцепления Delta, Zongshen, Lifan (каленый, двухсторонний) "BEEZMOTO"</t>
  </si>
  <si>
    <t>https://b2beez.ru/images/detailed/179/7181094383.jpg</t>
  </si>
  <si>
    <t>S-3332</t>
  </si>
  <si>
    <t>Съемник магнита генератора (ротора) 4T GY6 125/150 "BEEZMOTO"</t>
  </si>
  <si>
    <t>https://b2beez.ru/images/detailed/180/7181433031.jpg</t>
  </si>
  <si>
    <t>I-98</t>
  </si>
  <si>
    <t>Съемник магнита генератора (ротора) 4T GY6 50 "BEEZMOTO"</t>
  </si>
  <si>
    <t>https://b2beez.ru/images/detailed/165/7181098483.jpg</t>
  </si>
  <si>
    <t>S-3268</t>
  </si>
  <si>
    <t>Съемник цепи универсальный (под шаг 420-530) "BEEZMOTO"</t>
  </si>
  <si>
    <t>https://b2beez.ru/images/detailed/180/orig_odhc-nw.jpg</t>
  </si>
  <si>
    <t>S-2376</t>
  </si>
  <si>
    <t>Съемник для стопорных колец (на разжим, загнутые, 160mm) "BAQITOOLS"</t>
  </si>
  <si>
    <t>https://b2beez.ru/images/detailed/179/orig_si4v-xn.jpg</t>
  </si>
  <si>
    <t>S-2729</t>
  </si>
  <si>
    <t>Съемник подшипников распредвала 4T GY6 50/125/150 "KOMATCU"</t>
  </si>
  <si>
    <t>https://b2beez.ru/images/detailed/179/orig_wmw8-zy.jpg</t>
  </si>
  <si>
    <t>S-2374</t>
  </si>
  <si>
    <t>Съемник сальников цанговый с обратным молотком (10, 12, 15, 20, 23mm) "BEEZMOTO"</t>
  </si>
  <si>
    <t>https://b2beez.ru/images/detailed/179/orig_owst-ys.jpg</t>
  </si>
  <si>
    <t>S-2719</t>
  </si>
  <si>
    <t>Съемник для стопорных колец (на разжим, прямые, 160mm) "BAQITOOLS"</t>
  </si>
  <si>
    <t>https://b2beez.ru/images/detailed/179/orig_91gd-c6.jpg</t>
  </si>
  <si>
    <t>S-2828</t>
  </si>
  <si>
    <t>Съемник шестерни главной передачи c коленвала 4T CG125 "MOZBA"</t>
  </si>
  <si>
    <t>https://b2beez.ru/images/detailed/179/6459282375.jpg</t>
  </si>
  <si>
    <t>S-2861</t>
  </si>
  <si>
    <t>Съемник каретки велосипеда "XINYU" (каленый, Taiwan)</t>
  </si>
  <si>
    <t>https://b2beez.ru/images/detailed/179/orig_v078-pf.jpg</t>
  </si>
  <si>
    <t>S-2862</t>
  </si>
  <si>
    <t>Съемник каретки велосипеда "XINYU" (mod:3)</t>
  </si>
  <si>
    <t>https://b2beez.ru/images/detailed/179/orig_80th-tb.jpg</t>
  </si>
  <si>
    <t>021710</t>
  </si>
  <si>
    <t>Съемник переднего вариатора "BEEZMOTO"</t>
  </si>
  <si>
    <t>https://b2beez.ru/images/detailed/47/6400992266.jpg</t>
  </si>
  <si>
    <t>Удлинители и тройники</t>
  </si>
  <si>
    <t>Лестницы</t>
  </si>
  <si>
    <t>L-03-U1</t>
  </si>
  <si>
    <t>Лестница телескопическая, алюминиевая 3 м "BEEZMOTO" (Скол и трещина)</t>
  </si>
  <si>
    <t>Масла и химия</t>
  </si>
  <si>
    <t>Масла</t>
  </si>
  <si>
    <t>Автомобильные</t>
  </si>
  <si>
    <t>Вилочные</t>
  </si>
  <si>
    <t>Моторные 2Т</t>
  </si>
  <si>
    <t>Моторные 4Т</t>
  </si>
  <si>
    <t>07.01.010.079</t>
  </si>
  <si>
    <t>Масло 4T (600мл, минеральное, SAE 10W-40 API SF/CC) "Brait"</t>
  </si>
  <si>
    <t>https://b2beez.ru/images/detailed/48/6499895845.jpg</t>
  </si>
  <si>
    <t>Трансмиссионные</t>
  </si>
  <si>
    <t>Цепные</t>
  </si>
  <si>
    <t>Антифризы</t>
  </si>
  <si>
    <t>Бытовая химия</t>
  </si>
  <si>
    <t>Краски</t>
  </si>
  <si>
    <t>Присадки</t>
  </si>
  <si>
    <t>Смазки</t>
  </si>
  <si>
    <t>Тормозная жидкость</t>
  </si>
  <si>
    <t>Фиксаторы</t>
  </si>
  <si>
    <t>F-143</t>
  </si>
  <si>
    <t>Клей для прокладок цилиндра (шеллак) 30мл (термостойкий, коричневый) "VISBELLA"</t>
  </si>
  <si>
    <t>https://b2beez.ru/images/detailed/204/F-143_e0lo-xc.jpg</t>
  </si>
  <si>
    <t>F-159</t>
  </si>
  <si>
    <t>Герметик силиконовый 85мл (синий) "VISBELLA"</t>
  </si>
  <si>
    <t>F-167</t>
  </si>
  <si>
    <t>Сварка холодная (двухкомпонентная) "VISBELLA"</t>
  </si>
  <si>
    <t>https://b2beez.ru/images/detailed/160/6473606486.jpg</t>
  </si>
  <si>
    <t>K-1617</t>
  </si>
  <si>
    <t>Фиксатор резьбовой 10мл, 9-36мм (полимерный, красный) "JIAYUAN"</t>
  </si>
  <si>
    <t>https://b2beez.ru/images/detailed/166/6474470516.jpg</t>
  </si>
  <si>
    <t>Чистки</t>
  </si>
  <si>
    <t>Полиграфия</t>
  </si>
  <si>
    <t>Инструкции</t>
  </si>
  <si>
    <t>Наклейки</t>
  </si>
  <si>
    <t>N-737</t>
  </si>
  <si>
    <t>Наклейка логотип FOX ( 7x1 см, 10шт, красный) (#4907)</t>
  </si>
  <si>
    <t>https://b2beez.ru/images/detailed/171/orig_kxlb-gl.jpg</t>
  </si>
  <si>
    <t>N-781</t>
  </si>
  <si>
    <t>Наклейка декор TITUSHKAN (10x10см, зеленая)</t>
  </si>
  <si>
    <t>https://b2beez.ru/images/detailed/204/N-781.jpg</t>
  </si>
  <si>
    <t>N-103</t>
  </si>
  <si>
    <t>Наклейка логотип DAKAR (9x11см,зеленая)</t>
  </si>
  <si>
    <t>https://b2beez.ru/images/detailed/170/6136891627.jpg</t>
  </si>
  <si>
    <t>N-357</t>
  </si>
  <si>
    <t>Наклейка логотип SZK (7x1см, 20шт, розовая) (#1862)</t>
  </si>
  <si>
    <t>https://b2beez.ru/images/detailed/171/6136892083.jpg</t>
  </si>
  <si>
    <t>N-827</t>
  </si>
  <si>
    <t>Наклейка на колесо 12 MONSTER ENERGY (СИНЯЯ, СВЕТООТРАЖАЮЩАЯ) GJCT</t>
  </si>
  <si>
    <t>https://b2beez.ru/images/detailed/171/6136891940.jpg</t>
  </si>
  <si>
    <t>N-1746</t>
  </si>
  <si>
    <t>Наклейка на бак (20x16см, стразы зеленые)</t>
  </si>
  <si>
    <t>https://b2beez.ru/images/detailed/170/orig_o0rc-g0.jpg</t>
  </si>
  <si>
    <t>N-785</t>
  </si>
  <si>
    <t>Наклейка на бак KAWASAKI (силикон) (#5115)</t>
  </si>
  <si>
    <t>https://b2beez.ru/images/detailed/171/6491928975.jpg</t>
  </si>
  <si>
    <t>N-1838</t>
  </si>
  <si>
    <t>Наклейка на колесо 17/18 SZK (зеленая) (#6057)</t>
  </si>
  <si>
    <t>https://b2beez.ru/images/detailed/170/6136891714.jpg</t>
  </si>
  <si>
    <t>N-2938</t>
  </si>
  <si>
    <t>Наклейка на колесо 18 MONSTER ENERGY (оранжевая,светоотражающая) x 16шт "GJCT"</t>
  </si>
  <si>
    <t>https://b2beez.ru/images/detailed/171/orig_73y1-9n.jpg</t>
  </si>
  <si>
    <t>N-2937</t>
  </si>
  <si>
    <t>Наклейка на колесо 18 MONSTER ENERGY (синяя,светоотражающая)  x 16шт "GJCT"</t>
  </si>
  <si>
    <t>https://b2beez.ru/images/detailed/171/orig_yltl-6f.jpg</t>
  </si>
  <si>
    <t>N-706</t>
  </si>
  <si>
    <t>Наклейка шильдик CATS PAW (7x6см, 2шт, алюминий, хром) (#4725)</t>
  </si>
  <si>
    <t>https://b2beez.ru/images/detailed/171/orig_x1jk-oe.jpg</t>
  </si>
  <si>
    <t>N-604</t>
  </si>
  <si>
    <t>Наклейка шильдик DEVIL (6x7см, алюминий) (#4738)</t>
  </si>
  <si>
    <t>https://b2beez.ru/images/detailed/171/6136891852.jpg</t>
  </si>
  <si>
    <t>N-1529</t>
  </si>
  <si>
    <t>Наклейка шильдик Honda (хром) (#4625)</t>
  </si>
  <si>
    <t>https://b2beez.ru/images/detailed/170/orig_a51c-05.jpg</t>
  </si>
  <si>
    <t>N-775</t>
  </si>
  <si>
    <t>Наклейка шильдик SPIDER (8x12см, алюминий, желтый) (#4733)</t>
  </si>
  <si>
    <t>https://b2beez.ru/images/detailed/171/orig_hbsg-xh.jpg</t>
  </si>
  <si>
    <t>N-712</t>
  </si>
  <si>
    <t>Наклейка шильдик TRANSFORMER (11x11см, алюминий, хром) (#4887B)</t>
  </si>
  <si>
    <t>https://b2beez.ru/images/detailed/171/orig_yx0n-cb.jpg</t>
  </si>
  <si>
    <t>N-1638</t>
  </si>
  <si>
    <t>Наклейка шильдик TRANSFORMER (9х7см, черная) (#4662B)</t>
  </si>
  <si>
    <t>https://b2beez.ru/images/detailed/170/6136891906.jpg</t>
  </si>
  <si>
    <t>N-1908</t>
  </si>
  <si>
    <t>Наклейка шильдик WING (16x6см, золотая) (#4731)</t>
  </si>
  <si>
    <t>https://b2beez.ru/images/detailed/170/6136891870.jpg</t>
  </si>
  <si>
    <t>N-661</t>
  </si>
  <si>
    <t>Наклейка шильдик YMH (9x2см, пластик) (#2051)</t>
  </si>
  <si>
    <t>https://b2beez.ru/images/detailed/171/6136891951.jpg</t>
  </si>
  <si>
    <t>N-1389</t>
  </si>
  <si>
    <t>Наклейки (набор) 80 (35х30см) (#5627)</t>
  </si>
  <si>
    <t>https://b2beez.ru/images/detailed/170/6136891918.jpg</t>
  </si>
  <si>
    <t>N-1388</t>
  </si>
  <si>
    <t>Наклейки (набор) 80 (18х19см) (#5627A)</t>
  </si>
  <si>
    <t>https://b2beez.ru/images/detailed/170/orig_xh9n-2j.jpg</t>
  </si>
  <si>
    <t>N-1390</t>
  </si>
  <si>
    <t>Наклейки (набор) 90 (32х30см) (#5627-90)</t>
  </si>
  <si>
    <t>https://b2beez.ru/images/detailed/170/6136891953.jpg</t>
  </si>
  <si>
    <t>N-2157</t>
  </si>
  <si>
    <t>Наклейки (набор) BRITAIN RACING (#7211)</t>
  </si>
  <si>
    <t>https://b2beez.ru/images/detailed/170/6136891932.jpg</t>
  </si>
  <si>
    <t>N-2151</t>
  </si>
  <si>
    <t>Наклейки (набор) CASTROL (#14)</t>
  </si>
  <si>
    <t>https://b2beez.ru/images/detailed/170/6136891921.jpg</t>
  </si>
  <si>
    <t>N-2178</t>
  </si>
  <si>
    <t>Наклейки (набор) CHAMPION (25х8см) (#0638)</t>
  </si>
  <si>
    <t>https://b2beez.ru/images/detailed/170/orig_1ts7-gh.jpg</t>
  </si>
  <si>
    <t>N-1477</t>
  </si>
  <si>
    <t>Наклейки (набор) DEVIL (16х6см, красные) (#4738)</t>
  </si>
  <si>
    <t>https://b2beez.ru/images/detailed/170/6136891960.jpg</t>
  </si>
  <si>
    <t>N-1313</t>
  </si>
  <si>
    <t>Наклейки (набор) EAGLE (35х27см, желтый) (#0881)</t>
  </si>
  <si>
    <t>https://b2beez.ru/images/detailed/170/6136891798.jpg</t>
  </si>
  <si>
    <t>N-1575</t>
  </si>
  <si>
    <t>Наклейки (набор) FLAME (21х11см) (#3399)</t>
  </si>
  <si>
    <t>https://b2beez.ru/images/detailed/170/6141765287.jpg</t>
  </si>
  <si>
    <t>N-1494</t>
  </si>
  <si>
    <t>Наклейки (набор) FLOWER (23х17см) (#5978)</t>
  </si>
  <si>
    <t>https://b2beez.ru/images/detailed/170/orig_1xdp-dc.jpg</t>
  </si>
  <si>
    <t>N-1432</t>
  </si>
  <si>
    <t>Наклейки (набор) FOOT (25х18см) (#0216)</t>
  </si>
  <si>
    <t>https://b2beez.ru/images/detailed/170/6136891959.jpg</t>
  </si>
  <si>
    <t>N-1519</t>
  </si>
  <si>
    <t>Наклейки (набор) HELLO KITTY (23х17см) (#5979)</t>
  </si>
  <si>
    <t>https://b2beez.ru/images/detailed/170/6136892011.jpg</t>
  </si>
  <si>
    <t>N-1357</t>
  </si>
  <si>
    <t>Наклейки (набор) Honda FJ-125 (50х10см, 9шт) (#2417)</t>
  </si>
  <si>
    <t>https://b2beez.ru/images/detailed/170/6136891920.jpg</t>
  </si>
  <si>
    <t>N-2186</t>
  </si>
  <si>
    <t>Наклейки (набор) JAZZ (16х15см) (#0980)</t>
  </si>
  <si>
    <t>https://b2beez.ru/images/detailed/170/6136891924.jpg</t>
  </si>
  <si>
    <t>N-2169</t>
  </si>
  <si>
    <t>Наклейки (набор) JOG (21х20см, хром) (#7410)</t>
  </si>
  <si>
    <t>https://b2beez.ru/images/detailed/170/6141752503.jpg</t>
  </si>
  <si>
    <t>N-391</t>
  </si>
  <si>
    <t>Наклейки (набор) TRAIL (правые, розовые) (#5619)</t>
  </si>
  <si>
    <t>https://b2beez.ru/images/detailed/171/6834575455.jpg</t>
  </si>
  <si>
    <t>N-1744</t>
  </si>
  <si>
    <t>Наклейки (набор) NEPTUN (16х6см, желтые) (#4730)</t>
  </si>
  <si>
    <t>https://b2beez.ru/images/detailed/170/6136892013.jpg</t>
  </si>
  <si>
    <t>N-3295</t>
  </si>
  <si>
    <t>Наклейки (набор) PUMA (33х11см, синие) (#1214)</t>
  </si>
  <si>
    <t>https://b2beez.ru/images/detailed/171/6139314058.jpg</t>
  </si>
  <si>
    <t>N-1481</t>
  </si>
  <si>
    <t>Наклейки (набор) SPORT 100T (45х15см)</t>
  </si>
  <si>
    <t>https://b2beez.ru/images/detailed/170/6136892106.jpg</t>
  </si>
  <si>
    <t>N-2916</t>
  </si>
  <si>
    <t>Наклейки (набор) STARS</t>
  </si>
  <si>
    <t>https://b2beez.ru/images/detailed/171/6138530880.jpg</t>
  </si>
  <si>
    <t>N-1451</t>
  </si>
  <si>
    <t>Наклейки (набор) SUZUKI (14х4см) (#5834)</t>
  </si>
  <si>
    <t>https://b2beez.ru/images/detailed/170/6138323992.jpg</t>
  </si>
  <si>
    <t>N-818</t>
  </si>
  <si>
    <t>Наклейки (набор) Suzuki SEPIA ZZ (35х6см, 3шт, оранжево-фиолетовые) (#0654)</t>
  </si>
  <si>
    <t>https://b2beez.ru/images/detailed/171/6138584969.jpg</t>
  </si>
  <si>
    <t>N-1610</t>
  </si>
  <si>
    <t>Наклейки (набор) TRAIL (левые, зеленые) (#5619)</t>
  </si>
  <si>
    <t>https://b2beez.ru/images/detailed/170/6138112223.jpg</t>
  </si>
  <si>
    <t>N-1875</t>
  </si>
  <si>
    <t>Наклейки (набор) TRAIL (левые, розовые) (#5619)</t>
  </si>
  <si>
    <t>https://b2beez.ru/images/detailed/170/6138105560.jpg</t>
  </si>
  <si>
    <t>N-1878</t>
  </si>
  <si>
    <t>Наклейки (набор) TRAIL (левые, черные) (#5619)</t>
  </si>
  <si>
    <t>https://b2beez.ru/images/detailed/170/orig_t4ad-ub.jpg</t>
  </si>
  <si>
    <t>N-1425</t>
  </si>
  <si>
    <t>Наклейки (набор) Yamaha FUZZY (30х7см, 4шт) (#7461)</t>
  </si>
  <si>
    <t>https://b2beez.ru/images/detailed/170/orig_0bgr-t4.jpg</t>
  </si>
  <si>
    <t>N-813</t>
  </si>
  <si>
    <t>Наклейки (набор) декор YAMAHA SPIDER (35х28см, желтые)</t>
  </si>
  <si>
    <t>https://b2beez.ru/images/detailed/171/6136892156.jpg</t>
  </si>
  <si>
    <t>N-815</t>
  </si>
  <si>
    <t>Наклейки (набор) декор YAMAHA SPIDER (35х28см, синие)</t>
  </si>
  <si>
    <t>https://b2beez.ru/images/detailed/171/orig_932s-vy.jpg</t>
  </si>
  <si>
    <t>N-581</t>
  </si>
  <si>
    <t>Наклейки (набор) логотип NO FEAR (34х14см, желтые) (#0050)</t>
  </si>
  <si>
    <t>https://b2beez.ru/images/detailed/171/6136892004.jpg</t>
  </si>
  <si>
    <t>N-582</t>
  </si>
  <si>
    <t>Наклейки (набор) логотип NO FEAR (34х14см, синие) (#0050)</t>
  </si>
  <si>
    <t>https://b2beez.ru/images/detailed/171/orig_zgku-n8.jpg</t>
  </si>
  <si>
    <t>N-1293</t>
  </si>
  <si>
    <t>Наклейки (набор) полосы светоотражающие (40х5см, 10шт) (#6047A)</t>
  </si>
  <si>
    <t>https://b2beez.ru/images/detailed/170/6136892135.jpg</t>
  </si>
  <si>
    <t>N-1520</t>
  </si>
  <si>
    <t>Наклейки (набор) спонсор FOX (27х20см) (#0037)</t>
  </si>
  <si>
    <t>https://b2beez.ru/images/detailed/170/6491928983.jpg</t>
  </si>
  <si>
    <t>N-1166</t>
  </si>
  <si>
    <t>Наклейки (набор) спонсор INTER (26х18см) (#3624)</t>
  </si>
  <si>
    <t>https://b2beez.ru/images/detailed/170/6136892210.jpg</t>
  </si>
  <si>
    <t>N-2156</t>
  </si>
  <si>
    <t>Наклейки (набор) CASTROL (#15)</t>
  </si>
  <si>
    <t>https://b2beez.ru/images/detailed/170/6136891856.jpg</t>
  </si>
  <si>
    <t>N-1509</t>
  </si>
  <si>
    <t>Подставка на пружине 2-х сторонняя NO SMOKING (#4289)</t>
  </si>
  <si>
    <t>https://b2beez.ru/images/detailed/170/6136892260.jpg</t>
  </si>
  <si>
    <t>N-699</t>
  </si>
  <si>
    <t>Наклейка логотип MICHELIN (14х18см) (#0153)</t>
  </si>
  <si>
    <t>https://b2beez.ru/images/detailed/171/6141587755.jpg</t>
  </si>
  <si>
    <t>N-1188</t>
  </si>
  <si>
    <t>Наклейка логотип SUZUKI (11x11см) (#5897)</t>
  </si>
  <si>
    <t>https://b2beez.ru/images/detailed/170/6136891639.jpg</t>
  </si>
  <si>
    <t>N-1607</t>
  </si>
  <si>
    <t>Наклейки (набор) спонсоры, мультибренд (#15920)</t>
  </si>
  <si>
    <t>https://b2beez.ru/images/detailed/170/6138089445.jpg</t>
  </si>
  <si>
    <t>N-1714</t>
  </si>
  <si>
    <t>Наклейки (набор) спонсоры, мультибренд (#5986)</t>
  </si>
  <si>
    <t>https://b2beez.ru/images/detailed/170/6136892193.jpg</t>
  </si>
  <si>
    <t>N-1642</t>
  </si>
  <si>
    <t>Наклейки (набор) спонсоры, мультибренд (28х43см) (#5759)</t>
  </si>
  <si>
    <t>https://b2beez.ru/images/detailed/170/orig_wydg-yw.jpg</t>
  </si>
  <si>
    <t>N-4918</t>
  </si>
  <si>
    <t>Наклейки (набор) HONDA (26.5х20см) (#0856)</t>
  </si>
  <si>
    <t>https://b2beez.ru/images/detailed/171/6136891988.jpg</t>
  </si>
  <si>
    <t>N-5814</t>
  </si>
  <si>
    <t>Наклейки (набор) спонсоры, мультибренд (28х18см) (#0011B)</t>
  </si>
  <si>
    <t>https://b2beez.ru/images/detailed/171/6136892219.jpg</t>
  </si>
  <si>
    <t>N-0816</t>
  </si>
  <si>
    <t>Наклейки (набор) спонсоры, мультибренд (#0005B)</t>
  </si>
  <si>
    <t>https://b2beez.ru/images/detailed/170/6136892158.jpg</t>
  </si>
  <si>
    <t>N-1116</t>
  </si>
  <si>
    <t>Наклейки (набор) спонсоры, мультибренд (#0021B)</t>
  </si>
  <si>
    <t>https://b2beez.ru/images/detailed/170/6136892181.jpg</t>
  </si>
  <si>
    <t>N-4161</t>
  </si>
  <si>
    <t>Наклейки (набор) спонсоры, мультибренд (#0020)</t>
  </si>
  <si>
    <t>https://b2beez.ru/images/detailed/171/6136892123.jpg</t>
  </si>
  <si>
    <t>N-2816</t>
  </si>
  <si>
    <t>Наклейки (набор) спонсоры, KAWASAKI (43x28.5см) (#5987F)</t>
  </si>
  <si>
    <t>https://b2beez.ru/images/detailed/171/6136892154.jpg</t>
  </si>
  <si>
    <t>N-1171</t>
  </si>
  <si>
    <t>Наклейки (набор) обманка (22х20см) (#4284A)</t>
  </si>
  <si>
    <t>https://b2beez.ru/images/detailed/170/orig_i3ic-e2.jpg</t>
  </si>
  <si>
    <t>N-1172</t>
  </si>
  <si>
    <t>Наклейка декор CROWN (35х5см) (#7013)</t>
  </si>
  <si>
    <t>https://b2beez.ru/images/detailed/170/6136891296.jpg</t>
  </si>
  <si>
    <t>N-1196</t>
  </si>
  <si>
    <t>Наклейка декор ROCK ON! (28x8см) (#3530)</t>
  </si>
  <si>
    <t>https://b2beez.ru/images/detailed/170/6136891458.jpg</t>
  </si>
  <si>
    <t>N-1203</t>
  </si>
  <si>
    <t>Наклейка логотип FOX (24x5см, голубая) (#3267)</t>
  </si>
  <si>
    <t>https://b2beez.ru/images/detailed/170/orig_90mt-3a.jpg</t>
  </si>
  <si>
    <t>N-1204</t>
  </si>
  <si>
    <t>Наклейка декор 80 (24x25см, красная) (#5627)</t>
  </si>
  <si>
    <t>https://b2beez.ru/images/detailed/170/6136891226.jpg</t>
  </si>
  <si>
    <t>N-1215</t>
  </si>
  <si>
    <t>Наклейка логотип FOX (20x5см, красная, 2шт) (#049)</t>
  </si>
  <si>
    <t>https://b2beez.ru/images/detailed/170/6136891630.jpg</t>
  </si>
  <si>
    <t>N-1216</t>
  </si>
  <si>
    <t>Наклейка декор CHAIN (16x14см, оранжевая) (#5622)</t>
  </si>
  <si>
    <t>https://b2beez.ru/images/detailed/170/6136891395.jpg</t>
  </si>
  <si>
    <t>N-1219</t>
  </si>
  <si>
    <t>Наклейка декор CHARACTER (19x9см) (#0340)</t>
  </si>
  <si>
    <t>https://b2beez.ru/images/detailed/170/6136891308.jpg</t>
  </si>
  <si>
    <t>N-1221</t>
  </si>
  <si>
    <t>Наклейка декор THE TIGER (31x8см) (#3397)</t>
  </si>
  <si>
    <t>https://b2beez.ru/images/detailed/170/6136891720.jpg</t>
  </si>
  <si>
    <t>N-1223</t>
  </si>
  <si>
    <t>Наклейки (набор) спонсоры, мультибренд (25х16см) (#3229)</t>
  </si>
  <si>
    <t>https://b2beez.ru/images/detailed/170/6491929073.jpg</t>
  </si>
  <si>
    <t>N-1224</t>
  </si>
  <si>
    <t>Наклейки (набор) обманка (26х10, синие) (#4284)</t>
  </si>
  <si>
    <t>https://b2beez.ru/images/detailed/170/6136892143.jpg</t>
  </si>
  <si>
    <t>N-1232</t>
  </si>
  <si>
    <t>Наклейки (набор) PUMA (33х11см, красные) (#1214)</t>
  </si>
  <si>
    <t>https://b2beez.ru/images/detailed/170/6136892044.jpg</t>
  </si>
  <si>
    <t>N-1233</t>
  </si>
  <si>
    <t>Наклейки (набор) DRAGON (58х16см) (#0666)</t>
  </si>
  <si>
    <t>https://b2beez.ru/images/detailed/170/6136891982.jpg</t>
  </si>
  <si>
    <t>N-1236</t>
  </si>
  <si>
    <t>Наклейка декор SKULL (9х9см) (#3406)</t>
  </si>
  <si>
    <t>https://b2beez.ru/images/detailed/170/6136891520.jpg</t>
  </si>
  <si>
    <t>N-1237</t>
  </si>
  <si>
    <t>Наклейка декор BAD SMILE (9х9см) (#3409)</t>
  </si>
  <si>
    <t>https://b2beez.ru/images/detailed/170/6136891264.jpg</t>
  </si>
  <si>
    <t>N-1241</t>
  </si>
  <si>
    <t>Наклейка декор SCORPION (25х8см) (#3056)</t>
  </si>
  <si>
    <t>https://b2beez.ru/images/detailed/170/6474467540.jpg</t>
  </si>
  <si>
    <t>N-1249</t>
  </si>
  <si>
    <t>Наклейка декор THE DOCTOR (11х9см) (#5671)</t>
  </si>
  <si>
    <t>https://b2beez.ru/images/detailed/170/6136891553.jpg</t>
  </si>
  <si>
    <t>N-1250</t>
  </si>
  <si>
    <t>Наклейка декор THE DOCTOR (11х9см) (#5673)</t>
  </si>
  <si>
    <t>https://b2beez.ru/images/detailed/170/6136891503.jpg</t>
  </si>
  <si>
    <t>N-1255</t>
  </si>
  <si>
    <t>Наклейки (набор) спонсор BARCELONA (34х13см) (#5965)</t>
  </si>
  <si>
    <t>https://b2beez.ru/images/detailed/170/6136892107.jpg</t>
  </si>
  <si>
    <t>N-1269</t>
  </si>
  <si>
    <t>Наклейки (набор) Suzuki FLAME (12х4см) (0332A)</t>
  </si>
  <si>
    <t>https://b2beez.ru/images/detailed/170/6138612640.jpg</t>
  </si>
  <si>
    <t>N-1279</t>
  </si>
  <si>
    <t>Наклейки (набор) полосы универсальные (40х20см) (#6028)</t>
  </si>
  <si>
    <t>https://b2beez.ru/images/detailed/170/6136892155.jpg</t>
  </si>
  <si>
    <t>N-1281</t>
  </si>
  <si>
    <t>Наклейки (набор) Yamaha SUPER Z (31х9см, 3шт) (#0618)</t>
  </si>
  <si>
    <t>https://b2beez.ru/images/detailed/170/6136892140.jpg</t>
  </si>
  <si>
    <t>N-1286</t>
  </si>
  <si>
    <t>Наклейки (набор) Honda CBR250 (25х10см, 3шт) (#0912)</t>
  </si>
  <si>
    <t>https://b2beez.ru/images/detailed/170/orig_3wl2-vc.jpg</t>
  </si>
  <si>
    <t>N-1290</t>
  </si>
  <si>
    <t>Наклейки (набор) полосы светоотражающие (21х5см, 2шт) (#6048A)</t>
  </si>
  <si>
    <t>https://b2beez.ru/images/detailed/170/orig_17wx-r3.jpg</t>
  </si>
  <si>
    <t>N-1291</t>
  </si>
  <si>
    <t>Наклейки (набор) полосы светоотражающие (40х5см, 2шт) (#6047)</t>
  </si>
  <si>
    <t>https://b2beez.ru/images/detailed/170/6136892012.jpg</t>
  </si>
  <si>
    <t>N-1292</t>
  </si>
  <si>
    <t>Наклейки (набор) полосы светоотражающие (40х5см, 10шт) (#6048B)</t>
  </si>
  <si>
    <t>https://b2beez.ru/images/detailed/170/orig_y3rs-hg.jpg</t>
  </si>
  <si>
    <t>N-1298</t>
  </si>
  <si>
    <t>Наклейки (набор) полосы светоотражающие (40х5см, 10шт) (#6048C)</t>
  </si>
  <si>
    <t>https://b2beez.ru/images/detailed/170/orig_61xs-nh.jpg</t>
  </si>
  <si>
    <t>N-1299</t>
  </si>
  <si>
    <t>Наклейки (набор) полосы светоотражающие (40х5см, 10шт) (#6046)</t>
  </si>
  <si>
    <t>https://b2beez.ru/images/detailed/170/6136892211.jpg</t>
  </si>
  <si>
    <t>N-1302</t>
  </si>
  <si>
    <t>Наклейка логотип KAWASAKI (28х15см) (#2322)</t>
  </si>
  <si>
    <t>https://b2beez.ru/images/detailed/170/6136891581.jpg</t>
  </si>
  <si>
    <t>N-1304</t>
  </si>
  <si>
    <t>Наклейка декор EAGLE (30х15см) (#0059)</t>
  </si>
  <si>
    <t>https://b2beez.ru/images/detailed/170/6136891286.jpg</t>
  </si>
  <si>
    <t>N-1305</t>
  </si>
  <si>
    <t>Наклейки (набор) DOG (28х19см, желтые) (#0062C)</t>
  </si>
  <si>
    <t>https://b2beez.ru/images/detailed/170/6136892009.jpg</t>
  </si>
  <si>
    <t>N-1306</t>
  </si>
  <si>
    <t>Наклейки (набор) RAINBOW (37х9см) (#0880)</t>
  </si>
  <si>
    <t>https://b2beez.ru/images/detailed/170/6139318105.jpg</t>
  </si>
  <si>
    <t>N-1307</t>
  </si>
  <si>
    <t>Наклейка декор SPIDER (9х9см) (#6883)</t>
  </si>
  <si>
    <t>https://b2beez.ru/images/detailed/170/6136891552.jpg</t>
  </si>
  <si>
    <t>N-1308</t>
  </si>
  <si>
    <t>Наклейки (набор) спонсоры, мультибренд (45х30см) (#5991G)</t>
  </si>
  <si>
    <t>https://b2beez.ru/images/detailed/170/orig_uq62-ms.jpg</t>
  </si>
  <si>
    <t>N-1314</t>
  </si>
  <si>
    <t>Наклейка логотип NO FEAR (30х10см) (#5644B)</t>
  </si>
  <si>
    <t>https://b2beez.ru/images/detailed/170/6136891620.jpg</t>
  </si>
  <si>
    <t>N-1315</t>
  </si>
  <si>
    <t>Наклейки (набор) Toyota (45х8см) (#7335)</t>
  </si>
  <si>
    <t>https://b2beez.ru/images/detailed/170/6136892055.jpg</t>
  </si>
  <si>
    <t>N-1316</t>
  </si>
  <si>
    <t>Наклейки (набор) Honda CRM (35х23см, синие) (#2424)</t>
  </si>
  <si>
    <t>https://b2beez.ru/images/detailed/170/orig_2yp4-1m.jpg</t>
  </si>
  <si>
    <t>N-1318</t>
  </si>
  <si>
    <t>Наклейки (набор) спонсор SUZUKI (40х28см) (#5987G)</t>
  </si>
  <si>
    <t>https://b2beez.ru/images/detailed/170/orig_vz40-3q.jpg</t>
  </si>
  <si>
    <t>N-1330</t>
  </si>
  <si>
    <t>Наклейка логотип MONSTER ENERGY (27х18см) (#7312A)</t>
  </si>
  <si>
    <t>https://b2beez.ru/images/detailed/170/6136891641.jpg</t>
  </si>
  <si>
    <t>N-1334</t>
  </si>
  <si>
    <t>Наклейки (набор) спонсоры, мультибренд (45х30см) (#5989D)</t>
  </si>
  <si>
    <t>https://b2beez.ru/images/detailed/170/orig_xuuv-cl.jpg</t>
  </si>
  <si>
    <t>N-1337</t>
  </si>
  <si>
    <t>Наклейки (набор) спонсоры, мультибренд (45х30см) (#5989L)</t>
  </si>
  <si>
    <t>https://b2beez.ru/images/detailed/170/6136213699.jpg</t>
  </si>
  <si>
    <t>N-1338</t>
  </si>
  <si>
    <t>Наклейка декор EAGLE (26х18см) (#7103)</t>
  </si>
  <si>
    <t>https://b2beez.ru/images/detailed/170/6136891288.jpg</t>
  </si>
  <si>
    <t>N-1339</t>
  </si>
  <si>
    <t>Наклейки (набор) SNAKE (32х23см) (#5596)</t>
  </si>
  <si>
    <t>https://b2beez.ru/images/detailed/170/6136892097.jpg</t>
  </si>
  <si>
    <t>N-1344</t>
  </si>
  <si>
    <t>Наклейки (набор) EAGLE, SCORPION (31х26см) (#0031)</t>
  </si>
  <si>
    <t>https://b2beez.ru/images/detailed/170/6142653216.jpg</t>
  </si>
  <si>
    <t>N-1347</t>
  </si>
  <si>
    <t>Наклейки (набор) LION (32х24см) (#7036A)</t>
  </si>
  <si>
    <t>https://b2beez.ru/images/detailed/170/6136891963.jpg</t>
  </si>
  <si>
    <t>N-1348</t>
  </si>
  <si>
    <t>Наклейки (набор) LION (25х16см) (#7036B)</t>
  </si>
  <si>
    <t>https://b2beez.ru/images/detailed/170/6136891955.jpg</t>
  </si>
  <si>
    <t>N-1350</t>
  </si>
  <si>
    <t>Наклейки (набор) EAGLE (33х22см) (#3017)</t>
  </si>
  <si>
    <t>https://b2beez.ru/images/detailed/170/6143007772.jpg</t>
  </si>
  <si>
    <t>N-1351</t>
  </si>
  <si>
    <t>Наклейка декор EAGLE (23х23см) (#5552A)</t>
  </si>
  <si>
    <t>https://b2beez.ru/images/detailed/170/6136891287.jpg</t>
  </si>
  <si>
    <t>N-1352</t>
  </si>
  <si>
    <t>Наклейка декор SPIDER (26х26см) (#6883B)</t>
  </si>
  <si>
    <t>https://b2beez.ru/images/detailed/170/6136891543.jpg</t>
  </si>
  <si>
    <t>N-1353</t>
  </si>
  <si>
    <t>Наклейки (набор) DICK (21х6см) (#0849)</t>
  </si>
  <si>
    <t>https://b2beez.ru/images/detailed/170/6136891884.jpg</t>
  </si>
  <si>
    <t>N-1360</t>
  </si>
  <si>
    <t>Наклейки (набор) EAGLE (28х20см) (#0060)</t>
  </si>
  <si>
    <t>https://b2beez.ru/images/detailed/170/6136891967.jpg</t>
  </si>
  <si>
    <t>N-1362</t>
  </si>
  <si>
    <t>Наклейки (набор) EAGLE (24х16см) (#0060C)</t>
  </si>
  <si>
    <t>https://b2beez.ru/images/detailed/170/6136891834.jpg</t>
  </si>
  <si>
    <t>N-1367</t>
  </si>
  <si>
    <t>Наклейки (набор) спонсоры, мультибренд (24х19см) (#0007)</t>
  </si>
  <si>
    <t>https://b2beez.ru/images/detailed/170/6136892222.jpg</t>
  </si>
  <si>
    <t>N-1371</t>
  </si>
  <si>
    <t>Наклейки (набор) ANGELDEVIL (22х19см) (#7388)</t>
  </si>
  <si>
    <t>https://b2beez.ru/images/detailed/170/orig_exm8-mf.jpg</t>
  </si>
  <si>
    <t>N-1373</t>
  </si>
  <si>
    <t>Наклейки (набор) WOLF (34х23см) (#1317)</t>
  </si>
  <si>
    <t>https://b2beez.ru/images/detailed/170/orig_l253-ql.jpg</t>
  </si>
  <si>
    <t>N-1374</t>
  </si>
  <si>
    <t>Наклейка декор BOMB (22х22см) (#2662A)</t>
  </si>
  <si>
    <t>https://b2beez.ru/images/detailed/170/6136891243.jpg</t>
  </si>
  <si>
    <t>N-1376</t>
  </si>
  <si>
    <t>Наклейки (набор) WOLF (32х11см) (#3252)</t>
  </si>
  <si>
    <t>https://b2beez.ru/images/detailed/170/6136892141.jpg</t>
  </si>
  <si>
    <t>N-1377</t>
  </si>
  <si>
    <t>Наклейка декор SKELETON (29х10см) (#0072B)</t>
  </si>
  <si>
    <t>https://b2beez.ru/images/detailed/170/6136891432.jpg</t>
  </si>
  <si>
    <t>N-1379</t>
  </si>
  <si>
    <t>Наклейки (набор) SKULL (20х20см) (#7375)</t>
  </si>
  <si>
    <t>https://b2beez.ru/images/detailed/170/6139306881.jpg</t>
  </si>
  <si>
    <t>N-1380</t>
  </si>
  <si>
    <t>Наклейки (набор) MONSTER ENERGY (25х17см) (#7366)</t>
  </si>
  <si>
    <t>https://b2beez.ru/images/detailed/170/6136891958.jpg</t>
  </si>
  <si>
    <t>N-1382</t>
  </si>
  <si>
    <t>Наклейки (набор) EAGLE (30х22см) (#0061A)</t>
  </si>
  <si>
    <t>https://b2beez.ru/images/detailed/170/6136891922.jpg</t>
  </si>
  <si>
    <t>N-1386</t>
  </si>
  <si>
    <t>Наклейка декор SNAKE (17х16см) (#0574)</t>
  </si>
  <si>
    <t>https://b2beez.ru/images/detailed/170/6136891560.jpg</t>
  </si>
  <si>
    <t>N-1397</t>
  </si>
  <si>
    <t>Наклейки (набор) спонсоры, мультибренд (26х17см) (#0013)</t>
  </si>
  <si>
    <t>https://b2beez.ru/images/detailed/170/6136892227.jpg</t>
  </si>
  <si>
    <t>N-1399</t>
  </si>
  <si>
    <t>Наклейки (набор) спонсор FOX (32х23см) (#7125)</t>
  </si>
  <si>
    <t>https://b2beez.ru/images/detailed/170/6136892075.jpg</t>
  </si>
  <si>
    <t>N-1400</t>
  </si>
  <si>
    <t>Наклейки (набор) SKULL (31х23см) (#5838B)</t>
  </si>
  <si>
    <t>https://b2beez.ru/images/detailed/170/6139255234.jpg</t>
  </si>
  <si>
    <t>N-1403</t>
  </si>
  <si>
    <t>Наклейка логотип MONSTER ENERGY (10х8см) (#7312B)</t>
  </si>
  <si>
    <t>https://b2beez.ru/images/detailed/170/orig_vzxe-xi.jpg</t>
  </si>
  <si>
    <t>N-1407</t>
  </si>
  <si>
    <t>Наклейки (набор) WOLF (34х16см) (#3251)</t>
  </si>
  <si>
    <t>https://b2beez.ru/images/detailed/170/6136892120.jpg</t>
  </si>
  <si>
    <t>N-1410</t>
  </si>
  <si>
    <t>Наклейки (набор) Honda CBR (22х17см) (#5984)</t>
  </si>
  <si>
    <t>https://b2beez.ru/images/detailed/170/6136892064.jpg</t>
  </si>
  <si>
    <t>N-1412</t>
  </si>
  <si>
    <t>Наклейки (набор) спонсор REPSOL (22х18см) (#5985)</t>
  </si>
  <si>
    <t>https://b2beez.ru/images/detailed/170/6136892204.jpg</t>
  </si>
  <si>
    <t>N-1413</t>
  </si>
  <si>
    <t>Наклейки (набор) HATCHET (37х17см) (#3446A)</t>
  </si>
  <si>
    <t>https://b2beez.ru/images/detailed/170/6136892031.jpg</t>
  </si>
  <si>
    <t>N-1415</t>
  </si>
  <si>
    <t>Наклейки (набор) TIGER (28х20см) (7118)</t>
  </si>
  <si>
    <t>https://b2beez.ru/images/detailed/170/orig_ljr6-3l.jpg</t>
  </si>
  <si>
    <t>N-1421</t>
  </si>
  <si>
    <t>Наклейка шильдик SCARY MOVIE (хром) (#4720A)</t>
  </si>
  <si>
    <t>https://b2beez.ru/images/detailed/170/orig_ah6p-ll.jpg</t>
  </si>
  <si>
    <t>N-1422</t>
  </si>
  <si>
    <t>Наклейка шильдик FISH (хром) (#4257)</t>
  </si>
  <si>
    <t>https://b2beez.ru/images/detailed/170/orig_8wu0-ov.jpg</t>
  </si>
  <si>
    <t>N-1424</t>
  </si>
  <si>
    <t>Наклейки (набор) Honda BAJA (34х21см, 5шт) (#5739)</t>
  </si>
  <si>
    <t>https://b2beez.ru/images/detailed/170/6143140130.jpg</t>
  </si>
  <si>
    <t>N-1426</t>
  </si>
  <si>
    <t>Наклейка шильдик WINCHESTER (хром) (#5212)</t>
  </si>
  <si>
    <t>https://b2beez.ru/images/detailed/170/6136892453.jpg</t>
  </si>
  <si>
    <t>N-1433</t>
  </si>
  <si>
    <t>Наклейки (набор) HAND (25х18см) (#0202)</t>
  </si>
  <si>
    <t>https://b2beez.ru/images/detailed/170/orig_2vzd-xp.jpg</t>
  </si>
  <si>
    <t>N-1435</t>
  </si>
  <si>
    <t>Наклейки (набор) DICK (44х23см, желтые) (#0869)</t>
  </si>
  <si>
    <t>https://b2beez.ru/images/detailed/170/orig_8lmk-e2.jpg</t>
  </si>
  <si>
    <t>N-1440</t>
  </si>
  <si>
    <t>Наклейка логотип FOX (8х8см) (#4911)</t>
  </si>
  <si>
    <t>https://b2beez.ru/images/detailed/170/6136891678.jpg</t>
  </si>
  <si>
    <t>N-1443</t>
  </si>
  <si>
    <t>Наклейка логотип FCB (15х14см) (#5647)</t>
  </si>
  <si>
    <t>https://b2beez.ru/images/detailed/170/orig_x7ja-no.jpg</t>
  </si>
  <si>
    <t>N-1445</t>
  </si>
  <si>
    <t>Наклейка декор SPIDER (13х13см) (#6883)</t>
  </si>
  <si>
    <t>https://b2beez.ru/images/detailed/170/6136891422.jpg</t>
  </si>
  <si>
    <t>N-1446</t>
  </si>
  <si>
    <t>Наклейка декор GREEN (14х16см, красная) (#0426)</t>
  </si>
  <si>
    <t>https://b2beez.ru/images/detailed/170/6136891322.jpg</t>
  </si>
  <si>
    <t>N-1449</t>
  </si>
  <si>
    <t>Наклейка декор SKULL (9х9см) (#0056)</t>
  </si>
  <si>
    <t>https://b2beez.ru/images/detailed/170/orig_61ph-sa.jpg</t>
  </si>
  <si>
    <t>N-1452</t>
  </si>
  <si>
    <t>Наклейка логотип TOYOTA (20х4см) (#7035)</t>
  </si>
  <si>
    <t>https://b2beez.ru/images/detailed/170/orig_qh0f-dm.jpg</t>
  </si>
  <si>
    <t>N-1454</t>
  </si>
  <si>
    <t>Наклейки (набор) Active (40х10см, 3шт, желтые) (#2486)</t>
  </si>
  <si>
    <t>https://b2beez.ru/images/detailed/170/6136891935.jpg</t>
  </si>
  <si>
    <t>N-1462</t>
  </si>
  <si>
    <t>Наклейки (набор) USA (27х20см) (#1318)</t>
  </si>
  <si>
    <t>https://b2beez.ru/images/detailed/170/6136892110.jpg</t>
  </si>
  <si>
    <t>N-1476</t>
  </si>
  <si>
    <t>Наклейки (набор) NEPTUN (16х6см, хром) (#4730)</t>
  </si>
  <si>
    <t>https://b2beez.ru/images/detailed/170/6136891975.jpg</t>
  </si>
  <si>
    <t>N-1487</t>
  </si>
  <si>
    <t>Наклейки (набор) спонсоры, мультибренд (35х15см) (#0669)</t>
  </si>
  <si>
    <t>https://b2beez.ru/images/detailed/170/orig_mjpt-kz.jpg</t>
  </si>
  <si>
    <t>N-1488</t>
  </si>
  <si>
    <t>Наклейки (набор) спонсор THE DOCTOR (32х23см) (#5973)</t>
  </si>
  <si>
    <t>https://b2beez.ru/images/detailed/170/6136892091.jpg</t>
  </si>
  <si>
    <t>N-1489</t>
  </si>
  <si>
    <t>Наклейки (набор) спонсоры, мультибренд (35х14см) (#0668)</t>
  </si>
  <si>
    <t>https://b2beez.ru/images/detailed/170/6136892208.jpg</t>
  </si>
  <si>
    <t>N-1491</t>
  </si>
  <si>
    <t>Наклейка логотип MONSTER ENERGY (21х16см) (#7312F)</t>
  </si>
  <si>
    <t>https://b2beez.ru/images/detailed/170/orig_tkrl-oo.jpg</t>
  </si>
  <si>
    <t>N-1496</t>
  </si>
  <si>
    <t>Наклейки (набор) спонсоры, мультибренд (25х17) (#5684C)</t>
  </si>
  <si>
    <t>https://b2beez.ru/images/detailed/170/6136892164.jpg</t>
  </si>
  <si>
    <t>N-1499</t>
  </si>
  <si>
    <t>Наклейки (набор) BIKER (23х19см) (#7367)</t>
  </si>
  <si>
    <t>https://b2beez.ru/images/detailed/170/orig_7141-mm.jpg</t>
  </si>
  <si>
    <t>N-1500</t>
  </si>
  <si>
    <t>Наклейки (набор) FIRE RAT (32х18см) (#7036)</t>
  </si>
  <si>
    <t>https://b2beez.ru/images/detailed/170/orig_jvr0-sh.jpg</t>
  </si>
  <si>
    <t>N-1503</t>
  </si>
  <si>
    <t>Наклейка декор EAGLE (18х11см) (#0573)</t>
  </si>
  <si>
    <t>https://b2beez.ru/images/detailed/170/orig_xw06-93.jpg</t>
  </si>
  <si>
    <t>N-1513</t>
  </si>
  <si>
    <t>Наклейки (набор) спонсоры, мультибренд (33х23см) (#5757)</t>
  </si>
  <si>
    <t>https://b2beez.ru/images/detailed/170/6491929126.jpg</t>
  </si>
  <si>
    <t>N-1515</t>
  </si>
  <si>
    <t>Наклейки (набор) спонсор HART HUNTINGTON (32х24см) (#5996M)</t>
  </si>
  <si>
    <t>https://b2beez.ru/images/detailed/170/6136892224.jpg</t>
  </si>
  <si>
    <t>N-1516</t>
  </si>
  <si>
    <t>Наклейки (набор) спонсоры, мультибренд (32х24см) (#0019)</t>
  </si>
  <si>
    <t>https://b2beez.ru/images/detailed/170/orig_sf69-zh.jpg</t>
  </si>
  <si>
    <t>N-1518</t>
  </si>
  <si>
    <t>Наклейка декор CRAZY WOLF (34х9см) (#7109)</t>
  </si>
  <si>
    <t>https://b2beez.ru/images/detailed/170/6136891255.jpg</t>
  </si>
  <si>
    <t>N-1525</t>
  </si>
  <si>
    <t>Наклейка шильдик WING (160 x 50mm, красная) (#4729)</t>
  </si>
  <si>
    <t>https://b2beez.ru/images/detailed/170/orig_fwr5-we.jpg</t>
  </si>
  <si>
    <t>N-1526</t>
  </si>
  <si>
    <t>Наклейка логотип BRIDGESTONE (20шт) (#0327A)</t>
  </si>
  <si>
    <t>https://b2beez.ru/images/detailed/170/6136891751.jpg</t>
  </si>
  <si>
    <t>N-1531</t>
  </si>
  <si>
    <t>Наклейки (набор) спонсоры, мультибренд (21х17см) (#5981)</t>
  </si>
  <si>
    <t>https://b2beez.ru/images/detailed/170/6136892148.jpg</t>
  </si>
  <si>
    <t>N-1533</t>
  </si>
  <si>
    <t>Наклейки (набор) спонсоры, мультибренд (23х18см) (#5881)</t>
  </si>
  <si>
    <t>https://b2beez.ru/images/detailed/170/6136892217.jpg</t>
  </si>
  <si>
    <t>N-1541</t>
  </si>
  <si>
    <t>Наклейки (набор) спонсор MANCHESTER UNITED (32х23см) (#5743B)</t>
  </si>
  <si>
    <t>https://b2beez.ru/images/detailed/170/6136892157.jpg</t>
  </si>
  <si>
    <t>N-1542</t>
  </si>
  <si>
    <t>Наклейки (набор) спонсор FCB (32х23см) (#5741A)</t>
  </si>
  <si>
    <t>https://b2beez.ru/images/detailed/170/6136892152.jpg</t>
  </si>
  <si>
    <t>N-1544</t>
  </si>
  <si>
    <t>Наклейки (набор) спонсоры, мультибренд (27х18см) (#7058)</t>
  </si>
  <si>
    <t>https://b2beez.ru/images/detailed/170/6491929056.jpg</t>
  </si>
  <si>
    <t>N-1547</t>
  </si>
  <si>
    <t>Наклейки (набор) SNAKE AND SCORPIONS (32х23см) (#5745)</t>
  </si>
  <si>
    <t>https://b2beez.ru/images/detailed/170/6138548608.jpg</t>
  </si>
  <si>
    <t>N-1548</t>
  </si>
  <si>
    <t>Наклейки (набор) спонсоры, мультибренд (25х24см) (#0015)</t>
  </si>
  <si>
    <t>https://b2beez.ru/images/detailed/170/orig_ggy0-zm.jpg</t>
  </si>
  <si>
    <t>N-1549</t>
  </si>
  <si>
    <t>Наклейка логотип ELF (9х4см) (#0419)_</t>
  </si>
  <si>
    <t>https://b2beez.ru/images/detailed/170/6136891539.jpg</t>
  </si>
  <si>
    <t>N-1550</t>
  </si>
  <si>
    <t>Наклейка логотип FOX (10х5см) (#4904)</t>
  </si>
  <si>
    <t>https://b2beez.ru/images/detailed/170/orig_tv0h-fw.jpg</t>
  </si>
  <si>
    <t>N-1559</t>
  </si>
  <si>
    <t>Наклейки (набор) спонсоры, мультибренд (32х23см) (#5853)</t>
  </si>
  <si>
    <t>https://b2beez.ru/images/detailed/170/orig_gkgl-fu.jpg</t>
  </si>
  <si>
    <t>N-1561</t>
  </si>
  <si>
    <t>Наклейки (набор) спонсоры, мультибренд (31x21см) (#5920)</t>
  </si>
  <si>
    <t>https://b2beez.ru/images/detailed/170/6491929050.jpg</t>
  </si>
  <si>
    <t>N-1562</t>
  </si>
  <si>
    <t>Наклейки (набор) спонсоры, мультибренд (31x21см) (#5931)</t>
  </si>
  <si>
    <t>https://b2beez.ru/images/detailed/170/6491929063.jpg</t>
  </si>
  <si>
    <t>N-1580</t>
  </si>
  <si>
    <t>Наклейки (набор) CRAB (красные) (#4742D)</t>
  </si>
  <si>
    <t>https://b2beez.ru/images/detailed/170/6143033843.jpg</t>
  </si>
  <si>
    <t>N-1587</t>
  </si>
  <si>
    <t>Наклейки (набор) AMERICA (33х23см) (#5597A)</t>
  </si>
  <si>
    <t>https://b2beez.ru/images/detailed/170/6136891879.jpg</t>
  </si>
  <si>
    <t>N-1599</t>
  </si>
  <si>
    <t>Наклейка шильдик APV (14х4см, хром) (#4631)</t>
  </si>
  <si>
    <t>https://b2beez.ru/images/detailed/170/orig_v39x-cy.jpg</t>
  </si>
  <si>
    <t>N-1625</t>
  </si>
  <si>
    <t>Наклейка шильдик KINGSTON (11х3см, хром) (#4555)</t>
  </si>
  <si>
    <t>https://b2beez.ru/images/detailed/170/orig_sfhm-ji.jpg</t>
  </si>
  <si>
    <t>N-1634</t>
  </si>
  <si>
    <t>Наклейка декор PIG (красная) (#HQ5)</t>
  </si>
  <si>
    <t>https://b2beez.ru/images/detailed/170/6136891442.jpg</t>
  </si>
  <si>
    <t>N-1639</t>
  </si>
  <si>
    <t>Наклейка шильдик TRANSFORMER (75x60mm, синяя) (#4662)</t>
  </si>
  <si>
    <t>https://b2beez.ru/images/detailed/170/6136891773.jpg</t>
  </si>
  <si>
    <t>N-1652</t>
  </si>
  <si>
    <t>Наклейки (набор) спонсоры, мультибренд (32х23см) (#5833)</t>
  </si>
  <si>
    <t>https://b2beez.ru/images/detailed/170/orig_9yw9-9v.jpg</t>
  </si>
  <si>
    <t>N-1655</t>
  </si>
  <si>
    <t>Наклейка декор GREEN (25х23см, зеленая) (#HQ426)</t>
  </si>
  <si>
    <t>https://b2beez.ru/images/detailed/170/6136891325.jpg</t>
  </si>
  <si>
    <t>N-1656</t>
  </si>
  <si>
    <t>Наклейка декор BAD BOY (23х21см, красная) (#HQ159A)</t>
  </si>
  <si>
    <t>https://b2beez.ru/images/detailed/170/6136891270.jpg</t>
  </si>
  <si>
    <t>N-1661</t>
  </si>
  <si>
    <t>Наклейки (набор) полосы светоотражающие (#6048D)</t>
  </si>
  <si>
    <t>https://b2beez.ru/images/detailed/170/6136892250.jpg</t>
  </si>
  <si>
    <t>N-1662</t>
  </si>
  <si>
    <t>Наклейки (набор) TRAIL (37x10см, черные) (#HQ207B)</t>
  </si>
  <si>
    <t>https://b2beez.ru/images/detailed/170/6136892008.jpg</t>
  </si>
  <si>
    <t>N-1670</t>
  </si>
  <si>
    <t>Наклейки (набор) спонсоры, мультибренд (30х46см)(#5989F)</t>
  </si>
  <si>
    <t>https://b2beez.ru/images/detailed/170/orig_u6ql-57.jpg</t>
  </si>
  <si>
    <t>N-1671</t>
  </si>
  <si>
    <t>Наклейка шильдик WING (16x6см, красная) (#4731A)</t>
  </si>
  <si>
    <t>https://b2beez.ru/images/detailed/170/orig_hdpn-bx.jpg</t>
  </si>
  <si>
    <t>N-1673</t>
  </si>
  <si>
    <t>Наклейка логотип PIRELLI (23x7см, желтая) (#0336)</t>
  </si>
  <si>
    <t>https://b2beez.ru/images/detailed/170/6136891614.jpg</t>
  </si>
  <si>
    <t>N-1680</t>
  </si>
  <si>
    <t>Наклейки (набор) TURBO (24х15см, красные) (#0203)</t>
  </si>
  <si>
    <t>https://b2beez.ru/images/detailed/170/6136892061.jpg</t>
  </si>
  <si>
    <t>N-1683</t>
  </si>
  <si>
    <t>https://b2beez.ru/images/detailed/170/orig_8dqh-hr.jpg</t>
  </si>
  <si>
    <t>N-1685</t>
  </si>
  <si>
    <t>Наклейка декор DANGER (16х12см, зеленая) (#0739)</t>
  </si>
  <si>
    <t>https://b2beez.ru/images/detailed/170/6136891248.jpg</t>
  </si>
  <si>
    <t>N-1693</t>
  </si>
  <si>
    <t>Наклейки (набор) спонсоры, мультибренд (32x23) (#5837)</t>
  </si>
  <si>
    <t>https://b2beez.ru/images/detailed/170/6136892215.jpg</t>
  </si>
  <si>
    <t>N-1703</t>
  </si>
  <si>
    <t>Наклейки (набор) DOG (24х15см, красные) (#3401)</t>
  </si>
  <si>
    <t>https://b2beez.ru/images/detailed/170/6136891900.jpg</t>
  </si>
  <si>
    <t>N-1710</t>
  </si>
  <si>
    <t>Наклейки (набор) Honda CRM (35х23см, красные) (#2424)</t>
  </si>
  <si>
    <t>https://b2beez.ru/images/detailed/170/orig_tuch-0u.jpg</t>
  </si>
  <si>
    <t>N-1716</t>
  </si>
  <si>
    <t>Наклейка декор YAKUZA (13x12см, красная) (#0728)</t>
  </si>
  <si>
    <t>https://b2beez.ru/images/detailed/170/6136891456.jpg</t>
  </si>
  <si>
    <t>N-1718</t>
  </si>
  <si>
    <t>Наклейка декор SKULL (10x10см, красная) (#HQ5R)</t>
  </si>
  <si>
    <t>https://b2beez.ru/images/detailed/170/6136891484.jpg</t>
  </si>
  <si>
    <t>N-1724</t>
  </si>
  <si>
    <t>Наклейка декор FALCON (13х10см, черная)</t>
  </si>
  <si>
    <t>https://b2beez.ru/images/detailed/170/6136891321.jpg</t>
  </si>
  <si>
    <t>N-1734</t>
  </si>
  <si>
    <t>Наклейки (набор) Active (40х10см, 3шт, черные) (#2486)</t>
  </si>
  <si>
    <t>https://b2beez.ru/images/detailed/170/orig_yvfu-1z.jpg</t>
  </si>
  <si>
    <t>N-1736</t>
  </si>
  <si>
    <t>Наклейки (набор) Active (40х10см, 3шт, красные) (#2486)</t>
  </si>
  <si>
    <t>https://b2beez.ru/images/detailed/170/6136892096.jpg</t>
  </si>
  <si>
    <t>N-1737</t>
  </si>
  <si>
    <t>Наклейка декор DOG (13x10cм, белая, левая) (#HQ007WL)</t>
  </si>
  <si>
    <t>https://b2beez.ru/images/detailed/170/6136891367.jpg</t>
  </si>
  <si>
    <t>N-1741</t>
  </si>
  <si>
    <t>Наклейка декор ARABIC (14х11см, красная) (#5542)</t>
  </si>
  <si>
    <t>https://b2beez.ru/images/detailed/170/6136891236.jpg</t>
  </si>
  <si>
    <t>N-1745</t>
  </si>
  <si>
    <t>Наклейка на бак (20x16см, стразы голубые)</t>
  </si>
  <si>
    <t>https://b2beez.ru/images/detailed/170/6136891653.jpg</t>
  </si>
  <si>
    <t>N-1758</t>
  </si>
  <si>
    <t>Наклейка на колесо 17/18 YMH (синяя) (#6058)</t>
  </si>
  <si>
    <t>https://b2beez.ru/images/detailed/170/6136891808.jpg</t>
  </si>
  <si>
    <t>N-1762</t>
  </si>
  <si>
    <t>Наклейки (набор) TRAIL (37x10см, белые) (#HQ207W)</t>
  </si>
  <si>
    <t>https://b2beez.ru/images/detailed/170/6138600679.jpg</t>
  </si>
  <si>
    <t>N-1763</t>
  </si>
  <si>
    <t>Наклейки (набор) TRAIL (37x10см, красные) (#HQ207W)</t>
  </si>
  <si>
    <t>https://b2beez.ru/images/detailed/170/6136891968.jpg</t>
  </si>
  <si>
    <t>N-1764</t>
  </si>
  <si>
    <t>Наклейки (набор) обманка (26х10, золотые) (#4284G)</t>
  </si>
  <si>
    <t>https://b2beez.ru/images/detailed/170/orig_9kyk-54.jpg</t>
  </si>
  <si>
    <t>N-1766</t>
  </si>
  <si>
    <t>Наклейки (набор) обманка (26х10, красные) (#4284R)</t>
  </si>
  <si>
    <t>https://b2beez.ru/images/detailed/170/orig_s6hg-ie.jpg</t>
  </si>
  <si>
    <t>N-1774</t>
  </si>
  <si>
    <t>Наклейка декор FOOT (16x9см, стразы серебро)</t>
  </si>
  <si>
    <t>https://b2beez.ru/images/detailed/170/6136891376.jpg</t>
  </si>
  <si>
    <t>N-1778</t>
  </si>
  <si>
    <t>Наклейки (набор) CRAB (желтые) (#4742D)</t>
  </si>
  <si>
    <t>https://b2beez.ru/images/detailed/170/6136891792.jpg</t>
  </si>
  <si>
    <t>N-1792</t>
  </si>
  <si>
    <t>Наклейка декор 80 (24x25см, белая) (#5627)</t>
  </si>
  <si>
    <t>https://b2beez.ru/images/detailed/170/6136891263.jpg</t>
  </si>
  <si>
    <t>N-1793</t>
  </si>
  <si>
    <t>Наклейка декор 80 (24x25см, черная) (#5627)</t>
  </si>
  <si>
    <t>https://b2beez.ru/images/detailed/170/6136891318.jpg</t>
  </si>
  <si>
    <t>N-1794</t>
  </si>
  <si>
    <t>Наклейка декор 80 (24x25см, синяя) (#5627)</t>
  </si>
  <si>
    <t>https://b2beez.ru/images/detailed/170/6136891245.jpg</t>
  </si>
  <si>
    <t>N-1800</t>
  </si>
  <si>
    <t>Наклейка на колесо декор 46 ROSSI, 20шт (зеленая) (#6059)</t>
  </si>
  <si>
    <t>https://b2beez.ru/images/detailed/170/orig_sp1q-68.jpg</t>
  </si>
  <si>
    <t>N-1806</t>
  </si>
  <si>
    <t>Наклейка декор CHAIN (16x14см, синяя) (#5622)</t>
  </si>
  <si>
    <t>https://b2beez.ru/images/detailed/170/6136891366.jpg</t>
  </si>
  <si>
    <t>N-1818</t>
  </si>
  <si>
    <t>Наклейка декор PIG (хром) (#HQ5)</t>
  </si>
  <si>
    <t>https://b2beez.ru/images/detailed/170/6136891427.jpg</t>
  </si>
  <si>
    <t>N-1819</t>
  </si>
  <si>
    <t>https://b2beez.ru/images/detailed/170/6136891774.jpg</t>
  </si>
  <si>
    <t>N-1824</t>
  </si>
  <si>
    <t>Наклейка декор GREEN (14х16см, синяя) (#0426)</t>
  </si>
  <si>
    <t>https://b2beez.ru/images/detailed/170/6136891317.jpg</t>
  </si>
  <si>
    <t>N-1829</t>
  </si>
  <si>
    <t>Наклейки (набор) PUMA (16х8см, красные) (#5890B)</t>
  </si>
  <si>
    <t>https://b2beez.ru/images/detailed/170/orig_30jl-6t.jpg</t>
  </si>
  <si>
    <t>N-1833</t>
  </si>
  <si>
    <t>Наклейки (набор) полосы светоотражающие (40х5см, 2шт) (#6046)</t>
  </si>
  <si>
    <t>https://b2beez.ru/images/detailed/170/6136892042.jpg</t>
  </si>
  <si>
    <t>N-1834</t>
  </si>
  <si>
    <t>Наклейка на колесо 17/18 KAWASAKI (зеленая) (#6058A)</t>
  </si>
  <si>
    <t>https://b2beez.ru/images/detailed/170/6136891882.jpg</t>
  </si>
  <si>
    <t>N-1839</t>
  </si>
  <si>
    <t>Наклейка на колесо 17/18 SZK (синяя) (#6057)</t>
  </si>
  <si>
    <t>https://b2beez.ru/images/detailed/170/6136891765.jpg</t>
  </si>
  <si>
    <t>N-1847</t>
  </si>
  <si>
    <t>Наклейка на колесо 17/18 KAWASAKI (фиолетовая) (#6058A)</t>
  </si>
  <si>
    <t>https://b2beez.ru/images/detailed/170/6136891706.jpg</t>
  </si>
  <si>
    <t>N-1851</t>
  </si>
  <si>
    <t>Наклейка логотип BRIDGESTONE (10шт) (#0327A)</t>
  </si>
  <si>
    <t>https://b2beez.ru/images/detailed/170/6136891751_1pwj-32.jpg</t>
  </si>
  <si>
    <t>N-1877</t>
  </si>
  <si>
    <t>Наклейки (набор) TRAIL (правые, красные) (#5619)</t>
  </si>
  <si>
    <t>https://b2beez.ru/images/detailed/170/6138108838.jpg</t>
  </si>
  <si>
    <t>N-1879</t>
  </si>
  <si>
    <t>Наклейки (набор) TRAIL (правые, зеленые) (#5619)</t>
  </si>
  <si>
    <t>https://b2beez.ru/images/detailed/170/6138110978.jpg</t>
  </si>
  <si>
    <t>N-1886</t>
  </si>
  <si>
    <t>Наклейка декор FALCON (13х10см, синяя)</t>
  </si>
  <si>
    <t>https://b2beez.ru/images/detailed/170/6136891329.jpg</t>
  </si>
  <si>
    <t>N-2047</t>
  </si>
  <si>
    <t>Наклейка декор DOG (12x9cм, сине-красная, левая)</t>
  </si>
  <si>
    <t>https://b2beez.ru/images/detailed/170/6136891351.jpg</t>
  </si>
  <si>
    <t>N-2132</t>
  </si>
  <si>
    <t>Светодиодная наклейка с логотипом HONDA GJCT</t>
  </si>
  <si>
    <t>https://b2beez.ru/images/detailed/170/orig_880g-4f.jpg</t>
  </si>
  <si>
    <t>N-2153</t>
  </si>
  <si>
    <t>Наклейки (набор) SUZUKI (26х13см, оранжевые) (#5)</t>
  </si>
  <si>
    <t>https://b2beez.ru/images/detailed/170/6139181530.jpg</t>
  </si>
  <si>
    <t>N-2160</t>
  </si>
  <si>
    <t>Наклейки (набор) JOG ER (#5747)</t>
  </si>
  <si>
    <t>https://b2beez.ru/images/detailed/170/6136891973.jpg</t>
  </si>
  <si>
    <t>N-2187</t>
  </si>
  <si>
    <t>Наклейки (набор) JOG SPRINTER (10х10см) (#2467)</t>
  </si>
  <si>
    <t>https://b2beez.ru/images/detailed/170/orig_bljc-c7.jpg</t>
  </si>
  <si>
    <t>N-2190</t>
  </si>
  <si>
    <t>Наклейки (набор) CBR 250 (26х6см) (#0956)</t>
  </si>
  <si>
    <t>https://b2beez.ru/images/detailed/170/6136891993.jpg</t>
  </si>
  <si>
    <t>N-2194</t>
  </si>
  <si>
    <t>Наклейка логотип WEST (10x5см, серые) (#3047)</t>
  </si>
  <si>
    <t>https://b2beez.ru/images/detailed/170/orig_p3k4-5d.jpg</t>
  </si>
  <si>
    <t>N-2195</t>
  </si>
  <si>
    <t>Наклейка декор BOB MARLEY (9.5x10.5см) (#3382)</t>
  </si>
  <si>
    <t>https://b2beez.ru/images/detailed/170/6136891267.jpg</t>
  </si>
  <si>
    <t>N-2198</t>
  </si>
  <si>
    <t>Наклейка декор SKULL (11x12см) (#0494)</t>
  </si>
  <si>
    <t>https://b2beez.ru/images/detailed/170/6136891514.jpg</t>
  </si>
  <si>
    <t>N-2200</t>
  </si>
  <si>
    <t>Наклейки (набор) FOX (5х3.5см) (10шт) (#4901A)</t>
  </si>
  <si>
    <t>https://b2beez.ru/images/detailed/170/6136892026.jpg</t>
  </si>
  <si>
    <t>N-2206</t>
  </si>
  <si>
    <t>Наклейка декор OCTOPUS (12x12см) (#3159)</t>
  </si>
  <si>
    <t>https://b2beez.ru/images/detailed/170/6136891426.jpg</t>
  </si>
  <si>
    <t>N-2209</t>
  </si>
  <si>
    <t>Наклейка декор SO CAL CHOPPERS (14x14см) (#661014)</t>
  </si>
  <si>
    <t>https://b2beez.ru/images/detailed/170/6136891472.jpg</t>
  </si>
  <si>
    <t>N-2212</t>
  </si>
  <si>
    <t>Наклейка (10x4.5см) (#5168) BELGIUM</t>
  </si>
  <si>
    <t>https://b2beez.ru/images/detailed/170/6136891208.jpg</t>
  </si>
  <si>
    <t>N-2214</t>
  </si>
  <si>
    <t>Наклейка декор IN-YAN (8.5x5см) (#5172)</t>
  </si>
  <si>
    <t>https://b2beez.ru/images/detailed/170/6136891453.jpg</t>
  </si>
  <si>
    <t>N-2217</t>
  </si>
  <si>
    <t>Наклейка декор BABY IN CAR (11.5x11.5см) (#3568)</t>
  </si>
  <si>
    <t>https://b2beez.ru/images/detailed/170/6136891249.jpg</t>
  </si>
  <si>
    <t>N-2218</t>
  </si>
  <si>
    <t>Наклейка декор WINNIE IN CAR (11.5x11.5см) (#3738)</t>
  </si>
  <si>
    <t>https://b2beez.ru/images/detailed/170/6136891467.jpg</t>
  </si>
  <si>
    <t>N-2219</t>
  </si>
  <si>
    <t>Наклейка декор RABBIT IN CAR (11x11см) (#3470)</t>
  </si>
  <si>
    <t>https://b2beez.ru/images/detailed/170/6136891372.jpg</t>
  </si>
  <si>
    <t>N-2224</t>
  </si>
  <si>
    <t>Наклейки (набор) GIRL (19х21см) (#7363)</t>
  </si>
  <si>
    <t>https://b2beez.ru/images/detailed/170/6142506561.jpg</t>
  </si>
  <si>
    <t>N-2225</t>
  </si>
  <si>
    <t>Наклейка шильдик SCREAM (7.5х5.5см, хром) (#4720A)</t>
  </si>
  <si>
    <t>https://b2beez.ru/images/detailed/170/orig_qesm-ek.jpg</t>
  </si>
  <si>
    <t>N-2227</t>
  </si>
  <si>
    <t>Наклейки (набор) шильдик (4х3.5см) (#4723) FISH</t>
  </si>
  <si>
    <t>https://b2beez.ru/images/detailed/170/orig_gdkh-xf.jpg</t>
  </si>
  <si>
    <t>N-2230</t>
  </si>
  <si>
    <t>Наклейка логотип ELF (16x6см) (#1893)</t>
  </si>
  <si>
    <t>https://b2beez.ru/images/detailed/170/6136891522.jpg</t>
  </si>
  <si>
    <t>N-2231</t>
  </si>
  <si>
    <t>Наклейка декор SKELETON (11х10м, серебро) (#HQ684)</t>
  </si>
  <si>
    <t>https://b2beez.ru/images/detailed/170/6136891401.jpg</t>
  </si>
  <si>
    <t>N-2232</t>
  </si>
  <si>
    <t>Наклейка логотип SPORTS WIND (29x10см) (#HQ412)</t>
  </si>
  <si>
    <t>https://b2beez.ru/images/detailed/170/6136891647.jpg</t>
  </si>
  <si>
    <t>N-2236</t>
  </si>
  <si>
    <t>Наклейка декор HTC PERFORMANCE (11.5x4.5см) (#4225)</t>
  </si>
  <si>
    <t>https://b2beez.ru/images/detailed/170/orig_rll8-bm.jpg</t>
  </si>
  <si>
    <t>N-2242</t>
  </si>
  <si>
    <t>Наклейка декор DO YOU SMELL (12x5.5см) (#4508)</t>
  </si>
  <si>
    <t>https://b2beez.ru/images/detailed/170/6136891358.jpg</t>
  </si>
  <si>
    <t>N-2257</t>
  </si>
  <si>
    <t>Наклейка шильдик 5ZIGEN (13x3см) (#1667)</t>
  </si>
  <si>
    <t>https://b2beez.ru/images/detailed/170/orig_orvw-r7.jpg</t>
  </si>
  <si>
    <t>N-2261</t>
  </si>
  <si>
    <t>Наклейка декор HAND (9.5x12.5см) (#HQ677)</t>
  </si>
  <si>
    <t>https://b2beez.ru/images/detailed/170/6136891369.jpg</t>
  </si>
  <si>
    <t>N-2576</t>
  </si>
  <si>
    <t>Наклейка на колесо 17 Honda (красная, светоотражающая)</t>
  </si>
  <si>
    <t>https://b2beez.ru/images/detailed/170/6136891741.jpg</t>
  </si>
  <si>
    <t>N-2578</t>
  </si>
  <si>
    <t>Наклейка на колесо 17 Honda (зеленая, светоотражающая)</t>
  </si>
  <si>
    <t>https://b2beez.ru/images/detailed/170/6136891657.jpg</t>
  </si>
  <si>
    <t>N-2591</t>
  </si>
  <si>
    <t>Наклейка логотип TRD (13.5x3.5см, серебро) (#4988)</t>
  </si>
  <si>
    <t>https://b2beez.ru/images/detailed/170/6252474684.jpg</t>
  </si>
  <si>
    <t>N-2915</t>
  </si>
  <si>
    <t>Наклейка MASK(8х10см)</t>
  </si>
  <si>
    <t>https://b2beez.ru/images/detailed/171/6136891210.jpg</t>
  </si>
  <si>
    <t>N-3148</t>
  </si>
  <si>
    <t>Наклейка на бак HONDA FISH (черная)</t>
  </si>
  <si>
    <t>https://b2beez.ru/images/detailed/171/6491929068.jpg</t>
  </si>
  <si>
    <t>N-3151</t>
  </si>
  <si>
    <t>Наклейка FORT SZ(_х_см)</t>
  </si>
  <si>
    <t>https://b2beez.ru/images/detailed/171/6136891269.jpg</t>
  </si>
  <si>
    <t>N-3153</t>
  </si>
  <si>
    <t>Наклейка буквы (TMAX_х_см, 2шт, красные)</t>
  </si>
  <si>
    <t>https://b2beez.ru/images/detailed/171/6141739113.jpg</t>
  </si>
  <si>
    <t>N-3154</t>
  </si>
  <si>
    <t>Наклейка декор HEAD (_х_см)</t>
  </si>
  <si>
    <t>https://b2beez.ru/images/detailed/171/6136892445.jpg</t>
  </si>
  <si>
    <t>N-3155</t>
  </si>
  <si>
    <t>Наклейка декор "PUNK HEAD"</t>
  </si>
  <si>
    <t>https://b2beez.ru/images/detailed/171/6136891499.jpg</t>
  </si>
  <si>
    <t>N-3216</t>
  </si>
  <si>
    <t>Наклейка на глушитель AKRAPOVIC (mod:2) 118</t>
  </si>
  <si>
    <t>https://b2beez.ru/images/detailed/171/orig_6izw-g0.jpg</t>
  </si>
  <si>
    <t>N-591</t>
  </si>
  <si>
    <t>Наклейка декор, пламя BAJAJ BOXER (19x5см) (#0332D)</t>
  </si>
  <si>
    <t>https://b2beez.ru/images/detailed/171/6136891471.jpg</t>
  </si>
  <si>
    <t>N-598</t>
  </si>
  <si>
    <t>Наклейка логотип TOYO (11x10см, красная) (#0727)</t>
  </si>
  <si>
    <t>https://b2beez.ru/images/detailed/171/6136891725.jpg</t>
  </si>
  <si>
    <t>N-603</t>
  </si>
  <si>
    <t>Наклейка шильдик TRANSFORMER (6x5см, алюминий, красный) (#4732)</t>
  </si>
  <si>
    <t>https://b2beez.ru/images/detailed/171/orig_6nax-1f.jpg</t>
  </si>
  <si>
    <t>N-615</t>
  </si>
  <si>
    <t>Наклейки (набор) Suzuki SEPIA ZZ (35х6см, 3шт, сини-зеленые) (#0654)</t>
  </si>
  <si>
    <t>https://b2beez.ru/images/detailed/171/6138577523.jpg</t>
  </si>
  <si>
    <t>N-620</t>
  </si>
  <si>
    <t>Наклейки (набор) Yamaha JOG APRIO (16х6см 3шт) (#1217)</t>
  </si>
  <si>
    <t>https://b2beez.ru/images/detailed/171/6136892007.jpg</t>
  </si>
  <si>
    <t>N-632</t>
  </si>
  <si>
    <t>Наклейка декор DEVIL BOY (7x12см) (#5953)</t>
  </si>
  <si>
    <t>https://b2beez.ru/images/detailed/171/6136891310.jpg</t>
  </si>
  <si>
    <t>N-633</t>
  </si>
  <si>
    <t>Наклейка декор DEVIL GIRL (8x10см) (#5961)</t>
  </si>
  <si>
    <t>https://b2beez.ru/images/detailed/171/6136891284.jpg</t>
  </si>
  <si>
    <t>N-641</t>
  </si>
  <si>
    <t>Наклейка логотип DAKAR (9x11см, синяя) (#HCT20011)</t>
  </si>
  <si>
    <t>https://b2beez.ru/images/detailed/171/6136891702.jpg</t>
  </si>
  <si>
    <t>N-643</t>
  </si>
  <si>
    <t>Наклейка логотип DAKAR (9x11см, красная) (#HCT20011)</t>
  </si>
  <si>
    <t>https://b2beez.ru/images/detailed/171/6136891508.jpg</t>
  </si>
  <si>
    <t>N-662</t>
  </si>
  <si>
    <t>Наклейки (набор) спонсор SUZUKI (28х43см) (#5987C)</t>
  </si>
  <si>
    <t>https://b2beez.ru/images/detailed/171/6136892225.jpg</t>
  </si>
  <si>
    <t>N-670</t>
  </si>
  <si>
    <t>Наклейки (набор) спонсоры, KAWASAKI (28х43см) (#5987A)</t>
  </si>
  <si>
    <t>https://b2beez.ru/images/detailed/171/6136892172.jpg</t>
  </si>
  <si>
    <t>N-676</t>
  </si>
  <si>
    <t>Наклейки (набор) спонсоры, мультибренд (30х45см) (#5990G)</t>
  </si>
  <si>
    <t>https://b2beez.ru/images/detailed/171/6136892173.jpg</t>
  </si>
  <si>
    <t>N-679</t>
  </si>
  <si>
    <t>Наклейки (набор) спонсоры, мультибренд (23х32см) (#5996С)</t>
  </si>
  <si>
    <t>https://b2beez.ru/images/detailed/171/6136892212.jpg</t>
  </si>
  <si>
    <t>N-692</t>
  </si>
  <si>
    <t>Наклейки (набор) спонсоры, мультибренд (30х45см) (#5989G)</t>
  </si>
  <si>
    <t>N-707</t>
  </si>
  <si>
    <t>Наклейка шильдик CATS PAW (7x6см, 2шт, алюминий, красный) (#4725)</t>
  </si>
  <si>
    <t>https://b2beez.ru/images/detailed/171/orig_k36d-qm.jpg</t>
  </si>
  <si>
    <t>N-732</t>
  </si>
  <si>
    <t>Наклейка логотип (mod:Hondad-3см, 4шт, силикон, красная) (#4280)</t>
  </si>
  <si>
    <t>https://b2beez.ru/images/detailed/171/orig_dsfg-65.jpg</t>
  </si>
  <si>
    <t>N-733</t>
  </si>
  <si>
    <t>Наклейка логотип FERRARI (8x9см, алюминий) (#4601)</t>
  </si>
  <si>
    <t>https://b2beez.ru/images/detailed/171/6136891636.jpg</t>
  </si>
  <si>
    <t>N-754</t>
  </si>
  <si>
    <t>Наклейки (набор) декор TROY LEE DESIGNS (22х32см) (#5757)</t>
  </si>
  <si>
    <t>https://b2beez.ru/images/detailed/171/6136892126.jpg</t>
  </si>
  <si>
    <t>N-760</t>
  </si>
  <si>
    <t>Наклейки (набор) спонсор MONSTER ENERGY (17х26см) (#7059)</t>
  </si>
  <si>
    <t>https://b2beez.ru/images/detailed/171/6136892082.jpg</t>
  </si>
  <si>
    <t>N-761</t>
  </si>
  <si>
    <t>Наклейки (набор) спонсор RED BULL (27х17cм) (#7069A)</t>
  </si>
  <si>
    <t>https://b2beez.ru/images/detailed/171/6491929071.jpg</t>
  </si>
  <si>
    <t>N-773</t>
  </si>
  <si>
    <t>Наклейка шильдик 4WD (12x5см, алюминий) (#1666)</t>
  </si>
  <si>
    <t>https://b2beez.ru/images/detailed/171/orig_92ip-3l.jpg</t>
  </si>
  <si>
    <t>N-776</t>
  </si>
  <si>
    <t>Наклейки (набор) Honda JADE (21х5см, 2+2шт) (#0955)</t>
  </si>
  <si>
    <t>https://b2beez.ru/images/detailed/171/orig_gvlq-eq.jpg</t>
  </si>
  <si>
    <t>N-809</t>
  </si>
  <si>
    <t>Наклейки (набор) Honda LEADER CUSTOM (20х4см, 3шт) (#1228)</t>
  </si>
  <si>
    <t>https://b2beez.ru/images/detailed/171/6136891991.jpg</t>
  </si>
  <si>
    <t>N-1178</t>
  </si>
  <si>
    <t>Наклейка декор TWO PIGS (18х15см) (#0737)</t>
  </si>
  <si>
    <t>https://b2beez.ru/images/detailed/170/6136891509.jpg</t>
  </si>
  <si>
    <t>N-1179</t>
  </si>
  <si>
    <t>Наклейка логотип NG (20х11см, желтая) (#0241)</t>
  </si>
  <si>
    <t>https://b2beez.ru/images/detailed/170/6136891681.jpg</t>
  </si>
  <si>
    <t>N-1183</t>
  </si>
  <si>
    <t>Наклейка декор DANGER (16х12см, оранжевая) (#0739)</t>
  </si>
  <si>
    <t>https://b2beez.ru/images/detailed/170/6136891370.jpg</t>
  </si>
  <si>
    <t>N-1186</t>
  </si>
  <si>
    <t>Наклейка декор YAKUZA (13x12см, зеленая) (#0728)</t>
  </si>
  <si>
    <t>https://b2beez.ru/images/detailed/170/6136891540.jpg</t>
  </si>
  <si>
    <t>N-1214</t>
  </si>
  <si>
    <t>Наклейка на колесо декор 46 ROSSI, 10шт (желтая) (#6059)</t>
  </si>
  <si>
    <t>https://b2beez.ru/images/detailed/204/N-1214_iflj-8h.jpg</t>
  </si>
  <si>
    <t>N-1228</t>
  </si>
  <si>
    <t>Наклейка логотип REPSOL (37х8см) (#0516)</t>
  </si>
  <si>
    <t>https://b2beez.ru/images/detailed/170/orig_5o7u-26.jpg</t>
  </si>
  <si>
    <t>N-1240</t>
  </si>
  <si>
    <t>Наклейка логотип CHELSEA (16х16см) (#5520)</t>
  </si>
  <si>
    <t>https://b2beez.ru/images/detailed/170/6136891646.jpg</t>
  </si>
  <si>
    <t>N-1246</t>
  </si>
  <si>
    <t>Наклейка логотип SAK (16х5см, черная) (#6873)</t>
  </si>
  <si>
    <t>https://b2beez.ru/images/detailed/170/6136891703.jpg</t>
  </si>
  <si>
    <t>N-1252</t>
  </si>
  <si>
    <t>Наклейка декор NOBBY (14х9см) (#1239)</t>
  </si>
  <si>
    <t>https://b2beez.ru/images/detailed/170/6136891494.jpg</t>
  </si>
  <si>
    <t>N-1256</t>
  </si>
  <si>
    <t>Наклейка декор на траверсу CARBON (10х7см) (5280)</t>
  </si>
  <si>
    <t>https://b2beez.ru/images/detailed/170/6136891604.jpg</t>
  </si>
  <si>
    <t>N-1257</t>
  </si>
  <si>
    <t>Наклейка декор на траверсу CARBON (9х6см) (5269)</t>
  </si>
  <si>
    <t>https://b2beez.ru/images/detailed/170/6136891592.jpg</t>
  </si>
  <si>
    <t>N-1258</t>
  </si>
  <si>
    <t>Наклейка декор на траверсу CARBON (18х7см) (5274)</t>
  </si>
  <si>
    <t>https://b2beez.ru/images/detailed/170/6136891452.jpg</t>
  </si>
  <si>
    <t>N-1259</t>
  </si>
  <si>
    <t>Наклейка декор на траверсу CARBON (19х6см) (5278)</t>
  </si>
  <si>
    <t>https://b2beez.ru/images/detailed/170/6136891550.jpg</t>
  </si>
  <si>
    <t>N-1261</t>
  </si>
  <si>
    <t>Наклейка декор на траверсу CARBON (10х6см) (5284)</t>
  </si>
  <si>
    <t>https://b2beez.ru/images/detailed/170/6136891510.jpg</t>
  </si>
  <si>
    <t>N-1262</t>
  </si>
  <si>
    <t>Наклейка декор на траверсу CARBON (26х5см) (5285)</t>
  </si>
  <si>
    <t>https://b2beez.ru/images/detailed/170/6136891668.jpg</t>
  </si>
  <si>
    <t>N-1264</t>
  </si>
  <si>
    <t>Наклейка декор на траверсу CBR CARBON (19х5см) (5265)</t>
  </si>
  <si>
    <t>https://b2beez.ru/images/detailed/170/6136891606.jpg</t>
  </si>
  <si>
    <t>N-1265</t>
  </si>
  <si>
    <t>Наклейка декор на траверсу CARBON (26х6см) (5279)</t>
  </si>
  <si>
    <t>https://b2beez.ru/images/detailed/170/6136891533.jpg</t>
  </si>
  <si>
    <t>N-1267</t>
  </si>
  <si>
    <t>Наклейка декор на траверсу CARBON (18х6см) (5292)</t>
  </si>
  <si>
    <t>https://b2beez.ru/images/detailed/170/6136891468.jpg</t>
  </si>
  <si>
    <t>N-1268</t>
  </si>
  <si>
    <t>Наклейка декор на траверсу CARBON (25х8см) (5293)</t>
  </si>
  <si>
    <t>https://b2beez.ru/images/detailed/170/6136891610.jpg</t>
  </si>
  <si>
    <t>N-1387</t>
  </si>
  <si>
    <t>Наклейка декор 80 (23х22см) (#5627F)</t>
  </si>
  <si>
    <t>https://b2beez.ru/images/detailed/170/6136891261.jpg</t>
  </si>
  <si>
    <t>N-1391</t>
  </si>
  <si>
    <t>Наклейка декор FLAME (25х12см) (#0770)</t>
  </si>
  <si>
    <t>https://b2beez.ru/images/detailed/170/6136891391.jpg</t>
  </si>
  <si>
    <t>N-1439</t>
  </si>
  <si>
    <t>Наклейка декор SKULL (10х8см) (#3402)</t>
  </si>
  <si>
    <t>https://b2beez.ru/images/detailed/170/6136891557.jpg</t>
  </si>
  <si>
    <t>N-1574</t>
  </si>
  <si>
    <t>Наклейка декор FIGHTER (25х7см) (#3057)</t>
  </si>
  <si>
    <t>https://b2beez.ru/images/detailed/170/6136891316.jpg</t>
  </si>
  <si>
    <t>N-1584</t>
  </si>
  <si>
    <t>Наклейка декор DIABLO (16х16см, желтая) (#1330)</t>
  </si>
  <si>
    <t>https://b2beez.ru/images/detailed/170/6136891362.jpg</t>
  </si>
  <si>
    <t>N-1636</t>
  </si>
  <si>
    <t>Наклейка декор EYES (18х6см, серая) (#HQ5)</t>
  </si>
  <si>
    <t>https://b2beez.ru/images/detailed/170/6136891398.jpg</t>
  </si>
  <si>
    <t>N-1654</t>
  </si>
  <si>
    <t>Наклейка логотип PIRELLI (23х7см, белая) (#0336)</t>
  </si>
  <si>
    <t>https://b2beez.ru/images/detailed/170/orig_kaqg-5g.jpg</t>
  </si>
  <si>
    <t>N-1719</t>
  </si>
  <si>
    <t>Наклейка декор SKULL (10x10см, синяя) (#HQ5B)</t>
  </si>
  <si>
    <t>https://b2beez.ru/images/detailed/170/6136891400.jpg</t>
  </si>
  <si>
    <t>N-1729</t>
  </si>
  <si>
    <t>Наклейка декор DOG (13x10см, синяя, левая) (#HQ007BL)</t>
  </si>
  <si>
    <t>https://b2beez.ru/images/detailed/170/6136891297.jpg</t>
  </si>
  <si>
    <t>N-1730</t>
  </si>
  <si>
    <t>Наклейка декор DOG (13x10cм, синяя, правая) (#HQ007BR)</t>
  </si>
  <si>
    <t>https://b2beez.ru/images/detailed/170/6136891423.jpg</t>
  </si>
  <si>
    <t>N-1769</t>
  </si>
  <si>
    <t>Наклейка на бак (20x16см, стразы светло-фиолетовые)</t>
  </si>
  <si>
    <t>https://b2beez.ru/images/detailed/170/6136891727.jpg</t>
  </si>
  <si>
    <t>N-1808</t>
  </si>
  <si>
    <t>Наклейка декор CHAIN (16x14см, белая) (#5622)</t>
  </si>
  <si>
    <t>https://b2beez.ru/images/detailed/170/6136891244.jpg</t>
  </si>
  <si>
    <t>N-1810</t>
  </si>
  <si>
    <t>Наклейка декор CHAIN (16x14см, зеленая) (#5622)</t>
  </si>
  <si>
    <t>https://b2beez.ru/images/detailed/170/6136891347.jpg</t>
  </si>
  <si>
    <t>N-1811</t>
  </si>
  <si>
    <t>Наклейка декор EYES (18х6см, красная) (#HQ5)</t>
  </si>
  <si>
    <t>https://b2beez.ru/images/detailed/170/6136891411.jpg</t>
  </si>
  <si>
    <t>N-1813</t>
  </si>
  <si>
    <t>Наклейка декор EYES (18х6см, черная) (#HQ5)</t>
  </si>
  <si>
    <t>https://b2beez.ru/images/detailed/170/6136891330.jpg</t>
  </si>
  <si>
    <t>N-1814</t>
  </si>
  <si>
    <t>Наклейка декор EYES (18х6см, оранжевая) (#HQ5)</t>
  </si>
  <si>
    <t>https://b2beez.ru/images/detailed/170/6136891313.jpg</t>
  </si>
  <si>
    <t>N-1815</t>
  </si>
  <si>
    <t>Наклейка декор EYES (18х6см, синяя) (#HQ5)</t>
  </si>
  <si>
    <t>https://b2beez.ru/images/detailed/170/6136891319.jpg</t>
  </si>
  <si>
    <t>N-1837</t>
  </si>
  <si>
    <t>Наклейка на колесо 17/18 SUZUKI (47x24см, розовая) x 4шт (#6057)</t>
  </si>
  <si>
    <t>https://b2beez.ru/images/detailed/170/6136891823.jpg</t>
  </si>
  <si>
    <t>N-1855</t>
  </si>
  <si>
    <t>Наклейка декор GREEN (25х23см, красная) (#HQ426)</t>
  </si>
  <si>
    <t>https://b2beez.ru/images/detailed/170/6136891364.jpg</t>
  </si>
  <si>
    <t>N-1885</t>
  </si>
  <si>
    <t>Наклейка декор FALCON (13х10см, белая)</t>
  </si>
  <si>
    <t>https://b2beez.ru/images/detailed/170/6136891328.jpg</t>
  </si>
  <si>
    <t>N-2043</t>
  </si>
  <si>
    <t>Наклейка декор DOG (14x12cм, сине- красная, правая)</t>
  </si>
  <si>
    <t>https://b2beez.ru/images/detailed/170/6136891285.jpg</t>
  </si>
  <si>
    <t>N-2135</t>
  </si>
  <si>
    <t>Наклейка на колесо 18 MONSTER ENERGY (зеленая,светоотражающая) x 16шт "GJCT"</t>
  </si>
  <si>
    <t>https://b2beez.ru/images/detailed/170/orig_9cu1-lg.jpg</t>
  </si>
  <si>
    <t>N-2136</t>
  </si>
  <si>
    <t>Наклейка на колесо 18 MONSTER ENERGY (желтая,светоотражающая) GJCT</t>
  </si>
  <si>
    <t>https://b2beez.ru/images/detailed/170/6136891873.jpg</t>
  </si>
  <si>
    <t>N-2154</t>
  </si>
  <si>
    <t>Наклейка логотип ADVANCE (35x12см) (#33)</t>
  </si>
  <si>
    <t>https://b2beez.ru/images/detailed/170/6136891603.jpg</t>
  </si>
  <si>
    <t>N-2876</t>
  </si>
  <si>
    <t>Наклейка ROSSI (11х14см)</t>
  </si>
  <si>
    <t>https://b2beez.ru/images/detailed/171/6136891234.jpg</t>
  </si>
  <si>
    <t>N-2892</t>
  </si>
  <si>
    <t>Наклейка R TOMATO (14х6см)</t>
  </si>
  <si>
    <t>https://b2beez.ru/images/detailed/171/6136891254.jpg</t>
  </si>
  <si>
    <t>N-2897</t>
  </si>
  <si>
    <t>Наклейка TUPER(5х7см)</t>
  </si>
  <si>
    <t>https://b2beez.ru/images/detailed/171/6136891222.jpg</t>
  </si>
  <si>
    <t>N-2900</t>
  </si>
  <si>
    <t>Наклейка BOOL(11х11см)</t>
  </si>
  <si>
    <t>https://b2beez.ru/images/detailed/171/6136891225.jpg</t>
  </si>
  <si>
    <t>N-2908</t>
  </si>
  <si>
    <t>Наклейка MAPLE LEAF (18х34см)</t>
  </si>
  <si>
    <t>https://b2beez.ru/images/detailed/171/6136891246.jpg</t>
  </si>
  <si>
    <t>N-2913</t>
  </si>
  <si>
    <t>Наклейка POINTS(6х13см)</t>
  </si>
  <si>
    <t>https://b2beez.ru/images/detailed/171/6136891228.jpg</t>
  </si>
  <si>
    <t>N-2917</t>
  </si>
  <si>
    <t>Наклейка STAR(10х13см)</t>
  </si>
  <si>
    <t>https://b2beez.ru/images/detailed/171/6136891256.jpg</t>
  </si>
  <si>
    <t>N-2923</t>
  </si>
  <si>
    <t>Наклейка ANHELO(37х11см)</t>
  </si>
  <si>
    <t>https://b2beez.ru/images/detailed/171/6136891213.jpg</t>
  </si>
  <si>
    <t>N-2943</t>
  </si>
  <si>
    <t>Наклейка буквы SUZUKI (19х5см, 2шт, розовый) (#HCT10001)</t>
  </si>
  <si>
    <t>https://b2beez.ru/images/detailed/171/6136891259.jpg</t>
  </si>
  <si>
    <t>N-3386</t>
  </si>
  <si>
    <t>Наклейка декор SCORPION (красный)(16х13см, 2шт) (#3042)</t>
  </si>
  <si>
    <t>https://b2beez.ru/images/detailed/171/6136891377.jpg</t>
  </si>
  <si>
    <t>N-3396</t>
  </si>
  <si>
    <t>Наклейка декор GREEN (14х16см, зеленая) (#0426)</t>
  </si>
  <si>
    <t>https://b2beez.ru/images/detailed/204/N-3396.jpg</t>
  </si>
  <si>
    <t>N-3453</t>
  </si>
  <si>
    <t>Наклейка декор DOG (13x10cм, серебро, левая) (#HQ007WL)</t>
  </si>
  <si>
    <t>https://b2beez.ru/images/detailed/171/6142353064.jpg</t>
  </si>
  <si>
    <t>N-586</t>
  </si>
  <si>
    <t>Наклейка логотип TURBO (22x5см) (#0221)</t>
  </si>
  <si>
    <t>https://b2beez.ru/images/detailed/171/orig_vqpx-ki.jpg</t>
  </si>
  <si>
    <t>N-597</t>
  </si>
  <si>
    <t>Наклейка логотип TOYO (11x10см, зеленая) (#0727)</t>
  </si>
  <si>
    <t>https://b2beez.ru/images/detailed/171/orig_d8er-2z.jpg</t>
  </si>
  <si>
    <t>N-601</t>
  </si>
  <si>
    <t>Наклейка логотип RACING OIL (12x2см, алюминий) (#1660)</t>
  </si>
  <si>
    <t>https://b2beez.ru/images/detailed/171/orig_xk2t-s9.jpg</t>
  </si>
  <si>
    <t>N-602</t>
  </si>
  <si>
    <t>Наклейка логотип SZK (13x4см, силикон) (#4265)</t>
  </si>
  <si>
    <t>https://b2beez.ru/images/detailed/171/orig_3mjg-ha.jpg</t>
  </si>
  <si>
    <t>N-605</t>
  </si>
  <si>
    <t>Наклейка логотип FOX (12x10см) (#4901)</t>
  </si>
  <si>
    <t>https://b2beez.ru/images/detailed/171/orig_0h80-wm.jpg</t>
  </si>
  <si>
    <t>N-630</t>
  </si>
  <si>
    <t>Наклейка логотип BATMAN (17x10см) (#5930)_</t>
  </si>
  <si>
    <t>https://b2beez.ru/images/detailed/171/6136946098.jpg</t>
  </si>
  <si>
    <t>N-644</t>
  </si>
  <si>
    <t>Наклейка логотип MONSTER ENERGY (5x6см, 3шт, красная) (#HTC10103)</t>
  </si>
  <si>
    <t>https://b2beez.ru/images/detailed/171/orig_amrv-dr.jpg</t>
  </si>
  <si>
    <t>N-645</t>
  </si>
  <si>
    <t>Наклейка логотип MONSTER ENERGY (5x6см, 3шт, оранжевая) (#HTC10103)</t>
  </si>
  <si>
    <t>https://b2beez.ru/images/detailed/171/orig_gnfy-lu.jpg</t>
  </si>
  <si>
    <t>N-646</t>
  </si>
  <si>
    <t>Наклейка логотип MONSTER ENERGY (5x6см, 3шт, серебристая) (#HTC10103)</t>
  </si>
  <si>
    <t>https://b2beez.ru/images/detailed/171/6136891670.jpg</t>
  </si>
  <si>
    <t>N-647</t>
  </si>
  <si>
    <t>Наклейка логотип MONSTER ENERGY (5x6см, 3шт, желтая) (#HTC10103)</t>
  </si>
  <si>
    <t>https://b2beez.ru/images/detailed/171/orig_iv21-o4.jpg</t>
  </si>
  <si>
    <t>N-648</t>
  </si>
  <si>
    <t>Наклейка логотип MONSTER ENERGY (5x6см, 3шт, черная) (#HTC10103)</t>
  </si>
  <si>
    <t>https://b2beez.ru/images/detailed/171/orig_wixo-w4.jpg</t>
  </si>
  <si>
    <t>N-651</t>
  </si>
  <si>
    <t>Наклейка логотип NO FEAR (40х10см) (#0503)</t>
  </si>
  <si>
    <t>https://b2beez.ru/images/detailed/171/orig_zapz-v0.jpg</t>
  </si>
  <si>
    <t>N-657</t>
  </si>
  <si>
    <t>Наклейка на бак YAKUZA (силикон, красно-зеленая) (#5019)</t>
  </si>
  <si>
    <t>https://b2beez.ru/images/detailed/171/6136891786.jpg</t>
  </si>
  <si>
    <t>N-658</t>
  </si>
  <si>
    <t>Наклейка на бак GSXR (человек-паук) (#5333)</t>
  </si>
  <si>
    <t>https://b2beez.ru/images/detailed/171/6136891763.jpg</t>
  </si>
  <si>
    <t>N-700</t>
  </si>
  <si>
    <t>Наклейка логотип MICHELIN (12х13см) (#0148)</t>
  </si>
  <si>
    <t>https://b2beez.ru/images/detailed/171/6136891651.jpg</t>
  </si>
  <si>
    <t>N-722</t>
  </si>
  <si>
    <t>Наклейка логотип 5ZIGEN (13x3см, алюминий) (#1667)</t>
  </si>
  <si>
    <t>https://b2beez.ru/images/detailed/171/6136891597.jpg</t>
  </si>
  <si>
    <t>N-735</t>
  </si>
  <si>
    <t>Наклейка шильдик $ (5x6см, пластик, хром) (#4690)</t>
  </si>
  <si>
    <t>https://b2beez.ru/images/detailed/171/orig_6zvg-50.jpg</t>
  </si>
  <si>
    <t>N-738</t>
  </si>
  <si>
    <t>Наклейка логотип FOX (7x2см, 10шт, синий) (#4907)</t>
  </si>
  <si>
    <t>https://b2beez.ru/images/detailed/171/6136891676.jpg</t>
  </si>
  <si>
    <t>N-740</t>
  </si>
  <si>
    <t>Наклейка логотип VERIO (12x6см) (#4916)</t>
  </si>
  <si>
    <t>https://b2beez.ru/images/detailed/171/6141725452.jpg</t>
  </si>
  <si>
    <t>N-741</t>
  </si>
  <si>
    <t>Наклейка логотип (mod:Honda15x3см, 2шт, силикон) (#4928)</t>
  </si>
  <si>
    <t>https://b2beez.ru/images/detailed/171/6136891461.jpg</t>
  </si>
  <si>
    <t>N-747</t>
  </si>
  <si>
    <t>Наклейка логотип (mod:Honda15x3см, 2шт, синий) (#1846A)</t>
  </si>
  <si>
    <t>https://b2beez.ru/images/detailed/171/6136891573.jpg</t>
  </si>
  <si>
    <t>N-763</t>
  </si>
  <si>
    <t>Наклейка логотип MONSTER ENERGY (12x17см, голограмма) (#7312A)</t>
  </si>
  <si>
    <t>https://b2beez.ru/images/detailed/171/6136891586.jpg</t>
  </si>
  <si>
    <t>N-779</t>
  </si>
  <si>
    <t>Наклейка декор TITUSHKAN (10x10см, красная) (#1428)</t>
  </si>
  <si>
    <t>https://b2beez.ru/images/detailed/171/6136891497.jpg</t>
  </si>
  <si>
    <t>N-780</t>
  </si>
  <si>
    <t>Наклейка декор TITUSHKAN (10x10см, черная) (#4395)</t>
  </si>
  <si>
    <t>https://b2beez.ru/images/detailed/171/6136891985.jpg</t>
  </si>
  <si>
    <t>N-789</t>
  </si>
  <si>
    <t>Наклейка на колесо 10 декор (16шт, серебристая) (#6054Ф)</t>
  </si>
  <si>
    <t>https://b2beez.ru/images/detailed/171/6136891800.jpg</t>
  </si>
  <si>
    <t>N-790</t>
  </si>
  <si>
    <t>Наклейка на колесо 10 декор (16шт, оранжевая) (#6054Ф)</t>
  </si>
  <si>
    <t>https://b2beez.ru/images/detailed/171/6136891746.jpg</t>
  </si>
  <si>
    <t>N-791</t>
  </si>
  <si>
    <t>Наклейка на колесо 10 декор (16шт, желтая) (#6054Ф)</t>
  </si>
  <si>
    <t>https://b2beez.ru/images/detailed/171/6136891667.jpg</t>
  </si>
  <si>
    <t>N-793</t>
  </si>
  <si>
    <t>Наклейка на колесо 10 декор (16шт, зеленая) (#6054Ф)</t>
  </si>
  <si>
    <t>https://b2beez.ru/images/detailed/171/6136891742.jpg</t>
  </si>
  <si>
    <t>N-799</t>
  </si>
  <si>
    <t>Наклейка на колесо 17 декор (16шт, желтая) (#6065)</t>
  </si>
  <si>
    <t>https://b2beez.ru/images/detailed/171/6136891772.jpg</t>
  </si>
  <si>
    <t>N-800</t>
  </si>
  <si>
    <t>Наклейка на колесо 17 декор (16шт, серебристая) (#6065)</t>
  </si>
  <si>
    <t>https://b2beez.ru/images/detailed/171/6136891819.jpg</t>
  </si>
  <si>
    <t>N-801</t>
  </si>
  <si>
    <t>Наклейка на колесо 17 декор (16шт, оранжевая) (#6065)</t>
  </si>
  <si>
    <t>https://b2beez.ru/images/detailed/171/6136891845.jpg</t>
  </si>
  <si>
    <t>N-802</t>
  </si>
  <si>
    <t>Наклейка на колесо 17 декор (16шт, зеленая) (#6065)</t>
  </si>
  <si>
    <t>https://b2beez.ru/images/detailed/171/6136891716.jpg</t>
  </si>
  <si>
    <t>N-803</t>
  </si>
  <si>
    <t>Наклейка на колесо 17 декор (16шт, синяя) (#6065)</t>
  </si>
  <si>
    <t>https://b2beez.ru/images/detailed/171/6136891827.jpg</t>
  </si>
  <si>
    <t>N-804</t>
  </si>
  <si>
    <t>Наклейка на колесо 17 декор (16шт, красная) (#6065)</t>
  </si>
  <si>
    <t>https://b2beez.ru/images/detailed/171/6136891755.jpg</t>
  </si>
  <si>
    <t>N-810</t>
  </si>
  <si>
    <t>Наклейка логотип SZK (7x1см, 20шт, черная) (#1862)</t>
  </si>
  <si>
    <t>https://b2beez.ru/images/detailed/171/6136891659.jpg</t>
  </si>
  <si>
    <t>D-993</t>
  </si>
  <si>
    <t>Стразы (набор) 43x9см (золотые) "RHINSTONE"</t>
  </si>
  <si>
    <t>https://b2beez.ru/images/detailed/160/6138459647.jpg</t>
  </si>
  <si>
    <t>D-987</t>
  </si>
  <si>
    <t>Стразы (набор) 43x9см (синие) "RHINSTONE"</t>
  </si>
  <si>
    <t>https://b2beez.ru/images/detailed/160/6136892199.jpg</t>
  </si>
  <si>
    <t>D-991</t>
  </si>
  <si>
    <t>Стразы (набор) 43x9см (черные) "RHINSTONE"</t>
  </si>
  <si>
    <t>https://b2beez.ru/images/detailed/160/6138512954.jpg</t>
  </si>
  <si>
    <t>N-876</t>
  </si>
  <si>
    <t>Наклейка шильдик SPIDER (8x12см, алюминий, серебро) (#4733)</t>
  </si>
  <si>
    <t>https://b2beez.ru/images/detailed/171/orig_q8am-qz.jpg</t>
  </si>
  <si>
    <t>Талоны</t>
  </si>
  <si>
    <t>Резина, колеса</t>
  </si>
  <si>
    <t>Камеры</t>
  </si>
  <si>
    <t>K-4112</t>
  </si>
  <si>
    <t>Камера ATV 19x7 -8 R8 (18x6.50/9.50-8, 20x8.00/10.00-8) "BEEZMOTO"</t>
  </si>
  <si>
    <t>https://b2beez.ru/images/detailed/167/7137663917.jpg</t>
  </si>
  <si>
    <t>K-2607</t>
  </si>
  <si>
    <t>Камера 3,50-10 TR87 "KOMATCU"</t>
  </si>
  <si>
    <t>https://b2beez.ru/images/detailed/166/6247460143.jpg</t>
  </si>
  <si>
    <t>13.03.001.000</t>
  </si>
  <si>
    <t>Камера 3,00/3,25-8T (K13 для тачки) "KOMATCU"</t>
  </si>
  <si>
    <t>https://b2beez.ru/images/detailed/48/orig_s7bn-uk.jpg</t>
  </si>
  <si>
    <t>13.03.002.000</t>
  </si>
  <si>
    <t>Камера 4,10/3,50-6T (K13 для тачки) "KOMATCU"</t>
  </si>
  <si>
    <t>https://b2beez.ru/images/detailed/48/orig_rq9h-hq.jpg</t>
  </si>
  <si>
    <t>K-7906</t>
  </si>
  <si>
    <t>Камера 120/70-12 TR87 для скутера (4,00-12, сосок под 45°) "BEEZMOTO"</t>
  </si>
  <si>
    <t>https://b2beez.ru/images/detailed/169/7132468163.jpg</t>
  </si>
  <si>
    <t>Колеса в сборе</t>
  </si>
  <si>
    <t>C-1498</t>
  </si>
  <si>
    <t>Запаска (аварийная шина) универсальная "TMMP"</t>
  </si>
  <si>
    <t>https://b2beez.ru/images/detailed/155/6458369179.jpg</t>
  </si>
  <si>
    <t>Ниппеля</t>
  </si>
  <si>
    <t>G-1480</t>
  </si>
  <si>
    <t>Колпачок на ниппель колеса велосипеда (пара) "BDRK"</t>
  </si>
  <si>
    <t>https://b2beez.ru/images/detailed/161/orig_cn7a-8n.jpg</t>
  </si>
  <si>
    <t>V-924</t>
  </si>
  <si>
    <t>Ниппель колеса для бескамерных шин R14 R17 (4шт)</t>
  </si>
  <si>
    <t>https://b2beez.ru/images/detailed/187/6490973223.jpg</t>
  </si>
  <si>
    <t>G-1740</t>
  </si>
  <si>
    <t>Колпачок на ниппель колеса (пара) светящийся (микс) "GJCT"</t>
  </si>
  <si>
    <t>https://b2beez.ru/images/detailed/161/6459427559.jpg</t>
  </si>
  <si>
    <t>G-1912</t>
  </si>
  <si>
    <t>Колпачок на ниппель колеса (пара) светящийся (6 диодов) "GJCT"</t>
  </si>
  <si>
    <t>https://b2beez.ru/images/detailed/161/6459428643.jpg</t>
  </si>
  <si>
    <t>G-1932</t>
  </si>
  <si>
    <t>Колпачок на ниппель колеса (пара) светящийся "YKX"</t>
  </si>
  <si>
    <t>https://b2beez.ru/images/detailed/161/6459430082.jpg</t>
  </si>
  <si>
    <t>Ремкомплекты</t>
  </si>
  <si>
    <t>R-1551</t>
  </si>
  <si>
    <t>Набор для ремонта шин и камер при проколах и порезах (резиновые жгуты Ø30 мм 36шт, клей 12 мл) "RS"</t>
  </si>
  <si>
    <t>https://b2beez.ru/images/detailed/176/6689899002.jpg</t>
  </si>
  <si>
    <t>R-1006</t>
  </si>
  <si>
    <t>Ремкомплект бескамерной шины (шнуры 25шт * 100mm) "ELEPHANT"</t>
  </si>
  <si>
    <t>https://b2beez.ru/images/detailed/176/6459715928.jpg</t>
  </si>
  <si>
    <t>R-1864</t>
  </si>
  <si>
    <t>Набор велосипедиста (универсальный ключ, ремкомплект, инструмент для разбортировки, чехол) "BEEZMOTO"</t>
  </si>
  <si>
    <t>https://b2beez.ru/images/detailed/176/orig_fcv4-rx.jpg</t>
  </si>
  <si>
    <t>R-2334</t>
  </si>
  <si>
    <t>Набор для ремонта шин и камер при проколах и порезах (резиновые жгуты 30х25 мм 48шт, клей 12 мл) "RS"</t>
  </si>
  <si>
    <t>https://b2beez.ru/images/detailed/177/6689892325.jpg</t>
  </si>
  <si>
    <t>R-2335</t>
  </si>
  <si>
    <t>Набор для ремонта шин и камер при проколах и порезах (резиновые жгуты 30х45 мм 24шт, клей 12 мл) "RS"</t>
  </si>
  <si>
    <t>https://b2beez.ru/images/detailed/177/6689890185.jpg</t>
  </si>
  <si>
    <t>R-2336</t>
  </si>
  <si>
    <t>Набор для ремонта шин и камер при проколах и порезах (резиновые жгуты 35х70 мм 12шт, клей 12 мл) "RS"</t>
  </si>
  <si>
    <t>https://b2beez.ru/images/detailed/177/6689888164.jpg</t>
  </si>
  <si>
    <t>R-411</t>
  </si>
  <si>
    <t>Ремкомплект бескамерной шины (шнуры 25шт * 100mm) "TIGER"</t>
  </si>
  <si>
    <t>https://b2beez.ru/images/detailed/177/6459727737.jpg</t>
  </si>
  <si>
    <t>Шины, Покрышки</t>
  </si>
  <si>
    <t>SH-410</t>
  </si>
  <si>
    <t>Мотопокрышка 3,00-10 TL 8PR 49G (43PSI) "BEEZMOTO" mod:B</t>
  </si>
  <si>
    <t>https://b2beez.ru/images/detailed/204/SH-410-5_phpr-sw.jpg</t>
  </si>
  <si>
    <t>SH-400</t>
  </si>
  <si>
    <t>Мотопокрышка 3,00-10 TL 8PR 49G (безкамерная, дорожная) "BEEZMOTO"</t>
  </si>
  <si>
    <t>https://b2beez.ru/images/detailed/204/SH-400-5_oi2f-qe.jpg</t>
  </si>
  <si>
    <t>02044315</t>
  </si>
  <si>
    <t>Мотопокрышка 2.50-17 TT 6PR J-12 (2KG) Alpha, Delta "BEEZMOTO"</t>
  </si>
  <si>
    <t>https://b2beez.ru/images/detailed/47/orig_woo8-td.jpg</t>
  </si>
  <si>
    <t>SH-9016</t>
  </si>
  <si>
    <t>Мотопокрышка 90/100-16 6PR 58L (40PSI) (мотокросс, эндуро) KAYO, TTR125 "BEEZMOTO"</t>
  </si>
  <si>
    <t>https://b2beez.ru/images/detailed/204/SH-9016-4.jpg</t>
  </si>
  <si>
    <t>SH-1918</t>
  </si>
  <si>
    <t>Мотопокрышка 2,50-18 TT 6PR 68J (41PSI) (100/90, мотокросс, эндуро) "BEEZMOTO"</t>
  </si>
  <si>
    <t>https://b2beez.ru/images/detailed/204/SH-1918-2_cugm-lw.jpg</t>
  </si>
  <si>
    <t>SH-8121</t>
  </si>
  <si>
    <t>Мотопокрышка 1,85-21 TT 6PR 57J (41PSI) (80/100, мотокросс, эндуро) "BEEZMOTO"</t>
  </si>
  <si>
    <t>https://b2beez.ru/images/detailed/204/SH-8121-2_6pp2-bm.jpg</t>
  </si>
  <si>
    <t>M-136</t>
  </si>
  <si>
    <t>Мотопокрышка 120/70/12 (безкамерная) TL 6PR 58G (40PSI) "BEEZMOTO"</t>
  </si>
  <si>
    <t>https://b2beez.ru/images/detailed/169/orig_l50q-v1.jpg</t>
  </si>
  <si>
    <t>Техника</t>
  </si>
  <si>
    <t>Вело</t>
  </si>
  <si>
    <t>Велосипеды трансформеры</t>
  </si>
  <si>
    <t>Горные велосипеды</t>
  </si>
  <si>
    <t>Городские велосипеды</t>
  </si>
  <si>
    <t>Детские велосипеды</t>
  </si>
  <si>
    <t>Фэтбайки</t>
  </si>
  <si>
    <t>Мото</t>
  </si>
  <si>
    <t>Мопеды</t>
  </si>
  <si>
    <t>Мотоциклы</t>
  </si>
  <si>
    <t>Скутеры</t>
  </si>
  <si>
    <t>Электро</t>
  </si>
  <si>
    <t>Гироборды</t>
  </si>
  <si>
    <t>Электросамокаты</t>
  </si>
  <si>
    <t>Электроскутеры</t>
  </si>
  <si>
    <t>Самокаты</t>
  </si>
  <si>
    <t>Упаковочные материалы</t>
  </si>
  <si>
    <t>Курьерские пакеты</t>
  </si>
  <si>
    <t>Ножи</t>
  </si>
  <si>
    <t>N-0871</t>
  </si>
  <si>
    <t>Лезвия для канцелярских и строительных ножей 18 мм "SB"</t>
  </si>
  <si>
    <t>https://b2beez.ru/images/detailed/170/orig_262c-on.jpg</t>
  </si>
  <si>
    <t>N-3999</t>
  </si>
  <si>
    <t>Канцелярский нож усиленный с фиксатором универсальный 18 мм</t>
  </si>
  <si>
    <t>https://b2beez.ru/images/detailed/171/orig_58xv-dt.jpg</t>
  </si>
  <si>
    <t>Перчатки рабочие</t>
  </si>
  <si>
    <t>Пупырка</t>
  </si>
  <si>
    <t>Стрейч пленка</t>
  </si>
  <si>
    <t>Термоленты</t>
  </si>
  <si>
    <t>Термоэтикетки</t>
  </si>
  <si>
    <t>Упаковочное оборудование</t>
  </si>
  <si>
    <t>Zip-Lock</t>
  </si>
  <si>
    <t>Для принтера</t>
  </si>
  <si>
    <t>Коробки</t>
  </si>
  <si>
    <t>Экипировка</t>
  </si>
  <si>
    <t>Пряжки, ремни, аксессуары</t>
  </si>
  <si>
    <t>Лента</t>
  </si>
  <si>
    <t>Пряжки</t>
  </si>
  <si>
    <t>Шлемы</t>
  </si>
  <si>
    <t>H-4073</t>
  </si>
  <si>
    <t>Шлем-интеграл (size:L ,белый с узором) 46 "BEEZMOTO" (mod.2)</t>
  </si>
  <si>
    <t>https://b2beez.ru/images/detailed/164/7155041431.jpg</t>
  </si>
  <si>
    <t>Аксессуары для шлема</t>
  </si>
  <si>
    <t>Велосипедные</t>
  </si>
  <si>
    <t>H-3231</t>
  </si>
  <si>
    <t>Шлем велосипедный с магнитным визором и задним фонарем LED, USB зарядка (size: L (57-62см) (изумрудно-оранжевый, +козырек) HO-86</t>
  </si>
  <si>
    <t>https://b2beez.ru/images/detailed/163/orig_wuga-wy.jpg</t>
  </si>
  <si>
    <t>H-6229</t>
  </si>
  <si>
    <t>Шлем велосипедный с магнитным визором и задним фонарем LED, USB зарядка (size: L (57-62см), черно-зеленый, +козырек) HO-86</t>
  </si>
  <si>
    <t>https://b2beez.ru/images/detailed/164/orig_jn2y-1b.jpg</t>
  </si>
  <si>
    <t>H-0883</t>
  </si>
  <si>
    <t>Шлем велосипедный с магнитным визором и задним фонарем LED, USB зарядка (size: L (57-62см) (черно-красный, +козырек) HO-86</t>
  </si>
  <si>
    <t>https://b2beez.ru/images/detailed/163/orig_h9g3-eo.jpg</t>
  </si>
  <si>
    <t>H-1939</t>
  </si>
  <si>
    <t>Шлем велосипедный с магнитным визором и задним фонарем LED, USB зарядка (size: L (57-62см) (черно-синий, +козырек) HO-86</t>
  </si>
  <si>
    <t>https://b2beez.ru/images/detailed/163/orig_p73u-rl.jpg</t>
  </si>
  <si>
    <t>H-5831</t>
  </si>
  <si>
    <t>Шлем велосипедный с задним фонарем LED, USB зарядка (size: L (57-62см) (карбон, розовый, +козырек)  HO-028</t>
  </si>
  <si>
    <t>https://b2beez.ru/images/detailed/164/orig_msrp-9f.jpg</t>
  </si>
  <si>
    <t>H-0339</t>
  </si>
  <si>
    <t>Шлем велосипедный с задним фонарем LED, USB зарядка (size: L (57-62см) (черно-красный, +козырек)  HO-028</t>
  </si>
  <si>
    <t>https://b2beez.ru/images/detailed/163/orig_9oek-vm.jpg</t>
  </si>
  <si>
    <t>H-6142</t>
  </si>
  <si>
    <t>Шлем велосипедный с задним фонарем LED, USB зарядка (size: L (57-62см) (карбон-желтый, +козырек)  HO-028</t>
  </si>
  <si>
    <t>https://b2beez.ru/images/detailed/164/orig_bzbo-ux.jpg</t>
  </si>
  <si>
    <t>H-9329</t>
  </si>
  <si>
    <t>Шлем велосипедный с задним фонарем LED, USB зарядка (size: L (57-62см) (карбон, голубой, +козырек) HO-028</t>
  </si>
  <si>
    <t>https://b2beez.ru/images/detailed/165/6872864598.jpg</t>
  </si>
  <si>
    <t>H-0202</t>
  </si>
  <si>
    <t>Шлем велосипедный детский (розово-синий) "SPORTS"</t>
  </si>
  <si>
    <t>https://b2beez.ru/images/detailed/163/orig_7qoh-g1.jpg</t>
  </si>
  <si>
    <t>H-3228</t>
  </si>
  <si>
    <t>Шлем велосипедный с магнитным визором (size: L (57-62см) (матовый, черный)YB-19</t>
  </si>
  <si>
    <t>https://b2beez.ru/images/detailed/163/orig_yxya-d2.jpg</t>
  </si>
  <si>
    <t>H-0818</t>
  </si>
  <si>
    <t>Шлем велосипедный с магнитным визором (size: L (57-62см) (черно-синий) YB-19</t>
  </si>
  <si>
    <t>https://b2beez.ru/images/detailed/163/orig_qaqi-1y.jpg</t>
  </si>
  <si>
    <t>H-5117</t>
  </si>
  <si>
    <t>Шлем велосипедный с магнитным визором и задним фонарем LED, USB зарядка (size: L (57-62см) (черно-белый, +козырек) HO-86</t>
  </si>
  <si>
    <t>https://b2beez.ru/images/detailed/164/orig_814a-de.jpg</t>
  </si>
  <si>
    <t>H-0201</t>
  </si>
  <si>
    <t>Шлем велосипедный детский (красный, +желто-синее пламя) "SPORTS"</t>
  </si>
  <si>
    <t>https://b2beez.ru/images/detailed/163/orig_2fjn-lg.jpg</t>
  </si>
  <si>
    <t>H-0210</t>
  </si>
  <si>
    <t>Шлем велосипедный детский (голубой, +желто-красное пламя) "SPORTS"</t>
  </si>
  <si>
    <t>https://b2beez.ru/images/detailed/163/orig_dsv6-wx.jpg</t>
  </si>
  <si>
    <t>H-0212</t>
  </si>
  <si>
    <t>Шлем велосипедный детский (розовый, +сине-желтое пламя) "SPORTS"</t>
  </si>
  <si>
    <t>https://b2beez.ru/images/detailed/163/orig_no5j-3x.jpg</t>
  </si>
  <si>
    <t>H-4060</t>
  </si>
  <si>
    <t>Шлем велосипедный (глянцевый, size: L (57-62см) бело-синий, +козырек) HO-03</t>
  </si>
  <si>
    <t>https://b2beez.ru/images/detailed/164/7030495743.jpg</t>
  </si>
  <si>
    <t>H-0203</t>
  </si>
  <si>
    <t>Шлем велосипедный детский (фиолетовый) "SPORTS" mod:B</t>
  </si>
  <si>
    <t>https://b2beez.ru/images/detailed/163/orig_0kbz-gd.jpg</t>
  </si>
  <si>
    <t>H-0204</t>
  </si>
  <si>
    <t>Шлем велосипедный детский (фиолетовый) "SPORTS" mod:A</t>
  </si>
  <si>
    <t>https://b2beez.ru/images/detailed/163/orig_kj90-of.jpg</t>
  </si>
  <si>
    <t>H-0205</t>
  </si>
  <si>
    <t>Шлем велосипедный детский (светло-розовый) "SPORTS" mod:A</t>
  </si>
  <si>
    <t>https://b2beez.ru/images/detailed/163/orig_9sha-l2.jpg</t>
  </si>
  <si>
    <t>H-0206</t>
  </si>
  <si>
    <t>Шлем велосипедный детский (светло-розовый) "SPORTS" mod:B</t>
  </si>
  <si>
    <t>https://b2beez.ru/images/detailed/163/orig_sk7j-st.jpg</t>
  </si>
  <si>
    <t>H-0207</t>
  </si>
  <si>
    <t>Шлем велосипедный детский (коралловый) "SPORTS"</t>
  </si>
  <si>
    <t>https://b2beez.ru/images/detailed/163/orig_4epy-e3.jpg</t>
  </si>
  <si>
    <t>H-0208</t>
  </si>
  <si>
    <t>Шлем велосипедный детский (красный) "SPORTS"</t>
  </si>
  <si>
    <t>https://b2beez.ru/images/detailed/163/orig_9hl3-vc.jpg</t>
  </si>
  <si>
    <t>H-0209</t>
  </si>
  <si>
    <t>Шлем велосипедный детский (розовый) "SPORTS"</t>
  </si>
  <si>
    <t>https://b2beez.ru/images/detailed/163/orig_nq23-h8.jpg</t>
  </si>
  <si>
    <t>Детские</t>
  </si>
  <si>
    <t>Интегралы</t>
  </si>
  <si>
    <t>H-4393</t>
  </si>
  <si>
    <t>Шлем-интеграл (size:XL, Venom, прозрачный визор)</t>
  </si>
  <si>
    <t>https://b2beez.ru/images/detailed/164/orig_74kf-wy.jpg</t>
  </si>
  <si>
    <t>C-1351</t>
  </si>
  <si>
    <t>Шлем-интеграл (size;S-XL, черный) 901 "BEEZMOTO"</t>
  </si>
  <si>
    <t>https://b2beez.ru/images/detailed/155/6474467470.jpg</t>
  </si>
  <si>
    <t>C-1318-U1</t>
  </si>
  <si>
    <t>Шлем-интеграл (size;S-XL, красный, с узором, двойной визор) T-03 "BEEZMOTO" (Повреждения)</t>
  </si>
  <si>
    <t>https://b2beez.ru/images/detailed/204/C-1318-U1-3.jpg</t>
  </si>
  <si>
    <t>C-0313-U2</t>
  </si>
  <si>
    <t>Шлем-интеграл (size;S-XL, белый, с узором, двойной визор) T-03 "BEEZMOTO" (брак лкп)</t>
  </si>
  <si>
    <t>H-7987</t>
  </si>
  <si>
    <t>Шлем-интеграл (size:S, + солнцезащитные очки) (mod.1) "VGV"</t>
  </si>
  <si>
    <t>https://b2beez.ru/images/detailed/164/orig_10gj-ju.jpg</t>
  </si>
  <si>
    <t>H-1902</t>
  </si>
  <si>
    <t>Шлем-интеграл (size:S, + солнцезащитные очки) (mod.2) "VGV"</t>
  </si>
  <si>
    <t>https://b2beez.ru/images/detailed/163/6379574271.jpg</t>
  </si>
  <si>
    <t>H-0165</t>
  </si>
  <si>
    <t>Шлем-интеграл (size:M, + солнцезащитные очки) (2 визора, черный/прозрачный) (mod.2) "VGV"</t>
  </si>
  <si>
    <t>https://b2beez.ru/images/detailed/163/orig_7wak-ti.jpg</t>
  </si>
  <si>
    <t>H-6187</t>
  </si>
  <si>
    <t>Шлем-интеграл (size:S, + солнцезащитные очки) (mod.3) "VGV"</t>
  </si>
  <si>
    <t>https://b2beez.ru/images/detailed/164/6379574431.jpg</t>
  </si>
  <si>
    <t>H-6606</t>
  </si>
  <si>
    <t>Шлем-интеграл (size:M, + солнцезащитные очки) (2 визора, черный/прозрачный) (mod.3) "VGV"</t>
  </si>
  <si>
    <t>https://b2beez.ru/images/detailed/164/orig_vs4h-t6.jpg</t>
  </si>
  <si>
    <t>H-9805</t>
  </si>
  <si>
    <t>Шлем-интеграл (size:M, + солнцезащитные очки) (mod.4) VGV "BEEZMOTO"</t>
  </si>
  <si>
    <t>https://b2beez.ru/images/detailed/165/6381741962.jpg</t>
  </si>
  <si>
    <t>H-0887</t>
  </si>
  <si>
    <t>Шлем-интеграл (size:M, + солнцезащитные очки) (mod.6) VGV "BEEZMOTO"</t>
  </si>
  <si>
    <t>https://b2beez.ru/images/detailed/163/orig_rmiw-2u.jpg</t>
  </si>
  <si>
    <t>H-0937</t>
  </si>
  <si>
    <t>Шлем-интеграл (size:S, + солнцезащитные очки) (mod.8) "VGV"</t>
  </si>
  <si>
    <t>https://b2beez.ru/images/detailed/163/orig_kmiv-qz.jpg</t>
  </si>
  <si>
    <t>H-1742</t>
  </si>
  <si>
    <t>Шлем-интеграл (size:M, + солнцезащитные очки) (mod.8) "VGV"</t>
  </si>
  <si>
    <t>https://b2beez.ru/images/detailed/163/orig_55cr-jv.jpg</t>
  </si>
  <si>
    <t>H-0143</t>
  </si>
  <si>
    <t>Шлем-интеграл (size:M, + солнцезащитные очки) (mod.10) VGV "BEEZMOTO"</t>
  </si>
  <si>
    <t>https://b2beez.ru/images/detailed/163/orig.jpg</t>
  </si>
  <si>
    <t>H-5743</t>
  </si>
  <si>
    <t>Шлем-интеграл (size:M, + солнцезащитные очки) (mod.12) "VGV"</t>
  </si>
  <si>
    <t>https://b2beez.ru/images/detailed/164/orig_nag3-co.jpg</t>
  </si>
  <si>
    <t>H-7814</t>
  </si>
  <si>
    <t>Шлем-интеграл (size:M, + солнцезащитные очки) (mod.13) VGV "BEEZMOTO"</t>
  </si>
  <si>
    <t>https://b2beez.ru/images/detailed/164/orig_9boa-n8.jpg</t>
  </si>
  <si>
    <t>H-0278</t>
  </si>
  <si>
    <t>Шлем-интеграл (size:M, + солнцезащитные очки) (mod.14) "VGV"</t>
  </si>
  <si>
    <t>https://b2beez.ru/images/detailed/163/orig_81sj-m7.jpg</t>
  </si>
  <si>
    <t>H-2903</t>
  </si>
  <si>
    <t>Шлем-интеграл (size:S, + солнцезащитные очки) (mod.15) "VGV"</t>
  </si>
  <si>
    <t>https://b2beez.ru/images/detailed/163/orig_r0ic-vh.jpg</t>
  </si>
  <si>
    <t>H-0315</t>
  </si>
  <si>
    <t>Шлем-интеграл (size:M, + солнцезащитные очки) (mod.15) VGV "BEEZMOTO"</t>
  </si>
  <si>
    <t>https://b2beez.ru/images/detailed/163/6379574226.jpg</t>
  </si>
  <si>
    <t>H-5116</t>
  </si>
  <si>
    <t>Шлем-интеграл (size:M, + солнцезащитные очки) (mod.17) "VGV"</t>
  </si>
  <si>
    <t>https://b2beez.ru/images/detailed/164/orig_lls0-9o.jpg</t>
  </si>
  <si>
    <t>H-9260</t>
  </si>
  <si>
    <t>Шлем-интеграл (size:S, + солнцезащитные очки) (mod.18) VGV "BEEZMOTO"</t>
  </si>
  <si>
    <t>https://b2beez.ru/images/detailed/165/orig_x7dk-ne.jpg</t>
  </si>
  <si>
    <t>H-2315</t>
  </si>
  <si>
    <t>Шлем-интеграл (size:M, + солнцезащитные очки) (mod.18) VGV "BEEZMOTO"</t>
  </si>
  <si>
    <t>https://b2beez.ru/images/detailed/163/orig_0yay-0d.jpg</t>
  </si>
  <si>
    <t>H-0473</t>
  </si>
  <si>
    <t>Шлем-интеграл (size:M, + солнцезащитные очки) (mod.11) VGV "BEEZMOTO"</t>
  </si>
  <si>
    <t>https://b2beez.ru/images/detailed/163/orig_8oon-4h.jpg</t>
  </si>
  <si>
    <t>H-5744</t>
  </si>
  <si>
    <t>Шлем-интеграл (size:S, + солнцезащитные очки) (mod.12) VGV "BEEZMOTO"</t>
  </si>
  <si>
    <t>https://b2beez.ru/images/detailed/164/orig_vxz1-7i.jpg</t>
  </si>
  <si>
    <t>H-0741</t>
  </si>
  <si>
    <t>Шлем-интеграл (mod.1-WS-602) (size:S)</t>
  </si>
  <si>
    <t>https://b2beez.ru/images/detailed/163/orig_anev-i1.jpg</t>
  </si>
  <si>
    <t>H-0722</t>
  </si>
  <si>
    <t>Шлем-интеграл (mod.1-WS-602) (size:M) VGV "BEEZMOTO"</t>
  </si>
  <si>
    <t>https://b2beez.ru/images/detailed/163/orig_h7r7-1z.jpg</t>
  </si>
  <si>
    <t>H-0799</t>
  </si>
  <si>
    <t>Шлем-интеграл (mod.1-WS-602) (size:L) VGV "BEEZMOTO"</t>
  </si>
  <si>
    <t>https://b2beez.ru/images/detailed/163/orig_oaqi-f0.jpg</t>
  </si>
  <si>
    <t>H-9314</t>
  </si>
  <si>
    <t>Шлем-интеграл (mod.2-WS-602) (size:S)</t>
  </si>
  <si>
    <t>https://b2beez.ru/images/detailed/165/orig_gaua-3h.jpg</t>
  </si>
  <si>
    <t>H-8461</t>
  </si>
  <si>
    <t>Шлем-интеграл (mod.2-WS-602) (size:M)</t>
  </si>
  <si>
    <t>https://b2beez.ru/images/detailed/165/orig_cm9b-09.jpg</t>
  </si>
  <si>
    <t>H-4831</t>
  </si>
  <si>
    <t>Шлем-интеграл (mod.2-WS-602) (size:L)</t>
  </si>
  <si>
    <t>https://b2beez.ru/images/detailed/164/orig_r8zt-p3.jpg</t>
  </si>
  <si>
    <t>H-9312</t>
  </si>
  <si>
    <t>Шлем-интеграл (mod.3-WS-602) (size:S)</t>
  </si>
  <si>
    <t>https://b2beez.ru/images/detailed/165/orig_30c9-r1.jpg</t>
  </si>
  <si>
    <t>H-5799</t>
  </si>
  <si>
    <t>Шлем-интеграл (mod.4-WS-602) (size:S) "BEEZMOTO"</t>
  </si>
  <si>
    <t>https://b2beez.ru/images/detailed/164/orig_m8rp-y1.jpg</t>
  </si>
  <si>
    <t>H-9678</t>
  </si>
  <si>
    <t>Шлем-интеграл (mod.5-WS-602) (size:S) "BEEZMOTO"</t>
  </si>
  <si>
    <t>https://b2beez.ru/images/detailed/165/orig_i4kt-gn.jpg</t>
  </si>
  <si>
    <t>H-8121</t>
  </si>
  <si>
    <t>Шлем-интеграл (mod.5-WS-602) (size:M) VGV "BEEZMOTO"</t>
  </si>
  <si>
    <t>https://b2beez.ru/images/detailed/164/orig_ssa7-7b.jpg</t>
  </si>
  <si>
    <t>H-5847</t>
  </si>
  <si>
    <t>Шлем-интеграл (mod.5-WS-602) (size:L)</t>
  </si>
  <si>
    <t>https://b2beez.ru/images/detailed/164/orig_rrnc-ze.jpg</t>
  </si>
  <si>
    <t>H-8433</t>
  </si>
  <si>
    <t>Шлем-интеграл (mod.7-WS-606) (size:S)</t>
  </si>
  <si>
    <t>https://b2beez.ru/images/detailed/165/orig_p1wz-oh.jpg</t>
  </si>
  <si>
    <t>H-5412</t>
  </si>
  <si>
    <t>Шлем-интеграл (mod.7-WS-606) (size:M)</t>
  </si>
  <si>
    <t>https://b2beez.ru/images/detailed/164/orig_ubci-lt.jpg</t>
  </si>
  <si>
    <t>H-4775</t>
  </si>
  <si>
    <t>Шлем-интеграл (mod.8-WS-606) (size:S)</t>
  </si>
  <si>
    <t>https://b2beez.ru/images/detailed/164/orig_xpj0-v5.jpg</t>
  </si>
  <si>
    <t>H-5463</t>
  </si>
  <si>
    <t>Шлем-интеграл (mod.8-WS-606) (size:M)</t>
  </si>
  <si>
    <t>https://b2beez.ru/images/detailed/164/orig_bmzo-20.jpg</t>
  </si>
  <si>
    <t>H-1234</t>
  </si>
  <si>
    <t>Шлем-интеграл (mod.8-WS-606) (size:L)</t>
  </si>
  <si>
    <t>https://b2beez.ru/images/detailed/163/orig_o1py-6n.jpg</t>
  </si>
  <si>
    <t>H-9315-U2</t>
  </si>
  <si>
    <t>Шлем-интеграл (size:S, женский, с кошачьими ушками, розовый) (2 визора, черный/прозрачный) "HNJ" (отломано ухо)</t>
  </si>
  <si>
    <t>H-8051-U1</t>
  </si>
  <si>
    <t>Шлем-интеграл (size:XL, черный-фиолетовый) "QKE" (незначительное механическое повреждение)</t>
  </si>
  <si>
    <t>C-1235-U1</t>
  </si>
  <si>
    <t>Шлем-интеграл (size;S-XL, черный, двойной визор) T-03 "BEEZMOTO" (вмятина)</t>
  </si>
  <si>
    <t>C-1237-U3</t>
  </si>
  <si>
    <t>Шлем-интеграл (size;S-XL, синий, двойной визор) T-03 "BEEZMOTO" (Порез)</t>
  </si>
  <si>
    <t>H-7340-U1</t>
  </si>
  <si>
    <t>Шлем-интеграл (size:L ,черный с узором) 46 "BEEZMOTO" (mod.1) (Повреждения)</t>
  </si>
  <si>
    <t>H-7340-U2</t>
  </si>
  <si>
    <t>H-9343-U1</t>
  </si>
  <si>
    <t>Шлем-интеграл (size:XL, Venom, черный визор) (Не комплект)</t>
  </si>
  <si>
    <t>H-9343-U2</t>
  </si>
  <si>
    <t>Шлем-интеграл (size:XL, Venom, черный визор) (Повреждения)</t>
  </si>
  <si>
    <t>C-1350-U2</t>
  </si>
  <si>
    <t>Шлем-интеграл (size;S-XL, красный) 901 "BEEZMOTO"(Царапина)</t>
  </si>
  <si>
    <t>H-7865-U1</t>
  </si>
  <si>
    <t>Шлем-интеграл (size:S, женский, с кошачьими ушками, черный) (2 визора, черный/прозрачный) "HNJ" (Трещина)</t>
  </si>
  <si>
    <t>H-7865-U2</t>
  </si>
  <si>
    <t>Шлем-интеграл (size:S, женский, с кошачьими ушками, черный) (2 визора, черный/прозрачный) "HNJ" (Повреждения)</t>
  </si>
  <si>
    <t>H-9612-U1</t>
  </si>
  <si>
    <t>Шлем-интеграл (size:M, женский, с кошачьими ушками, черно-красный) (2 визора, черный/прозрачный) "HNJ" 9 (Трещина)</t>
  </si>
  <si>
    <t>H-1624-U1</t>
  </si>
  <si>
    <t>Шлем-интеграл (size:L, черный с узором) "QKE" (Повреждения)</t>
  </si>
  <si>
    <t>C-1318-U2</t>
  </si>
  <si>
    <t>Шлем-интеграл (size;S-XL, красный, с красным узором, двойной визор) T-03 "BEEZMOTO"(Повреждения)</t>
  </si>
  <si>
    <t>C-0313-U3</t>
  </si>
  <si>
    <t>Шлем-интеграл (size;S-XL, белый, с узором, двойной визор) T-03 "BEEZMOTO" (брак лкп, трещина)</t>
  </si>
  <si>
    <t>C-1350-U1</t>
  </si>
  <si>
    <t>Шлем-интеграл (size;S-XL, красный) 901 "BEEZMOTO" (Царапины)</t>
  </si>
  <si>
    <t>I-4575</t>
  </si>
  <si>
    <t>Шлем хищник (size L черный матовый ) "HNJ"</t>
  </si>
  <si>
    <t>https://b2beez.ru/images/detailed/165/6741713497_ieyz-sx.jpg</t>
  </si>
  <si>
    <t>I-8873</t>
  </si>
  <si>
    <t>Шлем хищник (size XL черный матовый ) "HNJ"</t>
  </si>
  <si>
    <t>https://b2beez.ru/images/detailed/165/6741713497_xock-ti.jpg</t>
  </si>
  <si>
    <t>I-2111</t>
  </si>
  <si>
    <t>Шлем-интеграл (mod:B-5022) (size:M, серо-красный) "BEEZMOTO"</t>
  </si>
  <si>
    <t>https://b2beez.ru/images/detailed/165/orig_oqzg-dj.jpg</t>
  </si>
  <si>
    <t>I-2114</t>
  </si>
  <si>
    <t>Шлем-интеграл (mod:B-5022) (size:L, серо-красный) "BEEZMOTO"</t>
  </si>
  <si>
    <t>https://b2beez.ru/images/detailed/165/orig_undr-1o.jpg</t>
  </si>
  <si>
    <t>H-5029</t>
  </si>
  <si>
    <t>Шлем-интеграл (size: XL, черный-серый с узором, прозрачный визор) "SER"</t>
  </si>
  <si>
    <t>https://b2beez.ru/images/detailed/164/orig_jdjw-nd.jpg</t>
  </si>
  <si>
    <t>H-4348</t>
  </si>
  <si>
    <t>Шлем-интеграл (size:M ,черно-красно-серый) (2 визора, черный/прозрачный) "QKE"</t>
  </si>
  <si>
    <t>https://b2beez.ru/images/detailed/164/orig_vrpd-fu.jpg</t>
  </si>
  <si>
    <t>H-9444-U1</t>
  </si>
  <si>
    <t>Шлем-интеграл (size:M, женский, с кошачьими ушками, розовый) (2 визора, черный/прозрачный) "HNJ"(Повреждения)</t>
  </si>
  <si>
    <t>H-2950</t>
  </si>
  <si>
    <t>Шлем-интеграл (size: XL, черный-серый с узором) "SER"</t>
  </si>
  <si>
    <t>https://b2beez.ru/images/detailed/163/orig_jvin-m7.jpg</t>
  </si>
  <si>
    <t>H-9350</t>
  </si>
  <si>
    <t>Шлем-интеграл (size:L, Venom) (2 визора, черный/прозрачный) "QKE"</t>
  </si>
  <si>
    <t>https://b2beez.ru/images/detailed/165/orig_vm4f-4i.jpg</t>
  </si>
  <si>
    <t>H-1632</t>
  </si>
  <si>
    <t>Шлем-интеграл (size:XL, черный с узором) "66"</t>
  </si>
  <si>
    <t>https://b2beez.ru/images/detailed/163/orig_cufu-af.jpg</t>
  </si>
  <si>
    <t>H-8370</t>
  </si>
  <si>
    <t>Шлем-интеграл (size:L, черно-красный с узором) (2 визора, черный/прозрачный) "QKE"</t>
  </si>
  <si>
    <t>https://b2beez.ru/images/detailed/164/orig_ux4l-oh.jpg</t>
  </si>
  <si>
    <t>H-2350</t>
  </si>
  <si>
    <t>Шлем-интеграл (size:L, черный с узором цепь, поршень) (2 визора, черный/прозрачный) QKE "BEEZMOTO"</t>
  </si>
  <si>
    <t>https://b2beez.ru/images/detailed/163/orig_ssil-y7.jpg</t>
  </si>
  <si>
    <t>H-8060</t>
  </si>
  <si>
    <t>Шлем-интеграл (size:L, черный-фиолетовый) QKE "BEEZMOTO"</t>
  </si>
  <si>
    <t>https://b2beez.ru/images/detailed/164/orig_e6nr-6p.jpg</t>
  </si>
  <si>
    <t>H-4172</t>
  </si>
  <si>
    <t>Шлем-интеграл (size:XL ,RXR) "RAINBOW"</t>
  </si>
  <si>
    <t>https://b2beez.ru/images/detailed/164/6158622609.jpg</t>
  </si>
  <si>
    <t>H-3367</t>
  </si>
  <si>
    <t>Шлем-интеграл (size:XL, черный) "QKE"</t>
  </si>
  <si>
    <t>https://b2beez.ru/images/detailed/164/orig_mbjr-ou.jpg</t>
  </si>
  <si>
    <t>H-6527</t>
  </si>
  <si>
    <t>Шлем-интеграл (size:XL, серый с узором) "66"</t>
  </si>
  <si>
    <t>https://b2beez.ru/images/detailed/164/orig_uvam-2y.jpg</t>
  </si>
  <si>
    <t>H-2938</t>
  </si>
  <si>
    <t>Шлем-интеграл (size: L, черный-серый с узором) "SER"</t>
  </si>
  <si>
    <t>https://b2beez.ru/images/detailed/163/orig_jl9s-ce.jpg</t>
  </si>
  <si>
    <t>H-9343</t>
  </si>
  <si>
    <t>Шлем-интеграл (size:XL, Venom, черный визор)</t>
  </si>
  <si>
    <t>https://b2beez.ru/images/detailed/165/orig_m4o0-dz.jpg</t>
  </si>
  <si>
    <t>H-1624</t>
  </si>
  <si>
    <t>Шлем-интеграл (size:L, черный с узором) "QKE"</t>
  </si>
  <si>
    <t>https://b2beez.ru/images/detailed/163/orig_z6ci-6u.jpg</t>
  </si>
  <si>
    <t>H-8345</t>
  </si>
  <si>
    <t>Шлем-интеграл (size:XL, черный-красный с узором) QKE "BEEZMOTO"</t>
  </si>
  <si>
    <t>https://b2beez.ru/images/detailed/164/orig_i0to-as.jpg</t>
  </si>
  <si>
    <t>H-4154</t>
  </si>
  <si>
    <t>Шлем-интеграл (size:L, RAINBOW) (2 визора, черный/прозрачный) "QKE"</t>
  </si>
  <si>
    <t>https://b2beez.ru/images/detailed/164/orig_r024-8j.jpg</t>
  </si>
  <si>
    <t>H-3368</t>
  </si>
  <si>
    <t>Шлем-интеграл (size:L, черный) (2 визора, черный/прозрачный) "QKE"</t>
  </si>
  <si>
    <t>https://b2beez.ru/images/detailed/164/orig_4r86-a8.jpg</t>
  </si>
  <si>
    <t>H-4350</t>
  </si>
  <si>
    <t>Шлем-интеграл (size:L ,черный-красный-серый) "BEEZMOTO"</t>
  </si>
  <si>
    <t>https://b2beez.ru/images/detailed/164/orig_c1tk-ef.jpg</t>
  </si>
  <si>
    <t>H-6210</t>
  </si>
  <si>
    <t>Шлем-интеграл (size:L ,черный-зеленый, с узором) "46"</t>
  </si>
  <si>
    <t>https://b2beez.ru/images/detailed/164/6158622620.jpg</t>
  </si>
  <si>
    <t>H-7344</t>
  </si>
  <si>
    <t>Шлем-интеграл (size:L, черный, с ушами, Бэтмен) "HNJ"</t>
  </si>
  <si>
    <t>https://b2beez.ru/images/detailed/164/orig_ela5-5s.jpg</t>
  </si>
  <si>
    <t>H-9315</t>
  </si>
  <si>
    <t>Шлем-интеграл (size:S, женский, с кошачьими ушками, розовый) "HNJ"</t>
  </si>
  <si>
    <t>https://b2beez.ru/images/detailed/165/orig_mwyz-z5.jpg</t>
  </si>
  <si>
    <t>H-9444</t>
  </si>
  <si>
    <t>Шлем-интеграл (size:M, женский, с кошачьими ушками, розовый) (2 визора, черный/прозрачный) "HNJ"</t>
  </si>
  <si>
    <t>https://b2beez.ru/images/detailed/165/orig_hce8-w8.jpg</t>
  </si>
  <si>
    <t>H-7864</t>
  </si>
  <si>
    <t>Шлем-интеграл (size:M, женский, с кошачьими ушками, черный) (2 визора, черный/прозрачный) "HNJ"</t>
  </si>
  <si>
    <t>https://b2beez.ru/images/detailed/164/orig_j4rc-xx.jpg</t>
  </si>
  <si>
    <t>H-9612</t>
  </si>
  <si>
    <t>Шлем-интеграл (size:M, женский, с кошачьими ушками, черно-красный) (2 визора, черный/прозрачный) "HNJ"</t>
  </si>
  <si>
    <t>https://b2beez.ru/images/detailed/165/orig_b0em-zb.jpg</t>
  </si>
  <si>
    <t>H-8315</t>
  </si>
  <si>
    <t>Шлем-интеграл (size:M, женсикй, с кошачьими ушками, бело-розовый) (2 визора, черный/прозрачный) "HNJ"</t>
  </si>
  <si>
    <t>https://b2beez.ru/images/detailed/164/orig_5bim-g6.jpg</t>
  </si>
  <si>
    <t>C-3811-U1</t>
  </si>
  <si>
    <t>Шлем-интеграл (size;S-XL, красный, двойной визор) T-03 "BEEZMOTO" (Царапина,повреждения ЛКП)</t>
  </si>
  <si>
    <t>Кроссовые</t>
  </si>
  <si>
    <t>H-2548</t>
  </si>
  <si>
    <t>Шлем кроссовый (mod:11) (size: L) "EDX"</t>
  </si>
  <si>
    <t>https://b2beez.ru/images/detailed/163/7141283048.jpg</t>
  </si>
  <si>
    <t>H-0941</t>
  </si>
  <si>
    <t>Шлем кроссовый (mod:8-166) (size: S) "EDX"</t>
  </si>
  <si>
    <t>https://b2beez.ru/images/detailed/163/orig_z5bw-2c.jpg</t>
  </si>
  <si>
    <t>H-0865</t>
  </si>
  <si>
    <t>Шлем кроссовый (mod:8-166) (size: XL) "EDX"</t>
  </si>
  <si>
    <t>https://b2beez.ru/images/detailed/163/orig_mleo-me.jpg</t>
  </si>
  <si>
    <t>H-0396</t>
  </si>
  <si>
    <t>Шлем кроссовый (mod:1-166) (size: L) "EDX"</t>
  </si>
  <si>
    <t>https://b2beez.ru/images/detailed/204/1_e7d4-tu.jpg</t>
  </si>
  <si>
    <t>H-0422</t>
  </si>
  <si>
    <t>Шлем кроссовый (mod:10-166) (size: S) "EDX"</t>
  </si>
  <si>
    <t>https://b2beez.ru/images/detailed/163/7141278957.jpg</t>
  </si>
  <si>
    <t>H-0461</t>
  </si>
  <si>
    <t>Шлем кроссовый (mod:10-166) (size: XL) "EDX"</t>
  </si>
  <si>
    <t>https://b2beez.ru/images/detailed/163/orig_m3fq-hm.jpg</t>
  </si>
  <si>
    <t>H-8797</t>
  </si>
  <si>
    <t>Шлем кроссовый (mod:7) (size: L) EDX "BEEZMOTO"</t>
  </si>
  <si>
    <t>https://b2beez.ru/images/detailed/165/orig_2s4i-pe.jpg</t>
  </si>
  <si>
    <t>H-4401-U1</t>
  </si>
  <si>
    <t>Шлем кроссовый (mod:1) (size: S) "EDX" (сломан козырек)</t>
  </si>
  <si>
    <t>H-2001-U1</t>
  </si>
  <si>
    <t>Шлем кроссовый (mod:1) (size: XL) "EDX" ( Нет козырька)</t>
  </si>
  <si>
    <t>H-009-U1</t>
  </si>
  <si>
    <t>Шлем кроссовый 129 (визор прозрачный, +солнцезащитные очки) (size: S) белый CROSS HELMET "BEEZMOTO"(Повреждения)</t>
  </si>
  <si>
    <t>H-009-U3</t>
  </si>
  <si>
    <t>H-007-U1</t>
  </si>
  <si>
    <t>Шлем кроссовый 129 (визор прозрачный, +солнцезащитные очки) (size: M) черный, зеленый "CROSS HELMET" (Повреждения)</t>
  </si>
  <si>
    <t>H-5629</t>
  </si>
  <si>
    <t>Шлем кроссовый (mod:2) (size: S) "EDX"</t>
  </si>
  <si>
    <t>https://b2beez.ru/images/detailed/164/orig_z032-n5.jpg</t>
  </si>
  <si>
    <t>H-2974</t>
  </si>
  <si>
    <t>Шлем кроссовый (mod:3) (size: S) EDX "BEEZMOTO"</t>
  </si>
  <si>
    <t>https://b2beez.ru/images/detailed/163/6324923434_zfwk-0v.jpg</t>
  </si>
  <si>
    <t>H-0710</t>
  </si>
  <si>
    <t>Шлем кроссовый (mod:5) (size: S) "EDX"</t>
  </si>
  <si>
    <t>https://b2beez.ru/images/detailed/163/orig_89jd-j5.jpg</t>
  </si>
  <si>
    <t>H-1895</t>
  </si>
  <si>
    <t>Шлем кроссовый (mod:2) (size: M) "EDX"</t>
  </si>
  <si>
    <t>https://b2beez.ru/images/detailed/205/1_qq1y-me.jpg</t>
  </si>
  <si>
    <t>H-8081</t>
  </si>
  <si>
    <t>Шлем кроссовый (mod:3) (size: M) EDX "BEEZMOTO"</t>
  </si>
  <si>
    <t>https://b2beez.ru/images/detailed/164/6324923434.jpg</t>
  </si>
  <si>
    <t>H-7618</t>
  </si>
  <si>
    <t>Шлем кроссовый (mod:5) (size: M) EDX "BEEZMOTO"</t>
  </si>
  <si>
    <t>https://b2beez.ru/images/detailed/164/orig_9cdv-tm.jpg</t>
  </si>
  <si>
    <t>H-6617</t>
  </si>
  <si>
    <t>Шлем кроссовый (mod:6) (size: M) EDX "BEEZMOTO"</t>
  </si>
  <si>
    <t>https://b2beez.ru/images/detailed/164/orig_r41m-fm.jpg</t>
  </si>
  <si>
    <t>H-9787</t>
  </si>
  <si>
    <t>Шлем кроссовый (mod:2) (size: L) EDX "BEEZMOTO"</t>
  </si>
  <si>
    <t>https://b2beez.ru/images/detailed/165/orig_c7nx-ov.jpg</t>
  </si>
  <si>
    <t>H-2533</t>
  </si>
  <si>
    <t>Шлем кроссовый (mod:3) (size: L) EDX "BEEZMOTO"</t>
  </si>
  <si>
    <t>https://b2beez.ru/images/detailed/163/6324923434.jpg</t>
  </si>
  <si>
    <t>H-8399</t>
  </si>
  <si>
    <t>Шлем кроссовый (mod:5) (size: L) EDX "BEEZMOTO"</t>
  </si>
  <si>
    <t>https://b2beez.ru/images/detailed/164/orig_082s-s1.jpg</t>
  </si>
  <si>
    <t>H-5510</t>
  </si>
  <si>
    <t>Шлем кроссовый (mod:6) (size: L) EDX "BEEZMOTO"</t>
  </si>
  <si>
    <t>https://b2beez.ru/images/detailed/164/6324923413_iifk-cc.jpg</t>
  </si>
  <si>
    <t>H-2001</t>
  </si>
  <si>
    <t>Шлем кроссовый (mod:1) (size: XL) "EDX"</t>
  </si>
  <si>
    <t>https://b2beez.ru/images/detailed/163/orig_cnd0-9b.jpg</t>
  </si>
  <si>
    <t>H-3650</t>
  </si>
  <si>
    <t>Шлем кроссовый (mod:2) (size: XL) "EDX"</t>
  </si>
  <si>
    <t>https://b2beez.ru/images/detailed/164/orig_kyrk-l6.jpg</t>
  </si>
  <si>
    <t>H-8704</t>
  </si>
  <si>
    <t>Шлем кроссовый (mod:3) (size: XL) "EDX"</t>
  </si>
  <si>
    <t>https://b2beez.ru/images/detailed/165/orig_r1w1-oe.jpg</t>
  </si>
  <si>
    <t>H-4372</t>
  </si>
  <si>
    <t>Шлем кроссовый (mod:4) (size: XL) "EDX"</t>
  </si>
  <si>
    <t>https://b2beez.ru/images/detailed/164/orig_kh3s-2z.jpg</t>
  </si>
  <si>
    <t>H-3823</t>
  </si>
  <si>
    <t>Шлем кроссовый (mod:5) (size: XL) EDX "BEEZMOTO"</t>
  </si>
  <si>
    <t>https://b2beez.ru/images/detailed/164/orig_jpzy-cw.jpg</t>
  </si>
  <si>
    <t>H-5317</t>
  </si>
  <si>
    <t>Шлем кроссовый (mod:6) (size: XL) EDX "BEEZMOTO"</t>
  </si>
  <si>
    <t>https://b2beez.ru/images/detailed/164/6324923413_vduc-kn.jpg</t>
  </si>
  <si>
    <t>H-1040</t>
  </si>
  <si>
    <t>Шлем кроссовый (mod:2) (size: XXL) "EDX"</t>
  </si>
  <si>
    <t>https://b2beez.ru/images/detailed/163/orig_2qvv-xi.jpg</t>
  </si>
  <si>
    <t>H-9791</t>
  </si>
  <si>
    <t>Шлем кроссовый (mod:3) (size: XXL) "EDX"</t>
  </si>
  <si>
    <t>https://b2beez.ru/images/detailed/165/orig_0v6a-vg.jpg</t>
  </si>
  <si>
    <t>H-4898</t>
  </si>
  <si>
    <t>Шлем кроссовый (mod:4) (size: XXL) "EDX"</t>
  </si>
  <si>
    <t>https://b2beez.ru/images/detailed/164/orig_e3v8-b1.jpg</t>
  </si>
  <si>
    <t>H-7277</t>
  </si>
  <si>
    <t>Шлем кроссовый (mod:5) (size: XXL) EDX "BEEZMOTO"</t>
  </si>
  <si>
    <t>https://b2beez.ru/images/detailed/164/6324923446.jpg</t>
  </si>
  <si>
    <t>H-001</t>
  </si>
  <si>
    <t>Шлем кроссовый 129 (визор прозрачный, +солнцезащитные очки) (size: S) черный матовый "CROSS HELMET"</t>
  </si>
  <si>
    <t>https://b2beez.ru/images/detailed/162/orig_qoqw-zi.jpg</t>
  </si>
  <si>
    <t>H-002</t>
  </si>
  <si>
    <t>Шлем кроссовый 129 (визор прозрачный, +солнцезащитные очки) (size: M) черный матовый "CROSS HELMET"</t>
  </si>
  <si>
    <t>https://b2beez.ru/images/detailed/162/orig_syn0-e7.jpg</t>
  </si>
  <si>
    <t>H-003</t>
  </si>
  <si>
    <t>Шлем кроссовый 129 (визор прозрачный, +солнцезащитные очки) (size: L) черный матовый "CROSS HELMET"</t>
  </si>
  <si>
    <t>https://b2beez.ru/images/detailed/162/orig_0bas-1w.jpg</t>
  </si>
  <si>
    <t>H-004</t>
  </si>
  <si>
    <t>Шлем кроссовый 129 (визор прозрачный, +солнцезащитные очки) (size: XL) черный матовый "CROSS HELMET"</t>
  </si>
  <si>
    <t>https://b2beez.ru/images/detailed/162/orig_zn8c-vo.jpg</t>
  </si>
  <si>
    <t>H-005</t>
  </si>
  <si>
    <t>Шлем кроссовый 129 (визор прозрачный, +солнцезащитные очки) (size: XL) черный, зеленый "CROSS HELMET"</t>
  </si>
  <si>
    <t>https://b2beez.ru/images/detailed/162/orig_3462-le.jpg</t>
  </si>
  <si>
    <t>H-006</t>
  </si>
  <si>
    <t>Шлем кроссовый 129 (визор прозрачный, +солнцезащитные очки) (size: L) черный, зеленый "CROSS HELMET"</t>
  </si>
  <si>
    <t>https://b2beez.ru/images/detailed/162/orig_zjwu-ki.jpg</t>
  </si>
  <si>
    <t>H-007</t>
  </si>
  <si>
    <t>Шлем кроссовый 129 (визор прозрачный, +солнцезащитные очки) (size: M) черный, зеленый "CROSS HELMET"</t>
  </si>
  <si>
    <t>https://b2beez.ru/images/detailed/162/orig_6os4-b4.jpg</t>
  </si>
  <si>
    <t>H-008</t>
  </si>
  <si>
    <t>Шлем кроссовый 129 (визор прозрачный, +солнцезащитные очки) (size: S) черный, зеленый "CROSS HELMET"</t>
  </si>
  <si>
    <t>https://b2beez.ru/images/detailed/162/orig_dy20-1v.jpg</t>
  </si>
  <si>
    <t>H-011</t>
  </si>
  <si>
    <t>Шлем кроссовый 129 (визор прозрачный, +солнцезащитные очки) (size: XL) белый "CROSS HELMET"</t>
  </si>
  <si>
    <t>https://b2beez.ru/images/detailed/162/orig_nowe-oq.jpg</t>
  </si>
  <si>
    <t>H-016</t>
  </si>
  <si>
    <t>https://b2beez.ru/images/detailed/163/orig_vl6i-yu.jpg</t>
  </si>
  <si>
    <t>H-017</t>
  </si>
  <si>
    <t>https://b2beez.ru/images/detailed/163/orig_etdf-i0.jpg</t>
  </si>
  <si>
    <t>H-018</t>
  </si>
  <si>
    <t>https://b2beez.ru/images/detailed/163/orig_iiui-84.jpg</t>
  </si>
  <si>
    <t>H-019</t>
  </si>
  <si>
    <t>https://b2beez.ru/images/detailed/163/orig_mb06-ib.jpg</t>
  </si>
  <si>
    <t>H-020</t>
  </si>
  <si>
    <t>https://b2beez.ru/images/detailed/163/orig_ypou-hn.jpg</t>
  </si>
  <si>
    <t>H-021</t>
  </si>
  <si>
    <t>Шлем кроссовый 129 (визор прозрачный, +солнцезащитные очки) (size: S) белый "CROSS HELMET"</t>
  </si>
  <si>
    <t>https://b2beez.ru/images/detailed/163/orig_dah1-z4.jpg</t>
  </si>
  <si>
    <t>H-022</t>
  </si>
  <si>
    <t>Шлем кроссовый 129 (визор прозрачный, +солнцезащитные очки) (size: M) белый "CROSS HELMET"</t>
  </si>
  <si>
    <t>https://b2beez.ru/images/detailed/163/orig_y5i1-tw.jpg</t>
  </si>
  <si>
    <t>H-025</t>
  </si>
  <si>
    <t>https://b2beez.ru/images/detailed/163/orig_zs5f-mw.jpg</t>
  </si>
  <si>
    <t>H-026</t>
  </si>
  <si>
    <t>Шлем кроссовый 129 (визор прозрачный, +солнцезащитные очки) (size: S) cиний "CROSS HELMET"</t>
  </si>
  <si>
    <t>https://b2beez.ru/images/detailed/163/orig_gulj-by.jpg</t>
  </si>
  <si>
    <t>H-027</t>
  </si>
  <si>
    <t>Шлем кроссовый 129 (визор прозрачный, +солнцезащитные очки) (size: M) cиний "CROSS HELMET"</t>
  </si>
  <si>
    <t>https://b2beez.ru/images/detailed/163/orig_b2bo-3y.jpg</t>
  </si>
  <si>
    <t>H-029</t>
  </si>
  <si>
    <t>Шлем кроссовый 129 (визор прозрачный, +солнцезащитные очки) (size: XL) cиний "CROSS HELMET"</t>
  </si>
  <si>
    <t>https://b2beez.ru/images/detailed/163/orig_6m1v-je.jpg</t>
  </si>
  <si>
    <t>H-0147</t>
  </si>
  <si>
    <t>Шлем кроссовый (mod:1) (визор, +солнцезащитные очки) (size: S)</t>
  </si>
  <si>
    <t>https://b2beez.ru/images/detailed/163/orig_yp3h-9k.jpg</t>
  </si>
  <si>
    <t>H-0149</t>
  </si>
  <si>
    <t>Шлем кроссовый (mod:1) (визор, +солнцезащитные очки) (size: M)</t>
  </si>
  <si>
    <t>https://b2beez.ru/images/detailed/163/orig_4whm-xf.jpg</t>
  </si>
  <si>
    <t>H-0150</t>
  </si>
  <si>
    <t>Шлем кроссовый (mod:1) (визор, +солнцезащитные очки) (size: L)</t>
  </si>
  <si>
    <t>https://b2beez.ru/images/detailed/163/orig_x0zn-r9.jpg</t>
  </si>
  <si>
    <t>H-2147</t>
  </si>
  <si>
    <t>Шлем кроссовый (mod:4) (визор, +солнцезащитные очки) (size: S)</t>
  </si>
  <si>
    <t>https://b2beez.ru/images/detailed/163/orig_npae-h9.jpg</t>
  </si>
  <si>
    <t>H-2987</t>
  </si>
  <si>
    <t>Шлем кроссовый (mod:4) (визор, +солнцезащитные очки) (size: M)</t>
  </si>
  <si>
    <t>https://b2beez.ru/images/detailed/163/orig_lzaz-f1.jpg</t>
  </si>
  <si>
    <t>H-2814</t>
  </si>
  <si>
    <t>Шлем кроссовый (mod:4) (визор, +солнцезащитные очки) (size: L)</t>
  </si>
  <si>
    <t>https://b2beez.ru/images/detailed/163/orig_1rjg-l4.jpg</t>
  </si>
  <si>
    <t>Каски</t>
  </si>
  <si>
    <t>I-294-U1</t>
  </si>
  <si>
    <t>Шлем-каска (size:M, черный, узор Venom) (Повреждения)</t>
  </si>
  <si>
    <t>K-1692</t>
  </si>
  <si>
    <t>Шлем-каска (mod:AF-81) (детский, size:S, розовый) "DOT"</t>
  </si>
  <si>
    <t>https://b2beez.ru/images/detailed/166/6474467454.jpg</t>
  </si>
  <si>
    <t>I-249</t>
  </si>
  <si>
    <t>Шлем-каска (size:M, голубой, узор Smiley)</t>
  </si>
  <si>
    <t>https://b2beez.ru/images/detailed/165/orig_6tfl-vf.jpg</t>
  </si>
  <si>
    <t>I-321</t>
  </si>
  <si>
    <t>Шлем-каска (size:M, белый) "HELMET"</t>
  </si>
  <si>
    <t>https://b2beez.ru/images/detailed/165/orig_fzzu-6g.jpg</t>
  </si>
  <si>
    <t>I-345</t>
  </si>
  <si>
    <t>Шлем-каска (size:L, белый) "HELMET"</t>
  </si>
  <si>
    <t>https://b2beez.ru/images/detailed/165/6494809355.jpg</t>
  </si>
  <si>
    <t>I-450</t>
  </si>
  <si>
    <t>Шлем-каска (size:L, серый) "HELMET"</t>
  </si>
  <si>
    <t>https://b2beez.ru/images/detailed/165/orig_r62t-ax.jpg</t>
  </si>
  <si>
    <t>I-563</t>
  </si>
  <si>
    <t>Шлем-каска (size:M, черный, матовый) "HELMET"</t>
  </si>
  <si>
    <t>https://b2beez.ru/images/detailed/165/orig_33g5-pk.jpg</t>
  </si>
  <si>
    <t>I-580</t>
  </si>
  <si>
    <t>Шлем-каска (size:L, черный, матовый) "HELMET"</t>
  </si>
  <si>
    <t>https://b2beez.ru/images/detailed/205/1_j3u3-ad.jpg</t>
  </si>
  <si>
    <t>I-640</t>
  </si>
  <si>
    <t>Шлем-каска (size:M, черный, глянец) "HELMET"</t>
  </si>
  <si>
    <t>https://b2beez.ru/images/detailed/165/orig_agyi-j6.jpg</t>
  </si>
  <si>
    <t>I-631</t>
  </si>
  <si>
    <t>Шлем-каска (size:L, черный, глянец) "HELMET"</t>
  </si>
  <si>
    <t>https://b2beez.ru/images/detailed/165/orig_3391-oo.jpg</t>
  </si>
  <si>
    <t>I-354</t>
  </si>
  <si>
    <t>Шлем-каска (size:M, красный)</t>
  </si>
  <si>
    <t>https://b2beez.ru/images/detailed/165/6546029346.jpg</t>
  </si>
  <si>
    <t>I-380</t>
  </si>
  <si>
    <t>Шлем-каска (size:L, красный)</t>
  </si>
  <si>
    <t>https://b2beez.ru/images/detailed/165/6546029346_i1jv-vb.jpg</t>
  </si>
  <si>
    <t>I-574</t>
  </si>
  <si>
    <t>Шлем-каска (size:M, серый)</t>
  </si>
  <si>
    <t>https://b2beez.ru/images/detailed/165/6546029308.jpg</t>
  </si>
  <si>
    <t>I-714</t>
  </si>
  <si>
    <t>Шлем-каска (size:M, черный матовый, узор Skull)</t>
  </si>
  <si>
    <t>https://b2beez.ru/images/detailed/165/orig_ixxi-43.jpg</t>
  </si>
  <si>
    <t>I-395</t>
  </si>
  <si>
    <t>Шлем-каска (size:M, черный, узор Athletic)</t>
  </si>
  <si>
    <t>https://b2beez.ru/images/detailed/165/orig_9p5d-b2.jpg</t>
  </si>
  <si>
    <t>Открытые</t>
  </si>
  <si>
    <t>I-198</t>
  </si>
  <si>
    <t>Шлем открытый (size S-XL, чёрный матовый) "BEEZMOTO"</t>
  </si>
  <si>
    <t>https://b2beez.ru/images/detailed/165/orig_sybm-sr.jpg</t>
  </si>
  <si>
    <t>I-201</t>
  </si>
  <si>
    <t>Шлем открытый (size S-XL, красный) "BEEZMOTO"</t>
  </si>
  <si>
    <t>https://b2beez.ru/images/detailed/165/orig_58yz-tk.jpg</t>
  </si>
  <si>
    <t>S-427</t>
  </si>
  <si>
    <t>Шлем открытый (M-L, ABS пластик, прозрачный визор, рзовый) "BEEZMOTO"</t>
  </si>
  <si>
    <t>https://b2beez.ru/images/detailed/181/orig_lah1-bi.jpg</t>
  </si>
  <si>
    <t>S-6931</t>
  </si>
  <si>
    <t>Шлем открытый (M-L, ABS пластик, прозрачный визор, фиолетовый) "BEEZMOTO"</t>
  </si>
  <si>
    <t>https://b2beez.ru/images/detailed/182/orig_rz44-pz.jpg</t>
  </si>
  <si>
    <t>S-471</t>
  </si>
  <si>
    <t>Шлем открытый (M-L, ABS пластик, прозрачный визор, глянцевый, черный) "BEEZMOTO"</t>
  </si>
  <si>
    <t>https://b2beez.ru/images/detailed/181/6911210772.jpg</t>
  </si>
  <si>
    <t>I-224-U3</t>
  </si>
  <si>
    <t>Шлем открытый (ABS пластик, прозрачный визор, желтый) "BEEZMOTO"</t>
  </si>
  <si>
    <t>I-224-U4</t>
  </si>
  <si>
    <t>Шлем открытый (ABS пластик, прозрачный визор, желтый) "BEEZMOTO" (Не комплект)</t>
  </si>
  <si>
    <t>S-716-U1</t>
  </si>
  <si>
    <t>Шлем открытый (M-L, ABS пластик, прозрачный визор, красный) "BEEZMOTO" (Повреждения)</t>
  </si>
  <si>
    <t>I-225-U1</t>
  </si>
  <si>
    <t>Шлем открытый (ABS пластик, прозрачный визор, синий) "BEEZMOTO" (нет визора, дефект ремешка)</t>
  </si>
  <si>
    <t>S-365-U1</t>
  </si>
  <si>
    <t>Шлем открытый (M-L, ABS пластик, прозрачный визор, серый) "BEEZMOTO" м (нет визора, нет крепления)</t>
  </si>
  <si>
    <t>S-427-U1</t>
  </si>
  <si>
    <t>Шлем открытый (M-L, ABS пластик, прозрачный визор, рзовый) "BEEZMOTO" (нарушение лкп в двух местах, нет визора)</t>
  </si>
  <si>
    <t>I-201-U1</t>
  </si>
  <si>
    <t>S-716-U2</t>
  </si>
  <si>
    <t>S-471-U1</t>
  </si>
  <si>
    <t>Шлем открытый (M-L, ABS пластик, прозрачный визор, глянцевый, черный) "BEEZMOTO" (нет визора, нарушение лкп)</t>
  </si>
  <si>
    <t>S-471-U2</t>
  </si>
  <si>
    <t>Шлем открытый (M-L, ABS пластик, прозрачный визор, глянцевый, черный) "BEEZMOTO" (нарушение лкп, нет визора)</t>
  </si>
  <si>
    <t>S-716-U3</t>
  </si>
  <si>
    <t>I-201-U2</t>
  </si>
  <si>
    <t>Шлем открытый (M-L, ABS пластик, прозрачный визор, красный) "BEEZMOTO" (Нарушение лкп)</t>
  </si>
  <si>
    <t>20060105-U2</t>
  </si>
  <si>
    <t>Шлем открытый (ABS пластик, прозрачный визор, черный-матовый) "BEEZMOTO" (Повреждения)</t>
  </si>
  <si>
    <t>I-198-U1</t>
  </si>
  <si>
    <t>Шлем открытый (size S-XL, чёрный матовый) "BEEZMOTO" (Повреждения)</t>
  </si>
  <si>
    <t>Шлем открытый (ABS пластик, прозрачный визор, черный-матовый) "BEEZMOTO"</t>
  </si>
  <si>
    <t>https://b2beez.ru/images/detailed/48/orig_9pcw-n9.jpg</t>
  </si>
  <si>
    <t>I-252</t>
  </si>
  <si>
    <t>Шлем открытый (ABS пластик, черный визор, синий) "BEEZMOTO"</t>
  </si>
  <si>
    <t>https://b2beez.ru/images/detailed/165/orig_63db-iq.jpg</t>
  </si>
  <si>
    <t>I-224</t>
  </si>
  <si>
    <t>https://b2beez.ru/images/detailed/165/orig_56wa-94.jpg</t>
  </si>
  <si>
    <t>I-225</t>
  </si>
  <si>
    <t>Шлем открытый (ABS пластик, прозрачный визор, синий) "BEEZMOTO"</t>
  </si>
  <si>
    <t>https://b2beez.ru/images/detailed/165/orig_1ebr-74.jpg</t>
  </si>
  <si>
    <t>I-226</t>
  </si>
  <si>
    <t>Шлем открытый (ABS пластик, прозрачный визор, красный, ) "BEEZMOTO"</t>
  </si>
  <si>
    <t>https://b2beez.ru/images/detailed/165/6482626301.jpg</t>
  </si>
  <si>
    <t>Расходники и запчасти</t>
  </si>
  <si>
    <t>V-1051</t>
  </si>
  <si>
    <t>Стекло (визор) для шлема-интеграл (прозрачное) "HNJ"</t>
  </si>
  <si>
    <t>https://b2beez.ru/images/detailed/184/7107394922.jpg</t>
  </si>
  <si>
    <t>Скейтерские</t>
  </si>
  <si>
    <t>Трансформеры</t>
  </si>
  <si>
    <t>T-1008</t>
  </si>
  <si>
    <t>Шлем трансформер (mod:1) (size:S, + солнцезащитные очки) VGV "BEEZMOTO"</t>
  </si>
  <si>
    <t>https://b2beez.ru/images/detailed/182/orig_9ody-bv.jpg</t>
  </si>
  <si>
    <t>I-924</t>
  </si>
  <si>
    <t>Шлем трансформер (mod:2) (size:S, + солнцезащитные очки) "VGV"</t>
  </si>
  <si>
    <t>https://b2beez.ru/images/detailed/165/orig_8e13-nq.jpg</t>
  </si>
  <si>
    <t>T-381-U1</t>
  </si>
  <si>
    <t>Шлем трансформер (size:M-XL, белый + солнцезащитные очки) "NEVR" (Трещина)</t>
  </si>
  <si>
    <t>T-769-U1</t>
  </si>
  <si>
    <t>Шлем трансформер (mod:1) (size:S, + солнцезащитные очки) "Samurai" ( не комплект)</t>
  </si>
  <si>
    <t>T-381-U2</t>
  </si>
  <si>
    <t>Шлем трансформер (size:M-XL, белый + солнцезащитные очки) "NEVR" (нарушение лкп)</t>
  </si>
  <si>
    <t>T-4189</t>
  </si>
  <si>
    <t>Шлем трансформер (Scorpion mod.2-50) (size.M) 'VGV'</t>
  </si>
  <si>
    <t>https://b2beez.ru/images/detailed/183/orig_elbn-1s.jpg</t>
  </si>
  <si>
    <t>H-4187</t>
  </si>
  <si>
    <t>Шлем трансформер (Scorpion mod.2-50) (size.L) "VGV'</t>
  </si>
  <si>
    <t>https://b2beez.ru/images/detailed/164/orig_e64e-ii.jpg</t>
  </si>
  <si>
    <t>T-435</t>
  </si>
  <si>
    <t>Шлем трансформер (mod:1) (size:S, + солнцезащитные очки) "MY HELMET"</t>
  </si>
  <si>
    <t>https://b2beez.ru/images/detailed/205/1_g6eb-1z.jpg</t>
  </si>
  <si>
    <t>T-498</t>
  </si>
  <si>
    <t>Шлем трансформер (mod:1) (size:XL, + солнцезащитные очки) MY HELMET "BEEZMOTO"</t>
  </si>
  <si>
    <t>https://b2beez.ru/images/detailed/183/orig_nw1r-gb.jpg</t>
  </si>
  <si>
    <t>T-458</t>
  </si>
  <si>
    <t>Шлем трансформер (mod:1) (size:XXL, + солнцезащитные очки) MY HELMET "BEEZMOTO"</t>
  </si>
  <si>
    <t>https://b2beez.ru/images/detailed/183/orig_5lau-pe.jpg</t>
  </si>
  <si>
    <t>T-687</t>
  </si>
  <si>
    <t>Шлем трансформер (mod:1) (size:S, + солнцезащитные очки) 46 "BEEZMOTO"</t>
  </si>
  <si>
    <t>https://b2beez.ru/images/detailed/183/orig_73ca-jl.jpg</t>
  </si>
  <si>
    <t>T-689</t>
  </si>
  <si>
    <t>Шлем трансформер (mod:1) (size:M, + солнцезащитные очки) 46 "BEEZMOTO"</t>
  </si>
  <si>
    <t>https://b2beez.ru/images/detailed/183/orig_lfmo-8n.jpg</t>
  </si>
  <si>
    <t>T-684</t>
  </si>
  <si>
    <t>Шлем трансформер (mod:1) (size:L, + солнцезащитные очки) 46 "BEEZMOTO"</t>
  </si>
  <si>
    <t>https://b2beez.ru/images/detailed/183/orig_8gsu-yf.jpg</t>
  </si>
  <si>
    <t>T-696</t>
  </si>
  <si>
    <t>Шлем трансформер (mod:1) (size:XL, + солнцезащитные очки) "46"</t>
  </si>
  <si>
    <t>https://b2beez.ru/images/detailed/183/orig_00y1-rs.jpg</t>
  </si>
  <si>
    <t>T-634</t>
  </si>
  <si>
    <t>Шлем трансформер (mod:1) (size:XXL, + солнцезащитные очки) 46 "BEEZMOTO"</t>
  </si>
  <si>
    <t>https://b2beez.ru/images/detailed/183/orig_rn39-9h.jpg</t>
  </si>
  <si>
    <t>T-778</t>
  </si>
  <si>
    <t>Шлем трансформер (mod:1) (size:L, + солнцезащитные очки) Samurai "BEEZMOTO"</t>
  </si>
  <si>
    <t>https://b2beez.ru/images/detailed/183/orig_04o4-qq.jpg</t>
  </si>
  <si>
    <t>T-780</t>
  </si>
  <si>
    <t>Шлем трансформер (mod:1) (size:XL, + солнцезащитные очки) Samurai "BEEZMOTO"</t>
  </si>
  <si>
    <t>https://b2beez.ru/images/detailed/183/orig_3czw-0t.jpg</t>
  </si>
  <si>
    <t>T-784</t>
  </si>
  <si>
    <t>Шлем трансформер (mod:1) (size:XXL, + солнцезащитные очки) Samurai "BEEZMOTO"</t>
  </si>
  <si>
    <t>https://b2beez.ru/images/detailed/183/6245007715.jpg</t>
  </si>
  <si>
    <t>Бейсболки и банданы</t>
  </si>
  <si>
    <t>B-3862</t>
  </si>
  <si>
    <t>Бейсболка "FERNANDO" (снепбек, черно-оранжевая)</t>
  </si>
  <si>
    <t>https://b2beez.ru/images/detailed/154/orig_3s44-d8.jpg</t>
  </si>
  <si>
    <t>B-5507</t>
  </si>
  <si>
    <t>Бейсболка "93 MARC MARQUEZ" (красно-черн, 100% хлопок)</t>
  </si>
  <si>
    <t>https://b2beez.ru/images/detailed/154/6090598422.jpg</t>
  </si>
  <si>
    <t>B-596</t>
  </si>
  <si>
    <t>Бейсболка "KTM" (оранжево-черная,100% хлопок)</t>
  </si>
  <si>
    <t>https://b2beez.ru/images/detailed/154/orig_4b1s-b0.jpg</t>
  </si>
  <si>
    <t>B-1599</t>
  </si>
  <si>
    <t>Бейсболка "KTM RACING" (черная, 100% хлопок)</t>
  </si>
  <si>
    <t>https://b2beez.ru/images/detailed/154/orig_12ke-ez.jpg</t>
  </si>
  <si>
    <t>B-4085</t>
  </si>
  <si>
    <t>Бейсболка "FERRARI" (голубая, 100% хлопок)</t>
  </si>
  <si>
    <t>https://b2beez.ru/images/detailed/154/orig_xm3s-fh.jpg</t>
  </si>
  <si>
    <t>B-1204</t>
  </si>
  <si>
    <t>Бейсболка "BMW" (черная, 100% хлопок)</t>
  </si>
  <si>
    <t>https://b2beez.ru/images/detailed/154/orig_moj1-kx.jpg</t>
  </si>
  <si>
    <t>B-8696</t>
  </si>
  <si>
    <t>Бейсболка "AUDI" (черная, 100% хлопок)</t>
  </si>
  <si>
    <t>https://b2beez.ru/images/detailed/154/orig_yncp-mt.jpg</t>
  </si>
  <si>
    <t>B-0666</t>
  </si>
  <si>
    <t>Бейсболка "AUDI" (красная, 100% хлопок)</t>
  </si>
  <si>
    <t>https://b2beez.ru/images/detailed/154/6090598382.jpg</t>
  </si>
  <si>
    <t>B-6254</t>
  </si>
  <si>
    <t>Бейсболка "AUDI" (серая, 100% хлопок)</t>
  </si>
  <si>
    <t>https://b2beez.ru/images/detailed/154/6090598444.jpg</t>
  </si>
  <si>
    <t>B-3677</t>
  </si>
  <si>
    <t>Бейсболка "Mersedes-Benz" (черная, 100% хлопок)</t>
  </si>
  <si>
    <t>https://b2beez.ru/images/detailed/154/orig_cntk-3f.jpg</t>
  </si>
  <si>
    <t>B-5817</t>
  </si>
  <si>
    <t>https://b2beez.ru/images/detailed/154/6090598509.jpg</t>
  </si>
  <si>
    <t>B-9272</t>
  </si>
  <si>
    <t>Бейсболка "SUZUKI" (чёрная)</t>
  </si>
  <si>
    <t>https://b2beez.ru/images/detailed/154/6242635516.jpg</t>
  </si>
  <si>
    <t>B-9293</t>
  </si>
  <si>
    <t>Бейсболка "Russia" (красно-черная)</t>
  </si>
  <si>
    <t>B-5705</t>
  </si>
  <si>
    <t>Бейсболка "93 MARC MARQUEZ" (черно-оранж, 100% хлопок)</t>
  </si>
  <si>
    <t>https://b2beez.ru/images/detailed/154/6090598407.jpg</t>
  </si>
  <si>
    <t>B-8701</t>
  </si>
  <si>
    <t>Бейсболка "СССР" (черная)</t>
  </si>
  <si>
    <t>https://b2beez.ru/images/detailed/154/orig_s2lo-2y.jpg</t>
  </si>
  <si>
    <t>B-8596</t>
  </si>
  <si>
    <t>Бейсболка "Ice" (снепбек, серая)</t>
  </si>
  <si>
    <t>https://b2beez.ru/images/detailed/154/orig_efb2-j0.jpg</t>
  </si>
  <si>
    <t>B-9389</t>
  </si>
  <si>
    <t>Бейсболка "Toyta" (черная)</t>
  </si>
  <si>
    <t>https://b2beez.ru/images/detailed/154/orig_xwr3-p9.jpg</t>
  </si>
  <si>
    <t>B-9358</t>
  </si>
  <si>
    <t>Бейсболка "GTI" (черная)</t>
  </si>
  <si>
    <t>https://b2beez.ru/images/detailed/154/orig_gyn2-9c.jpg</t>
  </si>
  <si>
    <t>B-6552</t>
  </si>
  <si>
    <t>Бейсболка "BMW M" (черная)</t>
  </si>
  <si>
    <t>https://b2beez.ru/images/detailed/154/orig_uawd-xk.jpg</t>
  </si>
  <si>
    <t>B-5502</t>
  </si>
  <si>
    <t>Бейсболка "finik" (черная)</t>
  </si>
  <si>
    <t>https://b2beez.ru/images/detailed/154/6090598414.jpg</t>
  </si>
  <si>
    <t>B-2541</t>
  </si>
  <si>
    <t>Бейсболка "Капрал" (снепбек, хакки)</t>
  </si>
  <si>
    <t>https://b2beez.ru/images/detailed/154/orig_vhx6-sx.jpg</t>
  </si>
  <si>
    <t>B-3705</t>
  </si>
  <si>
    <t>Бейсболка "Сat" (снепбек, серая)</t>
  </si>
  <si>
    <t>https://b2beez.ru/images/detailed/154/orig_zjq3-jg.jpg</t>
  </si>
  <si>
    <t>B-4311</t>
  </si>
  <si>
    <t>Бейсболка "Садовод" (снепбек, черная)</t>
  </si>
  <si>
    <t>B-1384</t>
  </si>
  <si>
    <t>Бейсболка "Масть" (снепбек, черно-белая)</t>
  </si>
  <si>
    <t>https://b2beez.ru/images/detailed/154/orig_ta0g-73.jpg</t>
  </si>
  <si>
    <t>B-6306</t>
  </si>
  <si>
    <t>Бейсболка "Valour" (снепбек, черная)</t>
  </si>
  <si>
    <t>https://b2beez.ru/images/detailed/154/orig_nsyp-h4.jpg</t>
  </si>
  <si>
    <t>B-1276</t>
  </si>
  <si>
    <t>Бейсболка "bee" (снепбек, феолетово-голубая)</t>
  </si>
  <si>
    <t>https://b2beez.ru/images/detailed/154/orig_9baa-0v.jpg</t>
  </si>
  <si>
    <t>B-0011</t>
  </si>
  <si>
    <t>Бейсболка "CLA" (снепбек, красно-синяя)</t>
  </si>
  <si>
    <t>https://b2beez.ru/images/detailed/154/6090376395.jpg</t>
  </si>
  <si>
    <t>B-1162</t>
  </si>
  <si>
    <t>Бейсболка "Бесконечность" (снепбек, черная)</t>
  </si>
  <si>
    <t>https://b2beez.ru/images/detailed/154/orig_yk13-q9.jpg</t>
  </si>
  <si>
    <t>B-4280</t>
  </si>
  <si>
    <t>Бейсболка "NBA" (снепбек, синяя)</t>
  </si>
  <si>
    <t>https://b2beez.ru/images/detailed/154/orig_g5xi-yp.jpg</t>
  </si>
  <si>
    <t>B-7720</t>
  </si>
  <si>
    <t>Бейсболка "Kings" (снепбек, серая)</t>
  </si>
  <si>
    <t>https://b2beez.ru/images/detailed/154/orig_bhk9-kc.jpg</t>
  </si>
  <si>
    <t>B-3575</t>
  </si>
  <si>
    <t>Бейсболка "NBA BULLS" (снепбек, черная)</t>
  </si>
  <si>
    <t>https://b2beez.ru/images/detailed/154/orig_2vj2-v2.jpg</t>
  </si>
  <si>
    <t>B-882</t>
  </si>
  <si>
    <t>Бейсболка "SUZUKI" (синяя)</t>
  </si>
  <si>
    <t>https://b2beez.ru/images/detailed/154/orig_ok8h-yi.jpg</t>
  </si>
  <si>
    <t>B-1200</t>
  </si>
  <si>
    <t>Бейсболка "KOMATCU" (синяя)</t>
  </si>
  <si>
    <t>https://b2beez.ru/images/detailed/154/orig_bghf-8f.jpg</t>
  </si>
  <si>
    <t>B-592</t>
  </si>
  <si>
    <t>Бейсболка "HONDA AND MARC MARQUEZ" (черно-красная, 100% хлопок)</t>
  </si>
  <si>
    <t>https://b2beez.ru/images/detailed/154/orig_q8ev-yw.jpg</t>
  </si>
  <si>
    <t>B-593</t>
  </si>
  <si>
    <t>Бейсболка "HONDA AND MARC MARQUEZ" (красно-черная, 100% хлопок)</t>
  </si>
  <si>
    <t>https://b2beez.ru/images/detailed/154/orig_qxhj-m9.jpg</t>
  </si>
  <si>
    <t>B-6586</t>
  </si>
  <si>
    <t>Бейсболка "KTM RACING" (черно-оранжевая, 100% хлопок)</t>
  </si>
  <si>
    <t>https://b2beez.ru/images/detailed/154/orig_3kot-sm.jpg</t>
  </si>
  <si>
    <t>B-597</t>
  </si>
  <si>
    <t>Бейсболка "KTM" (черно-оранжевая, 100% хлопок)</t>
  </si>
  <si>
    <t>https://b2beez.ru/images/detailed/154/orig_kco7-8s.jpg</t>
  </si>
  <si>
    <t>B-880</t>
  </si>
  <si>
    <t>Бейсболка "# 10" (черная)</t>
  </si>
  <si>
    <t>O-1249</t>
  </si>
  <si>
    <t>Бейсболка "MONSTER ENERGY" (желтая 100% хлопок)</t>
  </si>
  <si>
    <t>https://b2beez.ru/images/detailed/171/6242611057.jpg</t>
  </si>
  <si>
    <t>O-1533</t>
  </si>
  <si>
    <t>Бандана (FOX, черная, mod:WL-ED005) "KML"</t>
  </si>
  <si>
    <t>https://b2beez.ru/images/detailed/171/6265194631.jpg</t>
  </si>
  <si>
    <t>B-852</t>
  </si>
  <si>
    <t>Бейсболка "46" (черная, синий козырек)</t>
  </si>
  <si>
    <t>https://b2beez.ru/images/detailed/154/6090598497.jpg</t>
  </si>
  <si>
    <t>B-862</t>
  </si>
  <si>
    <t>Бейсболка (черная, рисунок солнце-луна)</t>
  </si>
  <si>
    <t>https://b2beez.ru/images/detailed/154/6090843825.jpg</t>
  </si>
  <si>
    <t>B-4056</t>
  </si>
  <si>
    <t>Бейсболка мультибренд "KTM" (снепбек, сетка, серая) (mod.1)</t>
  </si>
  <si>
    <t>https://b2beez.ru/images/detailed/154/orig_w45p-nm.jpg</t>
  </si>
  <si>
    <t>B-6377</t>
  </si>
  <si>
    <t>Бейсболка "HND" (снепбек, сетка, серая)</t>
  </si>
  <si>
    <t>https://b2beez.ru/images/detailed/154/6128600968.jpg</t>
  </si>
  <si>
    <t>B-9150</t>
  </si>
  <si>
    <t>Бейсболка мультибренд "YMH" "Monster Energy" (снепбек, сетка, черна-зеленая)</t>
  </si>
  <si>
    <t>https://b2beez.ru/images/detailed/154/orig_rxj4-06.jpg</t>
  </si>
  <si>
    <t>B-6238</t>
  </si>
  <si>
    <t>Бейсболка "MCLaren" (снепбек, черно-оранжевая)</t>
  </si>
  <si>
    <t>B-7099</t>
  </si>
  <si>
    <t>Бейсболка мультибренд "KTM" (снепбек, оранжевая)</t>
  </si>
  <si>
    <t>https://b2beez.ru/images/detailed/154/orig_y6u0-a4.jpg</t>
  </si>
  <si>
    <t>Дождевики/чехлы</t>
  </si>
  <si>
    <t>H-5872</t>
  </si>
  <si>
    <t>Чехол дождевик для мотоцикла и велосипеда (M-200*90*100см, черно-серый) "BEEZMOTO"</t>
  </si>
  <si>
    <t>https://b2beez.ru/images/detailed/164/orig_l5f4-q7.jpg</t>
  </si>
  <si>
    <t>H-5733</t>
  </si>
  <si>
    <t>Чехол дождевик для мотоцикла и велосипеда (XXXXL-295*110*140см, черно-серый) "BEEZMOTO"</t>
  </si>
  <si>
    <t>https://b2beez.ru/images/detailed/164/orig_5ktm-7r.jpg</t>
  </si>
  <si>
    <t>C-1654</t>
  </si>
  <si>
    <t>Плащ дождевик для езды на скутере (желтый, xxl) "Q"</t>
  </si>
  <si>
    <t>https://b2beez.ru/images/detailed/155/6281278953.jpg</t>
  </si>
  <si>
    <t>C-1656</t>
  </si>
  <si>
    <t>Плащ дождевик для езды на скутере (красный, xxl) "Q"</t>
  </si>
  <si>
    <t>https://b2beez.ru/images/detailed/155/6321510471.jpg</t>
  </si>
  <si>
    <t>C-1657</t>
  </si>
  <si>
    <t>Плащ дождевик для езды на скутере (фиолетовый, xxl) "Q"</t>
  </si>
  <si>
    <t>https://b2beez.ru/images/detailed/155/6286959181.jpg</t>
  </si>
  <si>
    <t>Защита</t>
  </si>
  <si>
    <t>Z-0160</t>
  </si>
  <si>
    <t>Защита "черепаха" (XXXXL) "PRO-BIKER" (mod.3)</t>
  </si>
  <si>
    <t>https://b2beez.ru/images/detailed/188/6146762659_zee6-6n.jpg</t>
  </si>
  <si>
    <t>Z-0768</t>
  </si>
  <si>
    <t>Защита "черепаха" (M) (mod.2)</t>
  </si>
  <si>
    <t>https://b2beez.ru/images/detailed/188/orig_70cn-op.jpg</t>
  </si>
  <si>
    <t>Z-971</t>
  </si>
  <si>
    <t>Защита жилет (size: L, XL, черный) "FOX"</t>
  </si>
  <si>
    <t>https://b2beez.ru/images/detailed/204/Z-971-3.jpg</t>
  </si>
  <si>
    <t>O-1292</t>
  </si>
  <si>
    <t>Щитки (наколенники) (mod:K12, серые) "VEMAR"</t>
  </si>
  <si>
    <t>https://b2beez.ru/images/detailed/171/orig_zvnm-np.jpg</t>
  </si>
  <si>
    <t>O-1231</t>
  </si>
  <si>
    <t>Щитки (наколенники) (зеленые) "Pro-Biker"</t>
  </si>
  <si>
    <t>https://b2beez.ru/images/detailed/171/orig_tgh8-ut.jpg</t>
  </si>
  <si>
    <t>O-1234</t>
  </si>
  <si>
    <t>Щитки (наколенники) (черные) "Pro-Biker"</t>
  </si>
  <si>
    <t>https://b2beez.ru/images/detailed/171/orig_5gsy-un.jpg</t>
  </si>
  <si>
    <t>O-1238</t>
  </si>
  <si>
    <t>Щитки (наколенники) (белые) "Pro-Biker"</t>
  </si>
  <si>
    <t>https://b2beez.ru/images/detailed/171/orig_idec-9a.jpg</t>
  </si>
  <si>
    <t>C-3038</t>
  </si>
  <si>
    <t>Защита "черепаха" (M) (mod.3)</t>
  </si>
  <si>
    <t>https://b2beez.ru/images/detailed/156/orig_efqy-vi.jpg</t>
  </si>
  <si>
    <t>C-3036</t>
  </si>
  <si>
    <t>Защита "черепаха" (XL) (mod.3)</t>
  </si>
  <si>
    <t>https://b2beez.ru/images/detailed/156/orig_oekk-21.jpg</t>
  </si>
  <si>
    <t>C-3037</t>
  </si>
  <si>
    <t>Защита "черепаха" (L) (mod.3)</t>
  </si>
  <si>
    <t>https://b2beez.ru/images/detailed/156/orig_g5ia-4v.jpg</t>
  </si>
  <si>
    <t>C-3039</t>
  </si>
  <si>
    <t>Защита "черепаха" (S) (mod.3)</t>
  </si>
  <si>
    <t>https://b2beez.ru/images/detailed/156/orig_vdfv-ix.jpg</t>
  </si>
  <si>
    <t>C-3040</t>
  </si>
  <si>
    <t>Защита "черепаха" (XXXL) (mod.3)</t>
  </si>
  <si>
    <t>https://b2beez.ru/images/detailed/156/orig_j24u-ck.jpg</t>
  </si>
  <si>
    <t>Z-2459</t>
  </si>
  <si>
    <t>Защита жилет (size:S, L, желтый) "FOX"</t>
  </si>
  <si>
    <t>https://b2beez.ru/images/detailed/188/orig_4npx-0g.jpg</t>
  </si>
  <si>
    <t>Z-0456</t>
  </si>
  <si>
    <t>Защита жилет (size:S, L, зеленый) "FOX"</t>
  </si>
  <si>
    <t>https://b2beez.ru/images/detailed/188/orig_wcva-ve.jpg</t>
  </si>
  <si>
    <t>Z-7564</t>
  </si>
  <si>
    <t>Защита жилет (size:S, L, красный) "FOX"</t>
  </si>
  <si>
    <t>https://b2beez.ru/images/detailed/204/Z-7564-6.jpg</t>
  </si>
  <si>
    <t>Z-1033</t>
  </si>
  <si>
    <t>Защита жилет (size:S, L, оранжевый) "FOX"</t>
  </si>
  <si>
    <t>https://b2beez.ru/images/detailed/188/orig_on3d-35.jpg</t>
  </si>
  <si>
    <t>Z-6002</t>
  </si>
  <si>
    <t>Защита жилет (size:S, L, синий) "FOX"</t>
  </si>
  <si>
    <t>https://b2beez.ru/images/detailed/204/Z-6002-6.jpg</t>
  </si>
  <si>
    <t>Z-3899</t>
  </si>
  <si>
    <t>Защита жилет (size:S, L, белый) "FOX"</t>
  </si>
  <si>
    <t>O-1298</t>
  </si>
  <si>
    <t>Щитки (наколенники) (mod:K12, красные) "VEMAR"</t>
  </si>
  <si>
    <t>https://b2beez.ru/images/detailed/171/orig_l016-rx.jpg</t>
  </si>
  <si>
    <t>Z-920</t>
  </si>
  <si>
    <t>Защита жилет (size:M-XL, свето отражающий) "ICON"</t>
  </si>
  <si>
    <t>https://b2beez.ru/images/detailed/204/Z-920-2.png</t>
  </si>
  <si>
    <t>O-1291</t>
  </si>
  <si>
    <t>Щитки (наколенники) (mod:K12, оранжевые) "VEMAR"</t>
  </si>
  <si>
    <t>https://b2beez.ru/images/detailed/171/orig_zw8g-5w.jpg</t>
  </si>
  <si>
    <t>O-1293</t>
  </si>
  <si>
    <t>Щитки (наколенники) (mod:K12, зеленые) "VEMAR"</t>
  </si>
  <si>
    <t>https://b2beez.ru/images/detailed/171/orig_qnw9-sd.jpg</t>
  </si>
  <si>
    <t>H-0120</t>
  </si>
  <si>
    <t>Щитки (наколенники, черные) "MS"</t>
  </si>
  <si>
    <t>https://b2beez.ru/images/detailed/162/orig_0khg-qy.jpg</t>
  </si>
  <si>
    <t>O-1295</t>
  </si>
  <si>
    <t>Щитки (наколенники) (mod:K12, синии) "VEMAR"</t>
  </si>
  <si>
    <t>https://b2beez.ru/images/detailed/171/orig_4c5x-th.jpg</t>
  </si>
  <si>
    <t>H-4234</t>
  </si>
  <si>
    <t>Щитки (наколенники + налокотники "TAO-TRAIL" (mod.3)</t>
  </si>
  <si>
    <t>https://b2beez.ru/images/detailed/164/orig_eymm-x4.jpg</t>
  </si>
  <si>
    <t>H-5741</t>
  </si>
  <si>
    <t>Щитки (наколенники + налокотники, черные, металлические вставки) "PRO-BIKER" (mod.1)</t>
  </si>
  <si>
    <t>https://b2beez.ru/images/detailed/164/orig_luw1-y3.jpg</t>
  </si>
  <si>
    <t>H-9613</t>
  </si>
  <si>
    <t>Щитки (наколенники + налокотники, черные, металлические вставки) "PRO-BIKER" (mod.2)</t>
  </si>
  <si>
    <t>https://b2beez.ru/images/detailed/165/orig_9t5l-60.jpg</t>
  </si>
  <si>
    <t>H-2096</t>
  </si>
  <si>
    <t>Щитки (наколенники, черные) "PRO-BIKER"</t>
  </si>
  <si>
    <t>https://b2beez.ru/images/detailed/163/orig_n70k-va.jpg</t>
  </si>
  <si>
    <t>H-1089</t>
  </si>
  <si>
    <t>Щитки (наколенники + налокотники, черные) "PRO-BIKER" (mod.3)</t>
  </si>
  <si>
    <t>https://b2beez.ru/images/detailed/163/orig_xi6m-0y.jpg</t>
  </si>
  <si>
    <t>Z-4580</t>
  </si>
  <si>
    <t>Защита спины (sie:XL, mod: TM-127)</t>
  </si>
  <si>
    <t>https://b2beez.ru/images/detailed/204/Z-4580.jpg</t>
  </si>
  <si>
    <t>Z-1754</t>
  </si>
  <si>
    <t>Защита "черепаха" (L) (mod.1)</t>
  </si>
  <si>
    <t>https://b2beez.ru/images/detailed/188/orig_alx8-me.jpg</t>
  </si>
  <si>
    <t>Z-2685</t>
  </si>
  <si>
    <t>Защита "черепаха" (XXL) (mod.2)</t>
  </si>
  <si>
    <t>https://b2beez.ru/images/detailed/188/orig_h1on-gw.jpg</t>
  </si>
  <si>
    <t>Z-5244</t>
  </si>
  <si>
    <t>Защита "черепаха" (M) "PRO-BIKER" (mod.3)</t>
  </si>
  <si>
    <t>https://b2beez.ru/images/detailed/204/Z-5244.jpg</t>
  </si>
  <si>
    <t>Z-7079</t>
  </si>
  <si>
    <t>Защита "черепаха" (XL) (mod.1)</t>
  </si>
  <si>
    <t>Z-0766</t>
  </si>
  <si>
    <t>Защита "черепаха" (XL) (mod.2)</t>
  </si>
  <si>
    <t>https://b2beez.ru/images/detailed/188/orig_4wql-b0.jpg</t>
  </si>
  <si>
    <t>Z-4245</t>
  </si>
  <si>
    <t>Защита "черепаха" (XXL) (mod.1)</t>
  </si>
  <si>
    <t>https://b2beez.ru/images/detailed/204/Z-4245-2.jpg</t>
  </si>
  <si>
    <t>Z-8748</t>
  </si>
  <si>
    <t>Защита "черепаха" (XXXL) (mod.1)</t>
  </si>
  <si>
    <t>https://b2beez.ru/images/detailed/204/Z-8748.jpg</t>
  </si>
  <si>
    <t>Z-9251</t>
  </si>
  <si>
    <t>Защита "черепаха" (XL) "PRO-BIKER" (mod.3)</t>
  </si>
  <si>
    <t>https://b2beez.ru/images/detailed/204/z-9251.jpg</t>
  </si>
  <si>
    <t>Z-0159</t>
  </si>
  <si>
    <t>Защита "черепаха" (XXL) "PRO-BIKER" (mod.3)</t>
  </si>
  <si>
    <t>https://b2beez.ru/images/detailed/188/6146762659.jpg</t>
  </si>
  <si>
    <t>Z-5576</t>
  </si>
  <si>
    <t>Защита "черепаха" (XXXL) "PRO-BIKER" (mod.3)</t>
  </si>
  <si>
    <t>https://b2beez.ru/images/detailed/204/Z-5576.jpg</t>
  </si>
  <si>
    <t>Z-2686</t>
  </si>
  <si>
    <t>Защита "черепаха" (XXXL) (mod.2)</t>
  </si>
  <si>
    <t>https://b2beez.ru/images/detailed/188/orig_qcyu-nd.jpg</t>
  </si>
  <si>
    <t>Z-0159-U1</t>
  </si>
  <si>
    <t>Защита "черепаха" (XXL) "PRO-BIKER" (mod.3)(Порвана по шву)</t>
  </si>
  <si>
    <t>H-4698-U1</t>
  </si>
  <si>
    <t>Щитки (наколенники + налокотники, черные) (mod.9) (Повреждения)</t>
  </si>
  <si>
    <t>Z-914</t>
  </si>
  <si>
    <t>Защита жилет детский (size: XXS-S регулируемый, чёрный)</t>
  </si>
  <si>
    <t>Z-0425</t>
  </si>
  <si>
    <t>Защита "черепаха" детская (Размер S, европейский XXS)</t>
  </si>
  <si>
    <t>https://b2beez.ru/images/detailed/188/orig_wogv-jk.jpg</t>
  </si>
  <si>
    <t>Z-0426</t>
  </si>
  <si>
    <t>Защита "черепаха" детская (Размер M, европейский XS)</t>
  </si>
  <si>
    <t>https://b2beez.ru/images/detailed/188/orig_rgt5-mz.jpg</t>
  </si>
  <si>
    <t>Z-0427</t>
  </si>
  <si>
    <t>Защита "черепаха" детская (Размер L, европейский S)</t>
  </si>
  <si>
    <t>https://b2beez.ru/images/detailed/188/orig_cwj7-t4.jpg</t>
  </si>
  <si>
    <t>H-5742</t>
  </si>
  <si>
    <t>Щитки (детские,наколенники + налокотники, черные) (mod.1)</t>
  </si>
  <si>
    <t>https://b2beez.ru/images/detailed/164/6245034735.jpg</t>
  </si>
  <si>
    <t>C-3180</t>
  </si>
  <si>
    <t>Защита "черепаха" (M) Ораньжевый  (mod.4)</t>
  </si>
  <si>
    <t>https://b2beez.ru/images/detailed/156/orig_o7ri-j7.jpg</t>
  </si>
  <si>
    <t>C-3181</t>
  </si>
  <si>
    <t>Защита "черепаха" (L) Оранжевый  (mod.4)</t>
  </si>
  <si>
    <t>https://b2beez.ru/images/detailed/156/orig_h4xd-5t.jpg</t>
  </si>
  <si>
    <t>C-3182</t>
  </si>
  <si>
    <t>Защита "черепаха" (XL) Ораньжевый  (mod.4)</t>
  </si>
  <si>
    <t>https://b2beez.ru/images/detailed/156/orig_cjo1-z8.jpg</t>
  </si>
  <si>
    <t>C-3184</t>
  </si>
  <si>
    <t>Защита "черепаха" (XXL) Оранжевый  (mod.4)</t>
  </si>
  <si>
    <t>https://b2beez.ru/images/detailed/156/orig_7d9o-eh.jpg</t>
  </si>
  <si>
    <t>H-5166</t>
  </si>
  <si>
    <t>Щитки (наколенники, черные) (mod.2) "E-01"</t>
  </si>
  <si>
    <t>https://b2beez.ru/images/detailed/164/6245034728.jpg</t>
  </si>
  <si>
    <t>H-8488</t>
  </si>
  <si>
    <t>Щитки (наколенники + налокотники, черные) "FOX" (mod.6)</t>
  </si>
  <si>
    <t>https://b2beez.ru/images/detailed/165/orig_t3ji-xi.jpg</t>
  </si>
  <si>
    <t>H-4181</t>
  </si>
  <si>
    <t>Щитки (наколенники + налокотники, черные) "KTM" (mod.7)</t>
  </si>
  <si>
    <t>https://b2beez.ru/images/detailed/164/orig_vx7q-8l.jpg</t>
  </si>
  <si>
    <t>H-7138</t>
  </si>
  <si>
    <t>Щитки (наколенники + налокотники, черные) "FOX" (mod.8)</t>
  </si>
  <si>
    <t>https://b2beez.ru/images/detailed/164/orig_p20q-g6.jpg</t>
  </si>
  <si>
    <t>H-4698</t>
  </si>
  <si>
    <t>Щитки (наколенники + налокотники, черные) (mod.9)</t>
  </si>
  <si>
    <t>https://b2beez.ru/images/detailed/164/orig_4kn3-0s.jpg</t>
  </si>
  <si>
    <t>O-1296</t>
  </si>
  <si>
    <t>Щитки (наколенники) (mod:K12, черные) "VEMAR"</t>
  </si>
  <si>
    <t>https://b2beez.ru/images/detailed/171/orig_9ldo-kj.jpg</t>
  </si>
  <si>
    <t>H-5282</t>
  </si>
  <si>
    <t>Щитки (наколенники + налокотники, черные) "TAO-TRAIL" (mod.12)</t>
  </si>
  <si>
    <t>https://b2beez.ru/images/detailed/164/orig_v31c-ek.jpg</t>
  </si>
  <si>
    <t>Z-2367</t>
  </si>
  <si>
    <t>Защита "черепаха" (L) "TAO-TRAIL" (mod.4)</t>
  </si>
  <si>
    <t>https://b2beez.ru/images/detailed/188/orig_cylz-nw.jpg</t>
  </si>
  <si>
    <t>Z-6582</t>
  </si>
  <si>
    <t>Защита "черепаха" (XL) "TAO-TRAIL" (mod.4)</t>
  </si>
  <si>
    <t>https://b2beez.ru/images/detailed/204/Z-6582-2.jpg</t>
  </si>
  <si>
    <t>Z-4282</t>
  </si>
  <si>
    <t>Защита "черепаха" (XXL) "TAO-TRAIL" (mod.4)</t>
  </si>
  <si>
    <t>https://b2beez.ru/images/detailed/204/Z-4282-2.jpg</t>
  </si>
  <si>
    <t>Z-7559</t>
  </si>
  <si>
    <t>Защита "черепаха" (XXXL) "TAO-TRAIL" (mod.4)</t>
  </si>
  <si>
    <t>https://b2beez.ru/images/detailed/204/Z-7559-8.jpg</t>
  </si>
  <si>
    <t>O-1279</t>
  </si>
  <si>
    <t>Защита шеи (mod:2) "SCOYCO"</t>
  </si>
  <si>
    <t>https://b2beez.ru/images/detailed/171/6161326537.jpg</t>
  </si>
  <si>
    <t>Z-269</t>
  </si>
  <si>
    <t>Щитки (наколенники + налокотники) (mod:8010, racing) "FOX"</t>
  </si>
  <si>
    <t>https://b2beez.ru/images/detailed/204/Z-269-2_8das-s4.jpg</t>
  </si>
  <si>
    <t>Z-923</t>
  </si>
  <si>
    <t>Защита жилет(size:XXL, свето отражающий, mod:JK) "SCOYCO"</t>
  </si>
  <si>
    <t>Z-927</t>
  </si>
  <si>
    <t>Защита жилет (size: L, XL, зеленый)"FOX"</t>
  </si>
  <si>
    <t>https://b2beez.ru/images/detailed/204/Z-927-2.jpg</t>
  </si>
  <si>
    <t>Z-928</t>
  </si>
  <si>
    <t>Защита жилет (size: L, XL, оранжевый) "FOX"</t>
  </si>
  <si>
    <t>https://b2beez.ru/images/detailed/204/Z-928-2.jpg</t>
  </si>
  <si>
    <t>Z-929</t>
  </si>
  <si>
    <t>Защита жилет (size: L, XL, синий) "FOX"</t>
  </si>
  <si>
    <t>https://b2beez.ru/images/detailed/204/Z-929-2.jpg</t>
  </si>
  <si>
    <t>Z-930</t>
  </si>
  <si>
    <t>Защита жилет (size: L, XL, красный) "FOX"</t>
  </si>
  <si>
    <t>https://b2beez.ru/images/detailed/204/Z-930-6.jpg</t>
  </si>
  <si>
    <t>Z-931</t>
  </si>
  <si>
    <t>Защита жилет (size:S, L, черный) "FOX"</t>
  </si>
  <si>
    <t>https://b2beez.ru/images/detailed/204/Z-931-2.jpg</t>
  </si>
  <si>
    <t>Z-932</t>
  </si>
  <si>
    <t>Защита жилет (size: L, XL, желтый) "FOX"</t>
  </si>
  <si>
    <t>https://b2beez.ru/images/detailed/204/Z-932-2.jpg</t>
  </si>
  <si>
    <t>Z-933</t>
  </si>
  <si>
    <t>Защита жилет (size: L, XL, белый) "FOX"</t>
  </si>
  <si>
    <t>https://b2beez.ru/images/detailed/204/Z-933-2.jpg</t>
  </si>
  <si>
    <t>Z-919</t>
  </si>
  <si>
    <t>Защита жилет (size:XXL, свето отражающий, mod:JK32) "SCOYCO"</t>
  </si>
  <si>
    <t>P-3033</t>
  </si>
  <si>
    <t>Защита рук на руль(mod:1, MONSTER ENERGY, зеленые) "XJB"</t>
  </si>
  <si>
    <t>https://b2beez.ru/images/detailed/173/6161240713.jpg</t>
  </si>
  <si>
    <t>Z-4246</t>
  </si>
  <si>
    <t>Защита "черепаха" (M) (mod.1)</t>
  </si>
  <si>
    <t>https://b2beez.ru/images/detailed/204/Z-4246-6.jpg</t>
  </si>
  <si>
    <t>Z-0767</t>
  </si>
  <si>
    <t>Защита "черепаха" (L) (mod.2)</t>
  </si>
  <si>
    <t>https://b2beez.ru/images/detailed/188/orig_cjjt-3q.jpg</t>
  </si>
  <si>
    <t>Кофры</t>
  </si>
  <si>
    <t>Кофр пластмассовый 666A (56*40*28см) "KYMCO"</t>
  </si>
  <si>
    <t>https://b2beez.ru/images/detailed/48/orig_9wjg-li.jpg</t>
  </si>
  <si>
    <t>K-1007</t>
  </si>
  <si>
    <t>Кофр пластмассовый 36л.(40*31*29см) "BEEZMOTO" mod.1</t>
  </si>
  <si>
    <t>https://b2beez.ru/images/detailed/166/orig_4lzz-v6.jpg</t>
  </si>
  <si>
    <t>K-1008</t>
  </si>
  <si>
    <t>Кофр пластмассовый 36л.(40*31*29см) "BEEZMOTO" mod.2</t>
  </si>
  <si>
    <t>https://b2beez.ru/images/detailed/166/orig_6luo-ri.jpg</t>
  </si>
  <si>
    <t>K-1009</t>
  </si>
  <si>
    <t>Кофр пластмассовый 36л.(40*31*29см) "BEEZMOTO" mod.3</t>
  </si>
  <si>
    <t>https://b2beez.ru/images/detailed/166/orig_f5v9-b9.jpg</t>
  </si>
  <si>
    <t>K-1010</t>
  </si>
  <si>
    <t>Кофр пластмассовый 36л.(40*31*29см) "BEEZMOTO" mod.4</t>
  </si>
  <si>
    <t>https://b2beez.ru/images/detailed/166/orig_elk8-a8.jpg</t>
  </si>
  <si>
    <t>K-1011</t>
  </si>
  <si>
    <t>Кофр пластмассовый 36л.(40*31*29см) "BEEZMOTO" mod.5</t>
  </si>
  <si>
    <t>https://b2beez.ru/images/detailed/166/orig_auti-fp.jpg</t>
  </si>
  <si>
    <t>K-1012</t>
  </si>
  <si>
    <t>Кофр пластмассовый 36л.(40*31*29см) "BEEZMOTO" mod.6</t>
  </si>
  <si>
    <t>https://b2beez.ru/images/detailed/166/orig_ygrq-3c.jpg</t>
  </si>
  <si>
    <t>K-1006</t>
  </si>
  <si>
    <t>Кофр пластмассовый 46л.(42*34.5*32см) "BEEZMOTO" mod.6</t>
  </si>
  <si>
    <t>https://b2beez.ru/images/detailed/166/orig_p6ty-1d.jpg</t>
  </si>
  <si>
    <t>Q-13</t>
  </si>
  <si>
    <t>Кофр пластмассовый 60л.(49.5*40*32.5см) "BEEZMOTO" mod:B</t>
  </si>
  <si>
    <t>https://b2beez.ru/images/detailed/175/6894950837.jpg</t>
  </si>
  <si>
    <t>K-1013</t>
  </si>
  <si>
    <t>Кофр пластмассовый 46л.(42*34.5*32см) "BEEZMOTO" mod.7</t>
  </si>
  <si>
    <t>https://b2beez.ru/images/detailed/166/orig_8fot-9w.jpg</t>
  </si>
  <si>
    <t>K-1014</t>
  </si>
  <si>
    <t>Кофр пластмассовый 46л.(42*34.5*32см) "BEEZMOTO" mod.8</t>
  </si>
  <si>
    <t>https://b2beez.ru/images/detailed/166/orig_bjdk-eu.jpg</t>
  </si>
  <si>
    <t>K-1002-U1</t>
  </si>
  <si>
    <t>Кофр пластмассовый 46л.(42*34.5*32см) "BEEZMOTO" mod.2 (Скол+Трещина)</t>
  </si>
  <si>
    <t>K-1009-U1</t>
  </si>
  <si>
    <t>Кофр пластмассовый 36л.(40*31*29см) "BEEZMOTO" mod.3 (скол крышки, трещина)</t>
  </si>
  <si>
    <t>K-0215-U1</t>
  </si>
  <si>
    <t>Кофр пластмассовый 50л.(42*40*30см) черный "BEEZMOTO" (сломана застежка)</t>
  </si>
  <si>
    <t>K-0218</t>
  </si>
  <si>
    <t>Кофр пластмассовый 50л.(42*40*30см) белый "BEEZMOTO"</t>
  </si>
  <si>
    <t>https://b2beez.ru/images/detailed/165/orig_4q1p-70.jpg</t>
  </si>
  <si>
    <t>K-0221</t>
  </si>
  <si>
    <t>Кофр пластмассовый 44л.(40*39*28см) белый карбон "BEEZMOTO"</t>
  </si>
  <si>
    <t>https://b2beez.ru/images/detailed/165/7099382570.jpg</t>
  </si>
  <si>
    <t>K-0225</t>
  </si>
  <si>
    <t>Кофр пластмассовый 44л.(40*39*28см) белый "BEEZMOTO" mod.1</t>
  </si>
  <si>
    <t>https://b2beez.ru/images/detailed/165/7099416945.jpg</t>
  </si>
  <si>
    <t>K-1001</t>
  </si>
  <si>
    <t>Кофр пластмассовый 46л.(42*34.5*32см) "BEEZMOTO" mod.1</t>
  </si>
  <si>
    <t>https://b2beez.ru/images/detailed/166/orig_up3v-ka.jpg</t>
  </si>
  <si>
    <t>K-1002</t>
  </si>
  <si>
    <t>Кофр пластмассовый 46л.(42*34.5*32см) "BEEZMOTO" mod.2</t>
  </si>
  <si>
    <t>https://b2beez.ru/images/detailed/166/orig_bb6x-r2.jpg</t>
  </si>
  <si>
    <t>K-1003</t>
  </si>
  <si>
    <t>Кофр пластмассовый 46л.(42*34.5*32см) "BEEZMOTO" mod.3</t>
  </si>
  <si>
    <t>https://b2beez.ru/images/detailed/166/orig_zgiu-wm.jpg</t>
  </si>
  <si>
    <t>K-1004</t>
  </si>
  <si>
    <t>Кофр пластмассовый 46л.(42*34.5*32см) "BEEZMOTO" mod.4</t>
  </si>
  <si>
    <t>https://b2beez.ru/images/detailed/166/orig_1kfh-ag.jpg</t>
  </si>
  <si>
    <t>K-1005</t>
  </si>
  <si>
    <t>Кофр пластмассовый 46л.(42*34.5*32см) "BEEZMOTO" mod.5</t>
  </si>
  <si>
    <t>https://b2beez.ru/images/detailed/166/orig_aijq-qa.jpg</t>
  </si>
  <si>
    <t>Кофр пластмассовый 169B (38.5*34*26см) "KYMCO"</t>
  </si>
  <si>
    <t>https://b2beez.ru/images/detailed/48/orig_teh5-bz.jpg</t>
  </si>
  <si>
    <t>Обувь</t>
  </si>
  <si>
    <t>O-1392</t>
  </si>
  <si>
    <t>Ботинки PROBIKER (mod:1005, size:40, красные)</t>
  </si>
  <si>
    <t>N-4499</t>
  </si>
  <si>
    <t>Накладка на обувь (резиновая) "DOMINO"</t>
  </si>
  <si>
    <t>https://b2beez.ru/images/detailed/171/orig_3rqd-n8.jpg</t>
  </si>
  <si>
    <t>N-4450</t>
  </si>
  <si>
    <t>Накладка на обувь (резиновая) "MAIBURUISI"</t>
  </si>
  <si>
    <t>https://b2beez.ru/images/detailed/171/7163314501.jpg</t>
  </si>
  <si>
    <t>O-1356</t>
  </si>
  <si>
    <t>Ботинки "PROBIKER" (mod:1002, size:40, красные)</t>
  </si>
  <si>
    <t>O-1380</t>
  </si>
  <si>
    <t>Ботинки "PROBIKER" (mod:1001, size:40, красные)</t>
  </si>
  <si>
    <t>https://b2beez.ru/images/detailed/204/O-1380.jpg</t>
  </si>
  <si>
    <t>O-1387</t>
  </si>
  <si>
    <t>Ботинки "PROBIKER" (mod:1001, size:41, белые)</t>
  </si>
  <si>
    <t>O-1404</t>
  </si>
  <si>
    <t>Ботинки "PROBIKER" (mod:1005, size:40, белые)</t>
  </si>
  <si>
    <t>O-1405</t>
  </si>
  <si>
    <t>Ботинки "PROBIKER" (mod:1005, size:41, белые)</t>
  </si>
  <si>
    <t>https://b2beez.ru/images/detailed/204/O-1405.jpg</t>
  </si>
  <si>
    <t>O-1410</t>
  </si>
  <si>
    <t>Ботинки "PROBIKER" (mod:1003, size:40, красные)</t>
  </si>
  <si>
    <t>O-1411</t>
  </si>
  <si>
    <t>Ботинки "PROBIKER" (mod:1003, size:41, красные)</t>
  </si>
  <si>
    <t>O-1412</t>
  </si>
  <si>
    <t>Ботинки "PROBIKER" (mod:1003, size:42, красные)</t>
  </si>
  <si>
    <t>O-1424</t>
  </si>
  <si>
    <t>Ботинки "PROBIKER" (mod:1003, size:42, белые)</t>
  </si>
  <si>
    <t>O-1436</t>
  </si>
  <si>
    <t>Ботинки "SCOYCO" (mod:MBT004, size:42, красные)</t>
  </si>
  <si>
    <t>O-1435</t>
  </si>
  <si>
    <t>Ботинки "SCOYCO" (mod:MBT004, size:41, красные)</t>
  </si>
  <si>
    <t>Одежда</t>
  </si>
  <si>
    <t>J-1237</t>
  </si>
  <si>
    <t>Джерси мотокросс (черный,белый) FOX размер L</t>
  </si>
  <si>
    <t>https://b2beez.ru/images/detailed/165/6671405947_x8pi-xx.jpg</t>
  </si>
  <si>
    <t>J-1238</t>
  </si>
  <si>
    <t>Джерси мотокросс (черный,белый) FOX размер S</t>
  </si>
  <si>
    <t>https://b2beez.ru/images/detailed/165/6671405947_atsa-fr.jpg</t>
  </si>
  <si>
    <t>J-1239</t>
  </si>
  <si>
    <t>Джерси мотокросс (черный,белый) FOX размер XXL</t>
  </si>
  <si>
    <t>https://b2beez.ru/images/detailed/165/6671405947_meku-ft.jpg</t>
  </si>
  <si>
    <t>J-1240</t>
  </si>
  <si>
    <t>Джерси мотокросс (черный,белый) FOX размер M</t>
  </si>
  <si>
    <t>https://b2beez.ru/images/detailed/165/6671405947_25nl-a4.jpg</t>
  </si>
  <si>
    <t>O-2225</t>
  </si>
  <si>
    <t>Мотоштаны (текстиль) (темно-синие, mod: 2, size XL)</t>
  </si>
  <si>
    <t>O-19-U1</t>
  </si>
  <si>
    <t>Велокостюм (mod:Specialized, size:XL) "COOLMAX" (Некомплект)</t>
  </si>
  <si>
    <t>O-21-U1</t>
  </si>
  <si>
    <t>Велокостюм (mod:Trek, size:L) "COOLMAX" ( не комплект)</t>
  </si>
  <si>
    <t>O-21</t>
  </si>
  <si>
    <t>Велокостюм (mod:Trek, size:L) "COOLMAX"</t>
  </si>
  <si>
    <t>https://b2beez.ru/images/detailed/204/O-21.jpg</t>
  </si>
  <si>
    <t>O-2568</t>
  </si>
  <si>
    <t>Велокостюм (черно-красный, size:L)</t>
  </si>
  <si>
    <t>https://b2beez.ru/images/detailed/204/O-2568.jpg</t>
  </si>
  <si>
    <t>O-2569</t>
  </si>
  <si>
    <t>Велокостюм (черно-красный, size:M)</t>
  </si>
  <si>
    <t>https://b2beez.ru/images/detailed/204/O-2569.jpg</t>
  </si>
  <si>
    <t>O-2570</t>
  </si>
  <si>
    <t>Велокостюм (черно-красный, size:XL)</t>
  </si>
  <si>
    <t>O-536</t>
  </si>
  <si>
    <t>Футболка (size:XL, mod:Racing, 100% хлопок) "YMH"</t>
  </si>
  <si>
    <t>https://b2beez.ru/images/detailed/172/6495839146.jpg</t>
  </si>
  <si>
    <t>O-61</t>
  </si>
  <si>
    <t>Мотокуртка "DAQINESE" (кожзам) (size:L, оранжевая)</t>
  </si>
  <si>
    <t>O-792</t>
  </si>
  <si>
    <t>Футболка (size:XL, mod:Club, 100% хлопок, серая) "YMH"</t>
  </si>
  <si>
    <t>https://b2beez.ru/images/detailed/172/6473571641.jpg</t>
  </si>
  <si>
    <t>O-8</t>
  </si>
  <si>
    <t>Велокостюм (mod:Cervelo, size:XL) "COOLMAX"</t>
  </si>
  <si>
    <t>https://b2beez.ru/images/detailed/204/O-8.jpg</t>
  </si>
  <si>
    <t>O-17</t>
  </si>
  <si>
    <t>Велокостюм (mod:Specialized, size:L) "COOLMAX"</t>
  </si>
  <si>
    <t>https://b2beez.ru/images/detailed/204/O-17.jpg</t>
  </si>
  <si>
    <t>O-1872</t>
  </si>
  <si>
    <t>Мотокуртка "SCOYCO" (текстиль) (size:M, черная, mod:JK35)</t>
  </si>
  <si>
    <t>O-19</t>
  </si>
  <si>
    <t>Велокостюм (mod:Specialized, size:XL) "COOLMAX"</t>
  </si>
  <si>
    <t>https://b2beez.ru/images/detailed/204/O-19.jpg</t>
  </si>
  <si>
    <t>O-23</t>
  </si>
  <si>
    <t>Велокостюм (mod:Trek, size:XL) "COOLMAX"</t>
  </si>
  <si>
    <t>O-70</t>
  </si>
  <si>
    <t>Мотокуртка "DAQINESE" (кожзам) (size:M, оранжевая)</t>
  </si>
  <si>
    <t>Очки</t>
  </si>
  <si>
    <t>O-1803</t>
  </si>
  <si>
    <t>Очки кроссовые (mod:2, микс, стекло хамелеон +чехол)</t>
  </si>
  <si>
    <t>https://b2beez.ru/images/detailed/171/6117393738.jpg</t>
  </si>
  <si>
    <t>O-8190</t>
  </si>
  <si>
    <t>Очки кроссовые "FOX" (серый, стекло зеркальное, +чехол)</t>
  </si>
  <si>
    <t>https://b2beez.ru/images/detailed/172/6912120270.jpg</t>
  </si>
  <si>
    <t>O-6112</t>
  </si>
  <si>
    <t>Очки кроссовые (mod:MJ-1017, красно-черно-белые, прозрачное стекло, + чехол))</t>
  </si>
  <si>
    <t>https://b2beez.ru/images/detailed/172/6671821784.jpg</t>
  </si>
  <si>
    <t>Очки-маска (разборные, визор прозрачный, черный)</t>
  </si>
  <si>
    <t>https://b2beez.ru/images/detailed/48/6167480298_l5lf-ct.jpg</t>
  </si>
  <si>
    <t>Очки-маска (разборные, стекло хамелеон, черные)</t>
  </si>
  <si>
    <t>https://b2beez.ru/images/detailed/48/orig_dg52-oh.jpg</t>
  </si>
  <si>
    <t>O-1689</t>
  </si>
  <si>
    <t>Очки кроссовые "GTX" (черно-красно-желтые, стекло прозрачное) "BEEZMOTO"</t>
  </si>
  <si>
    <t>https://b2beez.ru/images/detailed/171/7035676668.jpg</t>
  </si>
  <si>
    <t>O-9143</t>
  </si>
  <si>
    <t>Очки горнолыжные (голубой, стекло желто-зеркальное, + чехол) (mod: A292)</t>
  </si>
  <si>
    <t>https://b2beez.ru/images/detailed/172/orig_yaj3-vj.jpg</t>
  </si>
  <si>
    <t>O-1492</t>
  </si>
  <si>
    <t>Очки кроссовые "GTX" (бело-черно-красные, стекло прозрачное) "BEEZMOTO" mod:B</t>
  </si>
  <si>
    <t>https://b2beez.ru/images/detailed/171/7035662926.jpg</t>
  </si>
  <si>
    <t>O-2113</t>
  </si>
  <si>
    <t>Очки кроссовые 100% (серо-черные, с серебристым стеклом, +чехол) "Retro"</t>
  </si>
  <si>
    <t>https://b2beez.ru/images/detailed/172/orig_uhxk-iw.jpg</t>
  </si>
  <si>
    <t>O-2131</t>
  </si>
  <si>
    <t>Очки горнолыжные (черный, стекло зеркальный хамелеон, съёмные магнитные линзы) (mod: A293)</t>
  </si>
  <si>
    <t>https://b2beez.ru/images/detailed/172/orig_rj1b-2y.jpg</t>
  </si>
  <si>
    <t>O-2128</t>
  </si>
  <si>
    <t>Очки кроссовые (красные, стекло хамелеон )</t>
  </si>
  <si>
    <t>https://b2beez.ru/images/detailed/172/orig_iv7o-ol.jpg</t>
  </si>
  <si>
    <t>O-2129</t>
  </si>
  <si>
    <t>Очки кроссовые (черные, стекло хамелеон)</t>
  </si>
  <si>
    <t>https://b2beez.ru/images/detailed/172/6352298178.jpg</t>
  </si>
  <si>
    <t>O-1855</t>
  </si>
  <si>
    <t>Очки кроссовые 100% (красно-белые, с серебристым стеклом, +чехол) "Retro"</t>
  </si>
  <si>
    <t>https://b2beez.ru/images/detailed/171/orig_x6qk-jm.jpg</t>
  </si>
  <si>
    <t>O-2140</t>
  </si>
  <si>
    <t>Очки кроссовые 100% (коричнево-черные, с серебристым стеклом, +чехол) "Retro"</t>
  </si>
  <si>
    <t>https://b2beez.ru/images/detailed/172/orig_2q7c-s9.jpg</t>
  </si>
  <si>
    <t>O-2153</t>
  </si>
  <si>
    <t>https://b2beez.ru/images/detailed/172/orig_kdgu-uw.jpg</t>
  </si>
  <si>
    <t>O-2144</t>
  </si>
  <si>
    <t>Очки кроссовые 100% (черно-белые, с желтым стеклом, +чехол) "Retro"</t>
  </si>
  <si>
    <t>https://b2beez.ru/images/detailed/172/orig_gdxr-f2.jpg</t>
  </si>
  <si>
    <t>O-2152</t>
  </si>
  <si>
    <t>Очки кроссовые 100% (желто-черные, с желтым стеклом, +чехол) "Retro"</t>
  </si>
  <si>
    <t>https://b2beez.ru/images/detailed/172/orig_pgyg-km.jpg</t>
  </si>
  <si>
    <t>O-1494</t>
  </si>
  <si>
    <t>Очки кроссовые (синие, стекло хамелеон)</t>
  </si>
  <si>
    <t>https://b2beez.ru/images/detailed/171/orig_28rc-3j.jpg</t>
  </si>
  <si>
    <t>O-1474</t>
  </si>
  <si>
    <t>Очки кроссовые (оранжевые, стекло хамелеон)</t>
  </si>
  <si>
    <t>https://b2beez.ru/images/detailed/171/orig_la4q-n8.jpg</t>
  </si>
  <si>
    <t>O-627</t>
  </si>
  <si>
    <t>Очки кроссовые "DAY" (жёлтый, стекло чёрное) "BEEZMOTO"</t>
  </si>
  <si>
    <t>https://b2beez.ru/images/detailed/172/7035680387.jpg</t>
  </si>
  <si>
    <t>3734830-U1</t>
  </si>
  <si>
    <t>Очки кроссовые (черные, стекло хамелеон) (mod.2) (Трещина)</t>
  </si>
  <si>
    <t>O-0918</t>
  </si>
  <si>
    <t>Очки кроссовые "FOX" (светло-серые, стекло зеркальное, +чехол)</t>
  </si>
  <si>
    <t>https://b2beez.ru/images/detailed/171/7092650970.jpg</t>
  </si>
  <si>
    <t>O-0195</t>
  </si>
  <si>
    <t>Очки кроссовые "KTM" (оранжевый, стекло зеркальное, +чехол)</t>
  </si>
  <si>
    <t>https://b2beez.ru/images/detailed/171/6346321574.jpg</t>
  </si>
  <si>
    <t>O-6084</t>
  </si>
  <si>
    <t>Очки кроссовые "KTM" (оранжевый, стекло синее, +чехол)</t>
  </si>
  <si>
    <t>https://b2beez.ru/images/detailed/172/6346319845.jpg</t>
  </si>
  <si>
    <t>O-1503</t>
  </si>
  <si>
    <t>Очки кроссовые "SCOTT" (желтый-зеленый, стекло зеленое, +чехол)</t>
  </si>
  <si>
    <t>https://b2beez.ru/images/detailed/171/6346307854.jpg</t>
  </si>
  <si>
    <t>O-0707</t>
  </si>
  <si>
    <t>Очки кроссовые "SCOTT" (красный-белый, стекло желтое, +чехол)</t>
  </si>
  <si>
    <t>https://b2beez.ru/images/detailed/171/6346320453.jpg</t>
  </si>
  <si>
    <t>O-0671</t>
  </si>
  <si>
    <t>Очки кроссовые "SCOTT" (черно-бирюзовый, стекло желтый хамелеон, +чехол)</t>
  </si>
  <si>
    <t>https://b2beez.ru/images/detailed/171/orig_byvp-in.jpg</t>
  </si>
  <si>
    <t>O-8146</t>
  </si>
  <si>
    <t>Очки кроссовые "SCOTT" (черный, стекло зеркальное, +чехол)</t>
  </si>
  <si>
    <t>https://b2beez.ru/images/detailed/172/6346321864.jpg</t>
  </si>
  <si>
    <t>O-7026</t>
  </si>
  <si>
    <t>Очки кроссовые "SCOTT" (фуксия-салатовый-черный, стекло хамелеон, +чехол)</t>
  </si>
  <si>
    <t>https://b2beez.ru/images/detailed/172/6346320497.jpg</t>
  </si>
  <si>
    <t>O-6461</t>
  </si>
  <si>
    <t>Очки кроссовые "FOX" (красный-белый, стекло желтое, +чехол)</t>
  </si>
  <si>
    <t>https://b2beez.ru/images/detailed/172/6346320127.jpg</t>
  </si>
  <si>
    <t>O-2637</t>
  </si>
  <si>
    <t>Очки кроссовые "FOX" (красный-синий, стекло синие, +чехол)</t>
  </si>
  <si>
    <t>https://b2beez.ru/images/detailed/172/6346321470.jpg</t>
  </si>
  <si>
    <t>O-2800</t>
  </si>
  <si>
    <t>Очки кроссовые "FOX" (синий, стекло синее, +чехол)</t>
  </si>
  <si>
    <t>https://b2beez.ru/images/detailed/172/6346321554.jpg</t>
  </si>
  <si>
    <t>O-9296</t>
  </si>
  <si>
    <t>Очки кроссовые "FOX" (красный-белый, стекло желтое, +чехол) (mod.2)</t>
  </si>
  <si>
    <t>https://b2beez.ru/images/detailed/172/6346321788.jpg</t>
  </si>
  <si>
    <t>O-2539</t>
  </si>
  <si>
    <t>Очки кроссовые "FOX" (черный-синий, стекло зеркальное, +чехол)</t>
  </si>
  <si>
    <t>https://b2beez.ru/images/detailed/172/6346321762.jpg</t>
  </si>
  <si>
    <t>O-0590</t>
  </si>
  <si>
    <t>Очки кроссовые "FOX" (оранжевый неон-черный, стекло желтое, +чехол)</t>
  </si>
  <si>
    <t>https://b2beez.ru/images/detailed/171/6346321330.jpg</t>
  </si>
  <si>
    <t>O-1582</t>
  </si>
  <si>
    <t>Очки кроссовые "FOX" (белый, стекло прозрачное, +чехол)</t>
  </si>
  <si>
    <t>https://b2beez.ru/images/detailed/171/6346319919.jpg</t>
  </si>
  <si>
    <t>O-1471-U2</t>
  </si>
  <si>
    <t>Очки кроссовые (черные, прозрачное стекло) (Потертое стекло)</t>
  </si>
  <si>
    <t>O-2123-U1</t>
  </si>
  <si>
    <t>Очки кроссовые (желтые, стекло хамелеон) (Трещины)</t>
  </si>
  <si>
    <t>O-4813</t>
  </si>
  <si>
    <t>Очки кроссовые 100% (белый-синий, стекло синее) (mod.B)</t>
  </si>
  <si>
    <t>https://b2beez.ru/images/detailed/172/6362027897.jpg</t>
  </si>
  <si>
    <t>O-8109</t>
  </si>
  <si>
    <t>Очки кроссовые 100% (черный-салатовый, стекло хром) (mod.B)</t>
  </si>
  <si>
    <t>https://b2beez.ru/images/detailed/172/6362030239.jpg</t>
  </si>
  <si>
    <t>O-4297</t>
  </si>
  <si>
    <t>Очки кроссовые 100% (черный, стекло зеленое, +чехол)</t>
  </si>
  <si>
    <t>https://b2beez.ru/images/detailed/172/6346321829.jpg</t>
  </si>
  <si>
    <t>O-0503</t>
  </si>
  <si>
    <t>Очки кроссовые 100% (зеленый-синий-белый, стекло синее, +чехол)</t>
  </si>
  <si>
    <t>https://b2beez.ru/images/detailed/171/6346321704.jpg</t>
  </si>
  <si>
    <t>O-5200</t>
  </si>
  <si>
    <t>Очки кроссовые 100% (черный-синий, стекло зеркальное, +чехол)</t>
  </si>
  <si>
    <t>https://b2beez.ru/images/detailed/172/6346307891.jpg</t>
  </si>
  <si>
    <t>O-9944</t>
  </si>
  <si>
    <t>Очки кроссовые 100% (синий, стекло синее, +чехол)</t>
  </si>
  <si>
    <t>https://b2beez.ru/images/detailed/172/6346321440.jpg</t>
  </si>
  <si>
    <t>O-7126</t>
  </si>
  <si>
    <t>Очки кроссовые 100% (белый-желтый, стекло хамелеон, +чехол)</t>
  </si>
  <si>
    <t>https://b2beez.ru/images/detailed/172/orig_lqdx-s5.jpg</t>
  </si>
  <si>
    <t>O-8475</t>
  </si>
  <si>
    <t>Очки кроссовые "GTX" (mod:2, стекло синий хамелеон) "BEEZMOTO"</t>
  </si>
  <si>
    <t>https://b2beez.ru/images/detailed/172/orig_9mug-40.jpg</t>
  </si>
  <si>
    <t>O-3804</t>
  </si>
  <si>
    <t>Очки кроссовые, горнолыжные "BEEZMOTO" (mod.2)</t>
  </si>
  <si>
    <t>https://b2beez.ru/images/detailed/172/orig_0d88-vr.jpg</t>
  </si>
  <si>
    <t>O-3127</t>
  </si>
  <si>
    <t>Очки кроссовые, горнолыжные "BEEZMOTO" (mod.3)</t>
  </si>
  <si>
    <t>https://b2beez.ru/images/detailed/172/orig_roqj-do.jpg</t>
  </si>
  <si>
    <t>O-9702</t>
  </si>
  <si>
    <t>Очки кроссовые, горнолыжные "BEEZMOTO" (mod.5)</t>
  </si>
  <si>
    <t>https://b2beez.ru/images/detailed/172/orig_5w90-n1.jpg</t>
  </si>
  <si>
    <t>O-1665</t>
  </si>
  <si>
    <t>Очки кроссовые 100% (желто-красные, стекло прозрачное, +чехол)</t>
  </si>
  <si>
    <t>https://b2beez.ru/images/detailed/171/6362027888.jpg</t>
  </si>
  <si>
    <t>O-1839</t>
  </si>
  <si>
    <t>Очки кроссовые "KTM" (оранжевые, стекло хамелеон, +чехол)</t>
  </si>
  <si>
    <t>https://b2beez.ru/images/detailed/171/orig_psbz-4x.jpg</t>
  </si>
  <si>
    <t>O-1843</t>
  </si>
  <si>
    <t>Очки кроссовые "MONSTER-ENERGY" (mod:3, стекло хамелеон, +чехол)</t>
  </si>
  <si>
    <t>https://b2beez.ru/images/detailed/171/6671308589.jpg</t>
  </si>
  <si>
    <t>O-1844</t>
  </si>
  <si>
    <t>Очки кроссовые "MONSTER-ENERGY" (mod:1, стекло прозрачное, +чехол)</t>
  </si>
  <si>
    <t>https://b2beez.ru/images/detailed/171/6671309313.jpg</t>
  </si>
  <si>
    <t>O-2126</t>
  </si>
  <si>
    <t>Очки кроссовые 100% (черно-белые, с серебристым стеклом, +чехол) "Retro"</t>
  </si>
  <si>
    <t>https://b2beez.ru/images/detailed/172/orig_hhxt-p3.jpg</t>
  </si>
  <si>
    <t>O-1464</t>
  </si>
  <si>
    <t>Очки мото "KOESTLER" (на резинке, черные, c перфорационным стеклом)</t>
  </si>
  <si>
    <t>https://b2beez.ru/images/detailed/171/orig_034m-aq.jpg</t>
  </si>
  <si>
    <t>O-1465</t>
  </si>
  <si>
    <t>Очки мото "KOESTLER" (на резинке, зеленые, c перфорационным стеклом)</t>
  </si>
  <si>
    <t>https://b2beez.ru/images/detailed/171/orig_aanw-oz.jpg</t>
  </si>
  <si>
    <t>O-1466</t>
  </si>
  <si>
    <t>Очки мото "KOESTLER" (на резинке, серые, c перфорационным стеклом)</t>
  </si>
  <si>
    <t>https://b2beez.ru/images/detailed/171/orig_gjan-oj.jpg</t>
  </si>
  <si>
    <t>O-1488</t>
  </si>
  <si>
    <t>Очки кроссовые 100% (бело-красные, с желтым стеклом, +чехол) "Retro"</t>
  </si>
  <si>
    <t>https://b2beez.ru/images/detailed/171/orig_tb5i-54.jpg</t>
  </si>
  <si>
    <t>O-1671</t>
  </si>
  <si>
    <t>Очки кроссовые "DAY" (бело-черные, стекло черное) "BEEZMOTO"</t>
  </si>
  <si>
    <t>https://b2beez.ru/images/detailed/171/7035678694.jpg</t>
  </si>
  <si>
    <t>O-625</t>
  </si>
  <si>
    <t>Очки кроссовые "DAY" (оранжевый, стекло чёрное) "BEEZMOTO"</t>
  </si>
  <si>
    <t>https://b2beez.ru/images/detailed/172/7035679741.jpg</t>
  </si>
  <si>
    <t>5865023-U1</t>
  </si>
  <si>
    <t>Очки кроссовые (белые, стекло золотой хром) (Царапина)</t>
  </si>
  <si>
    <t>Очки кроссовые (прозрачные, стекло хамелеон)</t>
  </si>
  <si>
    <t>https://b2beez.ru/images/detailed/48/6118128131_vbc8-2u.jpg</t>
  </si>
  <si>
    <t>7183 139</t>
  </si>
  <si>
    <t>Очки кроссовые (черные, стекло синее)</t>
  </si>
  <si>
    <t>https://b2beez.ru/images/detailed/204/7183_139-5.jpg</t>
  </si>
  <si>
    <t>Очки кроссовые (черные, стекло хамелеон) (mod.2)</t>
  </si>
  <si>
    <t>https://b2beez.ru/images/detailed/48/6352076616_cu9k-oe.jpg</t>
  </si>
  <si>
    <t>O-3329</t>
  </si>
  <si>
    <t>Очки кроссовые 100% (черный-серый, стелко хром, +чехол)</t>
  </si>
  <si>
    <t>https://b2beez.ru/images/detailed/172/orig_odjh-69.jpg</t>
  </si>
  <si>
    <t>O-4183</t>
  </si>
  <si>
    <t>Очки кроссовые 100% (белый-синий, стекло синее, +чехол) (mod.A)</t>
  </si>
  <si>
    <t>https://b2beez.ru/images/detailed/172/6346319962.jpg</t>
  </si>
  <si>
    <t>O-2123</t>
  </si>
  <si>
    <t>Очки кроссовые (желтые, стекло хамелеон)</t>
  </si>
  <si>
    <t>https://b2beez.ru/images/detailed/172/6118128145.jpg</t>
  </si>
  <si>
    <t>O-9642</t>
  </si>
  <si>
    <t>Очки кроссовые 100% (черный, стелко желтое)</t>
  </si>
  <si>
    <t>https://b2beez.ru/images/detailed/172/orig_edpo-7o.jpg</t>
  </si>
  <si>
    <t>O-2013</t>
  </si>
  <si>
    <t>Очки кроссовые 100% (красный-белый-черный, стекло желтое, +чехол) (mod.A)</t>
  </si>
  <si>
    <t>https://b2beez.ru/images/detailed/172/6346321664.jpg</t>
  </si>
  <si>
    <t>O-8019</t>
  </si>
  <si>
    <t>Очки кроссовые 100% (черный-салатовый, стекло хром, +чехол) (mod.A)</t>
  </si>
  <si>
    <t>https://b2beez.ru/images/detailed/172/6362029888.jpg</t>
  </si>
  <si>
    <t>Перчатки</t>
  </si>
  <si>
    <t>P-6447</t>
  </si>
  <si>
    <t>Перчатки "FOX" (mod:033, size:M, Синий) "DIRTPAW"</t>
  </si>
  <si>
    <t>https://b2beez.ru/images/detailed/175/orig_w1mi-lg.jpg</t>
  </si>
  <si>
    <t>P-4975</t>
  </si>
  <si>
    <t>Перчатки "ALPINESTARS" (size:M, черные)</t>
  </si>
  <si>
    <t>https://b2beez.ru/images/detailed/174/7161576357.jpg</t>
  </si>
  <si>
    <t>D-1524</t>
  </si>
  <si>
    <t>Перчатки "KUNVA SPORT" (mod:A-02, size: M-XL, красные, текстиль)</t>
  </si>
  <si>
    <t>https://b2beez.ru/images/detailed/157/orig_tpxb-i5.jpg</t>
  </si>
  <si>
    <t>P-4842</t>
  </si>
  <si>
    <t>Перчатки "FOX" (mod:030, size:L, черные) "DIRTPAW"</t>
  </si>
  <si>
    <t>https://b2beez.ru/images/detailed/174/orig_clkv-8n.jpg</t>
  </si>
  <si>
    <t>P-4920</t>
  </si>
  <si>
    <t>Перчатки без пальцев (size:XL, тактические)</t>
  </si>
  <si>
    <t>https://b2beez.ru/images/detailed/174/orig_0qqh-p3.jpg</t>
  </si>
  <si>
    <t>P-5981</t>
  </si>
  <si>
    <t>Перчатки без пальцев (size:L, тактические)</t>
  </si>
  <si>
    <t>https://b2beez.ru/images/detailed/174/orig_l97j-hr.jpg</t>
  </si>
  <si>
    <t>P-5945</t>
  </si>
  <si>
    <t>Перчатки без пальцев (size:M, тактические)</t>
  </si>
  <si>
    <t>https://b2beez.ru/images/detailed/174/orig_0qqe-4j.jpg</t>
  </si>
  <si>
    <t>P-5031</t>
  </si>
  <si>
    <t>Перчатки без пальцев GO (size:L, синие) 46</t>
  </si>
  <si>
    <t>https://b2beez.ru/images/detailed/174/6286958205.jpg</t>
  </si>
  <si>
    <t>P-3687</t>
  </si>
  <si>
    <t>Перчатки без пальцев (mod:MC-24D, size:XL, черные, текстиль) SCOYCO</t>
  </si>
  <si>
    <t>https://b2beez.ru/images/detailed/173/6322032857.jpg</t>
  </si>
  <si>
    <t>P-874</t>
  </si>
  <si>
    <t>Перчатки без пальцев (mod: HD-10, черные) KNIGHTOOD</t>
  </si>
  <si>
    <t>https://b2beez.ru/images/detailed/175/6286958177.jpg</t>
  </si>
  <si>
    <t>P-2695</t>
  </si>
  <si>
    <t>Перчатки без пальцев (size:XL, оранжевый) "MADBIKE"</t>
  </si>
  <si>
    <t>https://b2beez.ru/images/detailed/173/6459369783.jpg</t>
  </si>
  <si>
    <t>P-2696</t>
  </si>
  <si>
    <t>Перчатки без пальцев (size:L, чёрный-оранжевый) "MADBIKE"</t>
  </si>
  <si>
    <t>https://b2beez.ru/images/detailed/173/6459374322.jpg</t>
  </si>
  <si>
    <t>P-382</t>
  </si>
  <si>
    <t>Перчатки "PRO-BIKER" (mod:RQ-01, size:M, красные)</t>
  </si>
  <si>
    <t>https://b2beez.ru/images/detailed/173/orig_908n-kx.jpg</t>
  </si>
  <si>
    <t>P-783</t>
  </si>
  <si>
    <t>Перчатки "PRO-BIKER" (mod:RQ-01, size:M, черные)</t>
  </si>
  <si>
    <t>https://b2beez.ru/images/detailed/175/orig_higk-lq.jpg</t>
  </si>
  <si>
    <t>P-299</t>
  </si>
  <si>
    <t>Перчатки "PRO-BIKER" (mod:RQ-01, size:L, синие)</t>
  </si>
  <si>
    <t>https://b2beez.ru/images/detailed/173/orig_03nm-lk.jpg</t>
  </si>
  <si>
    <t>P-635</t>
  </si>
  <si>
    <t>Перчатки "PRO-BIKER" (mod:RQ-01, size:M, синие)</t>
  </si>
  <si>
    <t>https://b2beez.ru/images/detailed/174/orig_fiyl-c2.jpg</t>
  </si>
  <si>
    <t>P-7972</t>
  </si>
  <si>
    <t>Перчатки "Tao-Trail" (черные, size M) ST-666</t>
  </si>
  <si>
    <t>https://b2beez.ru/images/detailed/175/6099698952.jpg</t>
  </si>
  <si>
    <t>P-1571</t>
  </si>
  <si>
    <t>Перчатки "Tao-Trail" (черные, size L) ST-666</t>
  </si>
  <si>
    <t>https://b2beez.ru/images/detailed/172/orig_8j45-or.jpg</t>
  </si>
  <si>
    <t>P-3245</t>
  </si>
  <si>
    <t>Перчатки "Tao-Trail" (черные, size XL) ST-666</t>
  </si>
  <si>
    <t>https://b2beez.ru/images/detailed/173/orig_rvw1-ec.jpg</t>
  </si>
  <si>
    <t>P-3761</t>
  </si>
  <si>
    <t>Перчатки "Tao-Trail" (черные, size XXL) ST-666</t>
  </si>
  <si>
    <t>https://b2beez.ru/images/detailed/173/6099698922.jpg</t>
  </si>
  <si>
    <t>P-1966</t>
  </si>
  <si>
    <t>Перчатки "CITY" (size:M, черные) "Madbike"</t>
  </si>
  <si>
    <t>https://b2beez.ru/images/detailed/173/6140083287.jpg</t>
  </si>
  <si>
    <t>P-6273</t>
  </si>
  <si>
    <t>Перчатки "CITY" (size:XL, черные) "Madbike"</t>
  </si>
  <si>
    <t>https://b2beez.ru/images/detailed/174/6140083287_3zgx-fe.jpg</t>
  </si>
  <si>
    <t>P-5016</t>
  </si>
  <si>
    <t>Перчатки GO (size;L, красные) "46"</t>
  </si>
  <si>
    <t>https://b2beez.ru/images/detailed/174/6286958186.jpg</t>
  </si>
  <si>
    <t>P-5019</t>
  </si>
  <si>
    <t>Перчатки GO (size;L, синие) "46"</t>
  </si>
  <si>
    <t>https://b2beez.ru/images/detailed/174/6286958189.jpg</t>
  </si>
  <si>
    <t>P-5018</t>
  </si>
  <si>
    <t>Перчатки GO (size;XL, красные) "46"</t>
  </si>
  <si>
    <t>https://b2beez.ru/images/detailed/174/6286958186_ekt8-cm.jpg</t>
  </si>
  <si>
    <t>P-5020</t>
  </si>
  <si>
    <t>Перчатки GO (size;M, синие) "46"</t>
  </si>
  <si>
    <t>https://b2beez.ru/images/detailed/174/6286958201.jpg</t>
  </si>
  <si>
    <t>P-5021</t>
  </si>
  <si>
    <t>Перчатки GO (size;XL, синие) "46"</t>
  </si>
  <si>
    <t>https://b2beez.ru/images/detailed/174/6286958194.jpg</t>
  </si>
  <si>
    <t>P-4974</t>
  </si>
  <si>
    <t>Перчатки "ALPINESTARS" (size:L. черные)</t>
  </si>
  <si>
    <t>https://b2beez.ru/images/detailed/174/7161573247.jpg</t>
  </si>
  <si>
    <t>P-4781</t>
  </si>
  <si>
    <t>Перчатки "FOX" (mod:024, size:XL, черные) "DIRTPAW"</t>
  </si>
  <si>
    <t>https://b2beez.ru/images/detailed/174/6369246221.jpg</t>
  </si>
  <si>
    <t>P-2681</t>
  </si>
  <si>
    <t>Перчатки без пальцев (mod:1, size:XL, черно-синие) "IP"</t>
  </si>
  <si>
    <t>https://b2beez.ru/images/detailed/173/6286958220.jpg</t>
  </si>
  <si>
    <t>P-2684</t>
  </si>
  <si>
    <t>Перчатки без пальцев (mod:1, size:L, гелевые подушки, красные) "HAND CREW"</t>
  </si>
  <si>
    <t>https://b2beez.ru/images/detailed/173/6286958207.jpg</t>
  </si>
  <si>
    <t>P-3695</t>
  </si>
  <si>
    <t>Перчатки "SCOYCO" (mod:MC-33, size:M, черные, текстиль)</t>
  </si>
  <si>
    <t>https://b2beez.ru/images/detailed/173/6099698910.jpg</t>
  </si>
  <si>
    <t>P-4067</t>
  </si>
  <si>
    <t>Перчатки без пальцев (mod:MC-29D,size:XL, красные) "SCOYCO"</t>
  </si>
  <si>
    <t>https://b2beez.ru/images/detailed/173/6286958198.jpg</t>
  </si>
  <si>
    <t>P-4775</t>
  </si>
  <si>
    <t>Перчатки "FOX" (mod:029, size:L, красно-черные) "DIRTPAW"</t>
  </si>
  <si>
    <t>https://b2beez.ru/images/detailed/174/orig_rhus-97.jpg</t>
  </si>
  <si>
    <t>P-4776</t>
  </si>
  <si>
    <t>Перчатки "FOX" (mod:029, size:M, красно-черные) "DIRTPAW"</t>
  </si>
  <si>
    <t>https://b2beez.ru/images/detailed/174/orig_3gp2-dp.jpg</t>
  </si>
  <si>
    <t>P-4777</t>
  </si>
  <si>
    <t>Перчатки "FOX" (mod:029, size:XL, красно-черные) "DIRTPAW"</t>
  </si>
  <si>
    <t>https://b2beez.ru/images/detailed/174/orig_3mql-xe.jpg</t>
  </si>
  <si>
    <t>P-4779</t>
  </si>
  <si>
    <t>Перчатки "FOX" (mod:024, size:M, черные) "DIRTPAW"</t>
  </si>
  <si>
    <t>https://b2beez.ru/images/detailed/174/orig_wdln-x6.jpg</t>
  </si>
  <si>
    <t>P-4791</t>
  </si>
  <si>
    <t>Перчатки "FOX" (mod:027, size:L, белые) "DIRTPAW"</t>
  </si>
  <si>
    <t>https://b2beez.ru/images/detailed/174/orig_qpvb-u3.jpg</t>
  </si>
  <si>
    <t>P-4792</t>
  </si>
  <si>
    <t>Перчатки "FOX" (mod:027, size:M, белые) "DIRTPAW"</t>
  </si>
  <si>
    <t>https://b2beez.ru/images/detailed/174/orig_ug2f-up.jpg</t>
  </si>
  <si>
    <t>P-4793</t>
  </si>
  <si>
    <t>Перчатки "FOX" (mod:027, size:XL, белые) "DIRTPAW"</t>
  </si>
  <si>
    <t>https://b2beez.ru/images/detailed/174/orig_xwmo-ki.jpg</t>
  </si>
  <si>
    <t>P-4796</t>
  </si>
  <si>
    <t>Перчатки "FOX" DIRTPAW (mod:028, size:XL, бело-черные)</t>
  </si>
  <si>
    <t>https://b2beez.ru/images/detailed/174/orig_br14-92.jpg</t>
  </si>
  <si>
    <t>P-4836</t>
  </si>
  <si>
    <t>Перчатки "FOX" (mod:030, size:L, черно-белые) "DIRTPAW"</t>
  </si>
  <si>
    <t>https://b2beez.ru/images/detailed/174/orig_py1o-7c.jpg</t>
  </si>
  <si>
    <t>P-4837</t>
  </si>
  <si>
    <t>Перчатки "FOX" (mod:030, size:M, черно-белые) "DIRTPAW"</t>
  </si>
  <si>
    <t>https://b2beez.ru/images/detailed/174/orig_yit6-98.jpg</t>
  </si>
  <si>
    <t>P-4971</t>
  </si>
  <si>
    <t>Перчатки "ALPINESTARS" (size:L, синие)</t>
  </si>
  <si>
    <t>https://b2beez.ru/images/detailed/174/7161567767.jpg</t>
  </si>
  <si>
    <t>P-4972</t>
  </si>
  <si>
    <t>Перчатки "ALPINESTARS" (size:M, синие)</t>
  </si>
  <si>
    <t>https://b2beez.ru/images/detailed/174/7161569431.jpg</t>
  </si>
  <si>
    <t>P-4973</t>
  </si>
  <si>
    <t>Перчатки "ALPINESTARS" (size:XL, синие)</t>
  </si>
  <si>
    <t>https://b2beez.ru/images/detailed/174/7161571462.jpg</t>
  </si>
  <si>
    <t>P-5001</t>
  </si>
  <si>
    <t>Перчатки без пальцев (size:L, зеленые) "FOX"</t>
  </si>
  <si>
    <t>https://b2beez.ru/images/detailed/174/6286958175.jpg</t>
  </si>
  <si>
    <t>P-5002</t>
  </si>
  <si>
    <t>Перчатки без пальцев (size:M, зеленые) "FOX"</t>
  </si>
  <si>
    <t>https://b2beez.ru/images/detailed/174/6286958175_t8ak-k3.jpg</t>
  </si>
  <si>
    <t>P-5003</t>
  </si>
  <si>
    <t>Перчатки без пальцев (size:XL, зеленые) "FOX"</t>
  </si>
  <si>
    <t>https://b2beez.ru/images/detailed/174/6286958175_yits-6x.jpg</t>
  </si>
  <si>
    <t>P-5007</t>
  </si>
  <si>
    <t>Перчатки без пальцев (size:L, желтые) "FOX"</t>
  </si>
  <si>
    <t>https://b2beez.ru/images/detailed/174/6286958184.jpg</t>
  </si>
  <si>
    <t>P-5013</t>
  </si>
  <si>
    <t>Перчатки без пальцев (size:L, оранжевые) "FOX"</t>
  </si>
  <si>
    <t>https://b2beez.ru/images/detailed/174/6286958179.jpg</t>
  </si>
  <si>
    <t>P-5014</t>
  </si>
  <si>
    <t>Перчатки без пальцев (size:M, оранжевые) "FOX"</t>
  </si>
  <si>
    <t>https://b2beez.ru/images/detailed/174/6286958179_2xw2-n0.jpg</t>
  </si>
  <si>
    <t>P-854</t>
  </si>
  <si>
    <t>Перчатки без пальцев GLOVE (mod:Freeride, size:M, синие) "FOX"</t>
  </si>
  <si>
    <t>https://b2beez.ru/images/detailed/175/6286958182_ym2y-u6.jpg</t>
  </si>
  <si>
    <t>P-893</t>
  </si>
  <si>
    <t>Перчатки "PRO-BIKER" (mod:RQ-01, size:L, красные)</t>
  </si>
  <si>
    <t>https://b2beez.ru/images/detailed/175/orig_10wf-h2.jpg</t>
  </si>
  <si>
    <t>P-895</t>
  </si>
  <si>
    <t>Перчатки "PRO-BIKER" (mod:RQ-01, size:L, черные)</t>
  </si>
  <si>
    <t>https://b2beez.ru/images/detailed/175/orig_d7y4-kx.jpg</t>
  </si>
  <si>
    <t>P-896</t>
  </si>
  <si>
    <t>Перчатки "PRO-BIKER" (mod:RQ-01, size:XL, красные)</t>
  </si>
  <si>
    <t>https://b2beez.ru/images/detailed/175/orig_naag-s3.jpg</t>
  </si>
  <si>
    <t>P-897</t>
  </si>
  <si>
    <t>Перчатки "PRO-BIKER" (mod:RQ-01, size:XL, синие)</t>
  </si>
  <si>
    <t>https://b2beez.ru/images/detailed/175/orig_m5iz-cv.jpg</t>
  </si>
  <si>
    <t>P-2678</t>
  </si>
  <si>
    <t>Перчатки без пальцев (mod:1,size:L, черно-желтые) "IP"</t>
  </si>
  <si>
    <t>https://b2beez.ru/images/detailed/173/6286958185.jpg</t>
  </si>
  <si>
    <t>P-2693</t>
  </si>
  <si>
    <t>Перчатки "ALPINESTARS" (size:XL, красные)</t>
  </si>
  <si>
    <t>https://b2beez.ru/images/detailed/173/7161494268.jpg</t>
  </si>
  <si>
    <t>P-5954</t>
  </si>
  <si>
    <t>Перчатки (бежево-черные, size L) "SCOYCO"</t>
  </si>
  <si>
    <t>https://b2beez.ru/images/detailed/174/6286958188.jpg</t>
  </si>
  <si>
    <t>P-5122</t>
  </si>
  <si>
    <t>Перчатки "Tao-Trail" (красный, size XL) ST-666</t>
  </si>
  <si>
    <t>https://b2beez.ru/images/detailed/205/1_2we1-vb.jpg</t>
  </si>
  <si>
    <t>P-7523</t>
  </si>
  <si>
    <t>Перчатки "Tao-Trail" (синий, size XL) ST-666</t>
  </si>
  <si>
    <t>https://b2beez.ru/images/detailed/205/1_fux3-s5.jpg</t>
  </si>
  <si>
    <t>P-1143</t>
  </si>
  <si>
    <t>Перчатки "Tao-Trail" (синий, size L) ST-666</t>
  </si>
  <si>
    <t>https://b2beez.ru/images/detailed/205/1_4hyu-lq.jpg</t>
  </si>
  <si>
    <t>P-2237</t>
  </si>
  <si>
    <t>Перчатки "Tao-Trail" (красный, size L) ST-666</t>
  </si>
  <si>
    <t>https://b2beez.ru/images/detailed/205/1_1a6h-h0.jpg</t>
  </si>
  <si>
    <t>P-985</t>
  </si>
  <si>
    <t>Перчатки "PRO-BIKER" (mod:RQ-01, size:XL, черные)</t>
  </si>
  <si>
    <t>https://b2beez.ru/images/detailed/175/orig_lomu-3p.jpg</t>
  </si>
  <si>
    <t>Подшлемники</t>
  </si>
  <si>
    <t>O-1886</t>
  </si>
  <si>
    <t>Подшлемник-маска MONSTER</t>
  </si>
  <si>
    <t>https://b2beez.ru/images/detailed/171/6476146900.jpg</t>
  </si>
  <si>
    <t>P-3108</t>
  </si>
  <si>
    <t>Подшлемник (черный, текстиль)</t>
  </si>
  <si>
    <t>https://b2beez.ru/images/detailed/173/orig_zgc6-ml.jpg</t>
  </si>
  <si>
    <t>O-1885</t>
  </si>
  <si>
    <t>Подшлемник-маска (комуфляж)</t>
  </si>
  <si>
    <t>https://b2beez.ru/images/detailed/171/6476145804.jpg</t>
  </si>
  <si>
    <t>O-1888</t>
  </si>
  <si>
    <t>Подшлемник-маска "SKILLET"</t>
  </si>
  <si>
    <t>https://b2beez.ru/images/detailed/171/orig_pvs3-su.jpg</t>
  </si>
  <si>
    <t>P-8060</t>
  </si>
  <si>
    <t>Подшлемник (mod:WL-EA004) (черно-желтый) "KML"</t>
  </si>
  <si>
    <t>https://b2beez.ru/images/detailed/175/6116910931.jpg</t>
  </si>
  <si>
    <t>V-1283</t>
  </si>
  <si>
    <t>Подшлемник-маска (mod:1) "KOMATCU"</t>
  </si>
  <si>
    <t>https://b2beez.ru/images/detailed/184/6459353220.jpg</t>
  </si>
  <si>
    <t>V-1411</t>
  </si>
  <si>
    <t>Подшлемник (mod:WL-AA012) (MONSTER ENERGY, черный) "KML"</t>
  </si>
  <si>
    <t>https://b2beez.ru/images/detailed/185/6116910935.jpg</t>
  </si>
  <si>
    <t>V-1414</t>
  </si>
  <si>
    <t>Подшлемник (mod:WL-AA003) (FOX, черный) "KML"</t>
  </si>
  <si>
    <t>https://b2beez.ru/images/detailed/185/6116692145.jpg</t>
  </si>
  <si>
    <t>V-1419</t>
  </si>
  <si>
    <t>Подшлемник (mod:WL-AA017) (желтый) "KML"</t>
  </si>
  <si>
    <t>https://b2beez.ru/images/detailed/185/6116910934.jpg</t>
  </si>
  <si>
    <t>V-1427</t>
  </si>
  <si>
    <t>Подшлемник (mod:WL-EA010) (черно-красный) "KML"</t>
  </si>
  <si>
    <t>https://b2beez.ru/images/detailed/185/6116910945.jpg</t>
  </si>
  <si>
    <t>V-1428</t>
  </si>
  <si>
    <t>Подшлемник (mod:WL-EA007) (черно-красный) "KML"</t>
  </si>
  <si>
    <t>https://b2beez.ru/images/detailed/185/6116910952.jpg</t>
  </si>
  <si>
    <t>V-1431</t>
  </si>
  <si>
    <t>Подшлемник-маска (mod:WL-GB) "KML"</t>
  </si>
  <si>
    <t>https://b2beez.ru/images/detailed/185/6459355426.jpg</t>
  </si>
  <si>
    <t>V-1284</t>
  </si>
  <si>
    <t>Подшлемник-маска (mod:2) "KOMATCU"</t>
  </si>
  <si>
    <t>https://b2beez.ru/images/detailed/184/6459360749.jpg</t>
  </si>
  <si>
    <t>V-1430</t>
  </si>
  <si>
    <t>Подшлемник-маска (mod:WL-GB002) "KML"</t>
  </si>
  <si>
    <t>https://b2beez.ru/images/detailed/185/6459358180.jpg</t>
  </si>
  <si>
    <t>Рюкзаки, сумки</t>
  </si>
  <si>
    <t>R-3374</t>
  </si>
  <si>
    <t>Накладка на рюкзак с LED указателями движения (250*250*15mm, зеленая, 48 диодов, 850mАh, пульт)</t>
  </si>
  <si>
    <t>https://b2beez.ru/images/detailed/177/6856838595.jpg</t>
  </si>
  <si>
    <t>R-1393</t>
  </si>
  <si>
    <t>Накладка на рюкзак с LED указателями движения (250*250*15mm, серая, 48 диодов, 850mАh, пульт)</t>
  </si>
  <si>
    <t>https://b2beez.ru/images/detailed/176/orig_iwwm-fn.png</t>
  </si>
  <si>
    <t>R-5217</t>
  </si>
  <si>
    <t>Накладка на рюкзак с LED указателями движения (250*250*15mm, серая, 30 диодов, 500mАh, пульт)</t>
  </si>
  <si>
    <t>https://b2beez.ru/images/detailed/177/6856907109.jpg</t>
  </si>
  <si>
    <t>R-8929</t>
  </si>
  <si>
    <t>Накладка на рюкзак с LED указателями движения (250*250*15mm, зеленая, 30 диодов, 500mАh, пульт)</t>
  </si>
  <si>
    <t>https://b2beez.ru/images/detailed/178/6856860473.jpg</t>
  </si>
  <si>
    <t>R-6954</t>
  </si>
  <si>
    <t>Накладка на спину с LED указателями движения (250*250*15mm, зеленая, 48 диодов, 850mАh, пульт)</t>
  </si>
  <si>
    <t>https://b2beez.ru/images/detailed/177/6856864349.jpg</t>
  </si>
  <si>
    <t>R-4959</t>
  </si>
  <si>
    <t>Накладка на спину с LED указателями движения (250*250*15mm, серая, 48 диодов, 850mАh, пульт)</t>
  </si>
  <si>
    <t>https://b2beez.ru/images/detailed/177/6856851249.jpg</t>
  </si>
  <si>
    <t>R-6535</t>
  </si>
  <si>
    <t>Накладка на спину с LED указателями движения (250*250*15mm, зеленая, 30 диодов, 500mАh, пульт)</t>
  </si>
  <si>
    <t>https://b2beez.ru/images/detailed/177/6856875848.jpg</t>
  </si>
  <si>
    <t>R-5236</t>
  </si>
  <si>
    <t>Накладка на спину с LED указателями движения (250*250*15mm, серая, 30 диодов, 500mАh, пульт)</t>
  </si>
  <si>
    <t>https://b2beez.ru/images/detailed/177/6856834596.jpg</t>
  </si>
  <si>
    <t>R-3810</t>
  </si>
  <si>
    <t>Рюкзак с LED указателями движения (400*250*150mm, черный, 30 диодов, 500mАh, пульт на руль)</t>
  </si>
  <si>
    <t>https://b2beez.ru/images/detailed/177/6856893006.jpg</t>
  </si>
  <si>
    <t>R-8636</t>
  </si>
  <si>
    <t>Рюкзак с LED указателями движения (400*250*150mm, серый, 30 диодов, 500mАh, пульт на руль)</t>
  </si>
  <si>
    <t>https://b2beez.ru/images/detailed/178/6856894236.jpg</t>
  </si>
  <si>
    <t>R-0767</t>
  </si>
  <si>
    <t>Рюкзак c LED указателями движения (400*250*150mm, серо-зеленый, 30 диодов, 500mАh, пульт на руль)</t>
  </si>
  <si>
    <t>https://b2beez.ru/images/detailed/176/6856891704.jpg</t>
  </si>
  <si>
    <t>R-1316</t>
  </si>
  <si>
    <t>Рюкзак c LED указателями движения (360*210*115mm, черно-зеленый, 48 диодов, 850mАh, пульт на руль)</t>
  </si>
  <si>
    <t>https://b2beez.ru/images/detailed/176/6856853185.jpg</t>
  </si>
  <si>
    <t>R-0980</t>
  </si>
  <si>
    <t>Рюкзак с LED указателями движения (360*210*115mm, черно-оранжевый, 48 диодов, 850mАh, пульт на руль)</t>
  </si>
  <si>
    <t>https://b2beez.ru/images/detailed/176/6856887000.jpg</t>
  </si>
  <si>
    <t>R-1498</t>
  </si>
  <si>
    <t>Рюкзак c LED указателями движения (360*210*115mm, черно-зеленый, 30 диодов, 500mАh, пульт на руль)</t>
  </si>
  <si>
    <t>https://b2beez.ru/images/detailed/176/6856884487.jpg</t>
  </si>
  <si>
    <t>R-9033</t>
  </si>
  <si>
    <t xml:space="preserve">Рюкзак c LED указателями движения (360*210*115mm, черно-оранжевый, 30 диодов, 500mАh, пульт на руль)																														</t>
  </si>
  <si>
    <t>https://b2beez.ru/images/detailed/178/6856879375.jpg</t>
  </si>
  <si>
    <t>R-0815</t>
  </si>
  <si>
    <t>Рюкзак с LED указателями движения (460*320*200mm, серо-зеленый, 48 диодов, 850mАh, пульт на руль)</t>
  </si>
  <si>
    <t>https://b2beez.ru/images/detailed/176/orig.png</t>
  </si>
  <si>
    <t>R-6458</t>
  </si>
  <si>
    <t>Рюкзак с LED указателями движения (420*250*200mm, серо-синий, 48 диодов, 850mАh, пульт на руль)</t>
  </si>
  <si>
    <t>https://b2beez.ru/images/detailed/177/6856872908.jpg</t>
  </si>
  <si>
    <t>R-6798</t>
  </si>
  <si>
    <t>Рюкзак c LED указателями движения (490*350*100mm, зелено-серый, 30 диодов, 500mАh, пульт на руль)</t>
  </si>
  <si>
    <t>https://b2beez.ru/images/detailed/177/6856831302.jpg</t>
  </si>
  <si>
    <t>R-7722</t>
  </si>
  <si>
    <t>Накладка на спину и рюкзак с LED указателями движения (250*250*15mm, 48 диодов, 850mАh, пульт) mod:A</t>
  </si>
  <si>
    <t>https://b2beez.ru/images/detailed/178/6856833555.jpg</t>
  </si>
  <si>
    <t>R-1870</t>
  </si>
  <si>
    <t>Накладка на спину и рюкзак с LED указателями движения (250*250*15mm, 48 диодов, 850mАh, пульт) mod:B</t>
  </si>
  <si>
    <t>https://b2beez.ru/images/detailed/176/6856862154.jpg</t>
  </si>
  <si>
    <t>R-2248</t>
  </si>
  <si>
    <t>Накладка на спину и рюкзак с LED указателями движения (250*250*15mm, 30 диодов, 500mАh, пульт) mod:A</t>
  </si>
  <si>
    <t>https://b2beez.ru/images/detailed/176/orig_00zp-9i.png</t>
  </si>
  <si>
    <t>R-2340</t>
  </si>
  <si>
    <t>Накладка на спину и рюкзак с LED указателями движения (250*250*15mm, 30 диодов, 500mАh, пульт) mod:B</t>
  </si>
  <si>
    <t>https://b2beez.ru/images/detailed/177/6856860164.jpg</t>
  </si>
  <si>
    <t>R-8434</t>
  </si>
  <si>
    <t>Накладка на спину с LED указателями движения (210*210*115mm, зелено-черная, 30 диодов, 500mАh, пульт на руль/запястье)</t>
  </si>
  <si>
    <t>https://b2beez.ru/images/detailed/178/6856853480.jpg</t>
  </si>
  <si>
    <t>R-8055</t>
  </si>
  <si>
    <t>Накладка на спину с LED указателями движения (210*210*115mm, серая, 30 диодов, 500mАh, пульт на руль/запястье)</t>
  </si>
  <si>
    <t>https://b2beez.ru/images/detailed/178/6856851321.jpg</t>
  </si>
  <si>
    <t>S-7011</t>
  </si>
  <si>
    <t>Сумка на пояс с LED указателями движения (260*110*15mm, зеленая, 30 диодов, 500mАh, пульт)</t>
  </si>
  <si>
    <t>https://b2beez.ru/images/detailed/182/6856850010.jpg</t>
  </si>
  <si>
    <t>S-7274</t>
  </si>
  <si>
    <t>Сумка на пояс с LED указателями движения (260*110*15mm, серая, 30 диодов, 500mАh, пульт)</t>
  </si>
  <si>
    <t>https://b2beez.ru/images/detailed/182/6856848103.jpg</t>
  </si>
  <si>
    <t>S-1719</t>
  </si>
  <si>
    <t>Сумка велосипедная под седло с LED указателями движения (180*120*110mm, 30 диодов, 500mAh, пульт) mod:A</t>
  </si>
  <si>
    <t>https://b2beez.ru/images/detailed/178/6856844439.jpg</t>
  </si>
  <si>
    <t>S-2129</t>
  </si>
  <si>
    <t>Сумка велосипедная под седло с LED указателями движения (180*120*110mm, 30 диодов, 500mAh, пульт) mod:B</t>
  </si>
  <si>
    <t>https://b2beez.ru/images/detailed/179/6856843897.jpg</t>
  </si>
  <si>
    <t>R-2998</t>
  </si>
  <si>
    <t>Рюкзак с LED указателями движения (450*330*100mm, черно-серый, 30 диодов, 500mАh, пульт на руль)</t>
  </si>
  <si>
    <t>https://b2beez.ru/images/detailed/177/6856840925.jpg</t>
  </si>
  <si>
    <t>R-0111</t>
  </si>
  <si>
    <t>Рюкзак с LED указателями движения (420*250*200mm, серо-зеленый, 30 диодов, 500mАh, пульт на руль)</t>
  </si>
  <si>
    <t>https://b2beez.ru/images/detailed/176/6856838275.jpg</t>
  </si>
  <si>
    <t>R-0222</t>
  </si>
  <si>
    <t>Рюкзак с LED указателями движения (420*250*200mm, серо-синий, 30 диодов, 500mАh, пульт на руль)</t>
  </si>
  <si>
    <t>https://b2beez.ru/images/detailed/176/6856835314.jpg</t>
  </si>
  <si>
    <t>R-1333</t>
  </si>
  <si>
    <t>Рюкзак с LED указателями движения (450*350*100mm, черный, 48 диодов, 850mАh, пульт на руль)</t>
  </si>
  <si>
    <t>https://b2beez.ru/images/detailed/176/6856832305.jpg</t>
  </si>
  <si>
    <t>R-9354</t>
  </si>
  <si>
    <t>Рюкзак тактический, водонепроницаемый, 45л (mod:1)</t>
  </si>
  <si>
    <t>https://b2beez.ru/images/detailed/178/orig_xt70-zl.jpg</t>
  </si>
  <si>
    <t>R-1899</t>
  </si>
  <si>
    <t>Рюкзак "KTM" (mod:B-14)</t>
  </si>
  <si>
    <t>https://b2beez.ru/images/detailed/176/6354792144.jpg</t>
  </si>
  <si>
    <t>R-2976</t>
  </si>
  <si>
    <t>Рюкзак (детский) "KTM"</t>
  </si>
  <si>
    <t>https://b2beez.ru/images/detailed/177/6368509656.jpg</t>
  </si>
  <si>
    <t>R-2971</t>
  </si>
  <si>
    <t>Рюкзак (черный, зауженный) "KTM"</t>
  </si>
  <si>
    <t>https://b2beez.ru/images/detailed/177/6354792260.jpg</t>
  </si>
  <si>
    <t>R-2205</t>
  </si>
  <si>
    <t>Рюкзак PRO-BIKER (черно-желтый)</t>
  </si>
  <si>
    <t>https://b2beez.ru/images/detailed/176/6354792086.jpg</t>
  </si>
  <si>
    <t>R-3656</t>
  </si>
  <si>
    <t>Сумка велосипедная на руль с держателем телефона (черный, водонепроницаемая) "B-SOUL"</t>
  </si>
  <si>
    <t>https://b2beez.ru/images/detailed/177/orig_6q01-f4.jpg</t>
  </si>
  <si>
    <t>R-3003-U1</t>
  </si>
  <si>
    <t>Сумка (черно-желтая) "KTM" (Отсутствуют собачки на замках)</t>
  </si>
  <si>
    <t>R-9357</t>
  </si>
  <si>
    <t>Рюкзак тактический, водонепроницаемый, 45л (mod:2)</t>
  </si>
  <si>
    <t>https://b2beez.ru/images/detailed/178/6483652156.jpg</t>
  </si>
  <si>
    <t>R-4709</t>
  </si>
  <si>
    <t>Сумка на бак ( на магнитах, влагостойкий отсек под телефон, планшет) (mod:B-1) G-XZ-002</t>
  </si>
  <si>
    <t>https://b2beez.ru/images/detailed/177/orig_dw0c-s2.jpg</t>
  </si>
  <si>
    <t>R-3062</t>
  </si>
  <si>
    <t>Рюкзак "KTM" (mod:B-1, гидратор, термобарьер)</t>
  </si>
  <si>
    <t>https://b2beez.ru/images/detailed/177/6354792171.jpg</t>
  </si>
  <si>
    <t>R-8836</t>
  </si>
  <si>
    <t>Рюкзак "KTM" (mod:B-2, гидратор, термобарьер, 10л)</t>
  </si>
  <si>
    <t>https://b2beez.ru/images/detailed/178/orig_b3js-y2.jpg</t>
  </si>
  <si>
    <t>S-8947</t>
  </si>
  <si>
    <t>Сумка на бедро "ALPINESTARS" (mod:B-2)</t>
  </si>
  <si>
    <t>https://b2beez.ru/images/detailed/182/6169092809.jpg</t>
  </si>
  <si>
    <t>S-8729</t>
  </si>
  <si>
    <t>Сумка на бедро "MONSTER ENERGY" (mod:B-2)</t>
  </si>
  <si>
    <t>https://b2beez.ru/images/detailed/182/orig_sbin-p4.jpg</t>
  </si>
  <si>
    <t>S-7762</t>
  </si>
  <si>
    <t>Сумка на бедро "ALPINESTARS" (mod:B-1)</t>
  </si>
  <si>
    <t>https://b2beez.ru/images/detailed/182/orig_eo5i-mj.jpg</t>
  </si>
  <si>
    <t>K-0478</t>
  </si>
  <si>
    <t>Кофры боковые (пара) (ткань-карбон, черные) (mod:B-3)</t>
  </si>
  <si>
    <t>https://b2beez.ru/images/detailed/166/6167664201.jpg</t>
  </si>
  <si>
    <t>R-1884-U1</t>
  </si>
  <si>
    <t>Рюкзак "MONSTER ENERGY" (mod:B-12) (Разошелся шов)</t>
  </si>
  <si>
    <t>R-1868</t>
  </si>
  <si>
    <t>https://b2beez.ru/images/detailed/176/orig_opav-4d.jpg</t>
  </si>
  <si>
    <t>R-731-U1</t>
  </si>
  <si>
    <t>Рюкзак "MONSTER ENERGY" (гидратор, термобарьер, 7л) (mod:B-5) (Не комплект)</t>
  </si>
  <si>
    <t>R-1123-U1</t>
  </si>
  <si>
    <t>Рюкзак-сумка "ALPINESTARS" (на хвост мотоцикла) (Повреждения)</t>
  </si>
  <si>
    <t>S-8947-U1</t>
  </si>
  <si>
    <t>Сумка на бедро "ALPINESTARS" (mod:B-2) (разошелся шов)</t>
  </si>
  <si>
    <t>R-8629-U2</t>
  </si>
  <si>
    <t>Рюкзак "FOX" (+сетка, гидратор) (mod:B-15) (Нет гидратора)</t>
  </si>
  <si>
    <t>R-9987</t>
  </si>
  <si>
    <t>Рюкзак c вентилятором (470*380*180mm,цвет серый 3W,5V,3A)</t>
  </si>
  <si>
    <t>https://b2beez.ru/images/detailed/178/6856792579.jpg</t>
  </si>
  <si>
    <t>P-3111</t>
  </si>
  <si>
    <t>Рюкзак c вентилятором (470*380*180mm,цвет черный 3W,5V,3A)</t>
  </si>
  <si>
    <t>https://b2beez.ru/images/detailed/173/6856791112.jpg</t>
  </si>
  <si>
    <t>R-1884</t>
  </si>
  <si>
    <t>Рюкзак "MONSTER ENERGY" (mod:B-12)</t>
  </si>
  <si>
    <t>https://b2beez.ru/images/detailed/176/orig_560c-fi.jpg</t>
  </si>
  <si>
    <t>R-1896</t>
  </si>
  <si>
    <t>Рюкзак "ALPINESTARS" (49*16*8см, гидратор, термобарьер) (mod:B-10)</t>
  </si>
  <si>
    <t>https://b2beez.ru/images/detailed/176/orig_gg1k-6f.jpg</t>
  </si>
  <si>
    <t>R-2203</t>
  </si>
  <si>
    <t>Рюкзак "KTM" (mod:B-12)</t>
  </si>
  <si>
    <t>https://b2beez.ru/images/detailed/176/orig_ig1t-c5.jpg</t>
  </si>
  <si>
    <t>R-2216</t>
  </si>
  <si>
    <t>Сумка (зеленая) "TAICHI"</t>
  </si>
  <si>
    <t>https://b2beez.ru/images/detailed/176/6169092873.jpg</t>
  </si>
  <si>
    <t>R-2397</t>
  </si>
  <si>
    <t>Рюкзак "MONSTER ENERGY"</t>
  </si>
  <si>
    <t>https://b2beez.ru/images/detailed/177/orig_v435-rk.jpg</t>
  </si>
  <si>
    <t>R-2398</t>
  </si>
  <si>
    <t>Рюкзак "KTM" (гидратор, термобарьер, 5л) mod:A</t>
  </si>
  <si>
    <t>https://b2beez.ru/images/detailed/177/6094842571.jpg</t>
  </si>
  <si>
    <t>R-2993</t>
  </si>
  <si>
    <t>Сумка на бедро "ALPINESTARS" (замшевые вставки mod:B-1)</t>
  </si>
  <si>
    <t>https://b2beez.ru/images/detailed/177/6169092885.jpg</t>
  </si>
  <si>
    <t>R-3002</t>
  </si>
  <si>
    <t>Сумка (черно-белая) "KOMINE"</t>
  </si>
  <si>
    <t>https://b2beez.ru/images/detailed/177/6169092854.jpg</t>
  </si>
  <si>
    <t>R-3006</t>
  </si>
  <si>
    <t>Рюкзак(черно-оранжевый) "KTM"</t>
  </si>
  <si>
    <t>https://b2beez.ru/images/detailed/177/orig_dq8v-0w.jpg</t>
  </si>
  <si>
    <t>R-722</t>
  </si>
  <si>
    <t>Рюкзак "ALPINESTARS" (mod:B-5, гидратор, термобарьер, черно-белый) (49*16*8см)</t>
  </si>
  <si>
    <t>https://b2beez.ru/images/detailed/177/orig_7z72-my.jpg</t>
  </si>
  <si>
    <t>R-723</t>
  </si>
  <si>
    <t>Рюкзак "ALPINESTARS" (49*16*8см, гидратор, термобарьер, черно-красный) (mod:B-5)</t>
  </si>
  <si>
    <t>https://b2beez.ru/images/detailed/177/6354792031.jpg</t>
  </si>
  <si>
    <t>R-729</t>
  </si>
  <si>
    <t>Рюкзак "MONSTER ENERGY" (mod:B-3)</t>
  </si>
  <si>
    <t>https://b2beez.ru/images/detailed/177/6169092887.jpg</t>
  </si>
  <si>
    <t>R-732</t>
  </si>
  <si>
    <t>Рюкзак-сумка "MONSTER ENERGY" (mod:B-1, на хвост мотоцикла)</t>
  </si>
  <si>
    <t>https://b2beez.ru/images/detailed/177/6169092822.jpg</t>
  </si>
  <si>
    <t>R-2094</t>
  </si>
  <si>
    <t>Сумка для шлема (mod:WL-0630) "PROBIKER"</t>
  </si>
  <si>
    <t>https://b2beez.ru/images/detailed/176/6169092846.jpg</t>
  </si>
  <si>
    <t>R-2974</t>
  </si>
  <si>
    <t>Рюкзак (черный, зауженный) "FOX"</t>
  </si>
  <si>
    <t>https://b2beez.ru/images/detailed/177/6354792204.jpg</t>
  </si>
  <si>
    <t>R-2975</t>
  </si>
  <si>
    <t>Рюкзак (детский) "MONSTER ENERGY"</t>
  </si>
  <si>
    <t>https://b2beez.ru/images/detailed/177/6354792066.jpg</t>
  </si>
  <si>
    <t>R-2938</t>
  </si>
  <si>
    <t>Рюкзак "KTM" (гидратор, термобарьер, 5л) mod:B</t>
  </si>
  <si>
    <t>https://b2beez.ru/images/detailed/177/orig_l3gd-y2.jpg</t>
  </si>
  <si>
    <t>R-7778</t>
  </si>
  <si>
    <t>Сумка велосипедная на раму (перекидная) (черно-зеленая) VINCA SPORT</t>
  </si>
  <si>
    <t>https://b2beez.ru/images/detailed/178/6169092900.jpg</t>
  </si>
  <si>
    <t>Сетки багажника</t>
  </si>
  <si>
    <t>Сетка багажника (стяжка) (чёрная, регулируемая 60-90 см) "BEEZMOTO"</t>
  </si>
  <si>
    <t>https://b2beez.ru/images/detailed/48/orig_bbdk-y6.jpg</t>
  </si>
  <si>
    <t>K-3415</t>
  </si>
  <si>
    <t>Сетка багажника (паук) 40*40 (черная) "BEEZMOTO"</t>
  </si>
  <si>
    <t>https://b2beez.ru/images/detailed/167/orig_dk19-wv.jpg</t>
  </si>
  <si>
    <t>K-3405</t>
  </si>
  <si>
    <t>Сетка багажника (паук) 40*40 (зеленая) "BEEZMOTO"</t>
  </si>
  <si>
    <t>https://b2beez.ru/images/detailed/167/orig_pj5m-5e.jpg</t>
  </si>
  <si>
    <t>K-3413</t>
  </si>
  <si>
    <t>Сетка багажника (паук) 40*40 (синяя) "BEEZMOTO"</t>
  </si>
  <si>
    <t>https://b2beez.ru/images/detailed/167/orig_c7kb-lk.jpg</t>
  </si>
  <si>
    <t>K-3414</t>
  </si>
  <si>
    <t>Сетка багажника (паук) 40*40 (красная) "BEEZMOTO"</t>
  </si>
  <si>
    <t>https://b2beez.ru/images/detailed/167/orig_mojb-2v.jpg</t>
  </si>
  <si>
    <t>Строительство и ремонт</t>
  </si>
  <si>
    <t>Конденсаторы</t>
  </si>
  <si>
    <t>Розетки, выключатели</t>
  </si>
  <si>
    <t>Прочие товары</t>
  </si>
  <si>
    <t>Уцененный товар</t>
  </si>
  <si>
    <t>D-1157-U1</t>
  </si>
  <si>
    <t>Радиатор мотоблока 190N (9Hp) (алюминиевый) "DIGGER" (Скол)</t>
  </si>
  <si>
    <t>S-4433-U1</t>
  </si>
  <si>
    <t>Корзина сцепления ИЖ ПЛАНЕТА (узкая) (+храповик) "JING" (Повреждения)</t>
  </si>
  <si>
    <t>P-1070-U1</t>
  </si>
  <si>
    <t>Пластик Motolife Funny 50 передний (подклювник) серый (Потертости)</t>
  </si>
  <si>
    <t>P-9293-U1</t>
  </si>
  <si>
    <t>Пластик Motolife Funny 50 передний (подклювник) синий (Потертости)</t>
  </si>
  <si>
    <t>P-4263-U1</t>
  </si>
  <si>
    <t>Пластик Motolife Funny 50 передний (подклювник) темно-серый (Повреждения ЛКП)</t>
  </si>
  <si>
    <t>https://b2beez.ru/images/detailed/204/P-4263-U1_70mg-l5.jpg</t>
  </si>
  <si>
    <t>P-9293-U2</t>
  </si>
  <si>
    <t>Пластик Motolife Funny 50 передний (подклювник) синий (Потертости + сколы)</t>
  </si>
  <si>
    <t>P-1070-U2</t>
  </si>
  <si>
    <t>Пластик Motolife Funny 50 передний (подклювник) серый (Потертости + сколы)</t>
  </si>
  <si>
    <t>https://b2beez.ru/images/detailed/204/P-1070-U2.jpg</t>
  </si>
  <si>
    <t>P-1070-U3</t>
  </si>
  <si>
    <t>Пластик Motolife Funny 50 передний (подклювник) серый (Потертости + скол)</t>
  </si>
  <si>
    <t>P-4263-U2</t>
  </si>
  <si>
    <t>Пластик Motolife Funny 50 передний (подклювник) темно-серый (Потертости + скол)</t>
  </si>
  <si>
    <t>P-6286-U1</t>
  </si>
  <si>
    <t>Пластик Motolife Funny 50 передний (подклювник) чёрный (Потертости + скол)</t>
  </si>
  <si>
    <t>https://b2beez.ru/images/detailed/204/P-6286-U1.jpg</t>
  </si>
  <si>
    <t>V-2030-U1</t>
  </si>
  <si>
    <t>Поршневая (ЦПГ) 4T CB150 (Ø61 OHC)оригинал Taiwan "SEE" (Трещина)</t>
  </si>
  <si>
    <t>D-601-U1</t>
  </si>
  <si>
    <t>Фильтр воздушный мотоблока 168F (6,5Hp) "DIGGER"(mod.B) (Трещины)</t>
  </si>
  <si>
    <t>https://b2beez.ru/images/detailed/204/D-601-U1.jpg</t>
  </si>
  <si>
    <t>G-2575-U1</t>
  </si>
  <si>
    <t>Тормоз ручной бензопилы (в сборе) Goodluck GL 4500/5200 (+натяжитель цепи) "MANLE" (трещина)</t>
  </si>
  <si>
    <t>D-1788-U3</t>
  </si>
  <si>
    <t>Седло велосипедное (детское) (mod.6) "DS" (Порезы)</t>
  </si>
  <si>
    <t>P-3500-U2</t>
  </si>
  <si>
    <t>Пластик Honda DIO AF34/35 задний боковой (левый) "KOMATCU" (потертости)</t>
  </si>
  <si>
    <t>D-5625-U1</t>
  </si>
  <si>
    <t>Седло велосипедное (mod:SPORT) (синие) "YKX" (Порезы)</t>
  </si>
  <si>
    <t>C-601-U1</t>
  </si>
  <si>
    <t>Поршневая (ЦПГ) ЯВА 350 6V(Ф58mm) "TMMP" (Левый)</t>
  </si>
  <si>
    <t>D-1484-U1</t>
  </si>
  <si>
    <t>Крылья велосипедные (пластик, с большим отражателем) (Не компл. перед)</t>
  </si>
  <si>
    <t>R-3557-U4</t>
  </si>
  <si>
    <t>Звезды велосипедные (передние) 28/38/48T (+2 шатуна L- 170mm, квадрат, черные) "DS"(Без защ. + трещ)</t>
  </si>
  <si>
    <t>Z-724-U1</t>
  </si>
  <si>
    <t>Зеркала многоугольные (8/10mm, синие) "RIZOMA" (Правое)</t>
  </si>
  <si>
    <t>D-1788-U1</t>
  </si>
  <si>
    <t>Седло велосипедное (детское) (mod.6) "DS" (Порез)</t>
  </si>
  <si>
    <t>P-3479-U1</t>
  </si>
  <si>
    <t>Спинка сиденья Zongshen F1, F50 "KOMATCU" (Без подушки)</t>
  </si>
  <si>
    <t>R-3416-U2</t>
  </si>
  <si>
    <t>Сигнал велосипедный с подсветкой Police (красный) (mod.JY-2510A) "DS" (Трещина)</t>
  </si>
  <si>
    <t>G-1935-U2</t>
  </si>
  <si>
    <t>Тормоз ручной бензопилы (в сборе) GOODLUCK GL 2400 (Скол)</t>
  </si>
  <si>
    <t>Z-154-U1</t>
  </si>
  <si>
    <t>Зеркала многоугольные mod:224, 8mm (мини, черные) "RED" (Правое)</t>
  </si>
  <si>
    <t>I-541-U1</t>
  </si>
  <si>
    <t>Станок для расклепывания цепей (Не комплект)</t>
  </si>
  <si>
    <t>K-6270-U1</t>
  </si>
  <si>
    <t>Ремкомплект карбюратора К68Д ИЖ ЮПИТЕР (круглый) "JING" (Не комплект)</t>
  </si>
  <si>
    <t>https://b2beez.ru/images/detailed/204/K-6270-U1.jpg</t>
  </si>
  <si>
    <t>H-6312-U1</t>
  </si>
  <si>
    <t>Шлем-интеграл (size:M, черный, с ушами, Бэтмен) "HNJ" (Повреждения)</t>
  </si>
  <si>
    <t>N-2524-U1</t>
  </si>
  <si>
    <t>Бардачок (левый) (+крышка) ИЖ "JING" (Повреждения)</t>
  </si>
  <si>
    <t>O-1484-U1</t>
  </si>
  <si>
    <t>Очки кроссовые (синие, прозрачное стекло) (Дефект пластика)</t>
  </si>
  <si>
    <t>S-2564-U1</t>
  </si>
  <si>
    <t>Сиденье Active, Wave "KOMATCU" (Порез)</t>
  </si>
  <si>
    <t>C-762-U1</t>
  </si>
  <si>
    <t>Глушитель ИЖ ПЛАНЕТА "SDTW" (Вмятины)</t>
  </si>
  <si>
    <t>https://b2beez.ru/images/detailed/204/C-762-U1.jpg</t>
  </si>
  <si>
    <t>01000307-U1</t>
  </si>
  <si>
    <t>Зеркала TTR125,TTR250 (M10) EVO (Правое)</t>
  </si>
  <si>
    <t>https://b2beez.ru/images/detailed/204/0100_0307-U1.jpg</t>
  </si>
  <si>
    <t>S-3002-U1</t>
  </si>
  <si>
    <t>Дневные ходовые огни (D-100mm, сверхяркие 8 диодов 12V, влагозащищенные) "IZE" (Не комплект)</t>
  </si>
  <si>
    <t>Z-978-U1</t>
  </si>
  <si>
    <t>Зеркала (mod:Мерседес) (золотые с поворотами) "RED" (Повреждение ЛКП + скол)</t>
  </si>
  <si>
    <t>Z-860-U1</t>
  </si>
  <si>
    <t>Зеркала (mod:Мерседес) (желтые с поворотами) "RED" (Сколы)</t>
  </si>
  <si>
    <t>Z-860-U2</t>
  </si>
  <si>
    <t>Зеркала (mod:Мерседес) (желтые с поворотами) "RED" (Сколы + трещина)</t>
  </si>
  <si>
    <t>P-0893-U1</t>
  </si>
  <si>
    <t>Пластик Motolife Funny 50 задний (под багажник) (Трещина)</t>
  </si>
  <si>
    <t>P-0893-U2</t>
  </si>
  <si>
    <t>Пластик Motolife Funny 50 задний (под багажник) (Потертости)</t>
  </si>
  <si>
    <t>P-8204-U1</t>
  </si>
  <si>
    <t>Пластик Motolife Funny 50 передний (накладка на клюв) серый (Скол)</t>
  </si>
  <si>
    <t>P-3397-U1</t>
  </si>
  <si>
    <t>Пластик Motolife Funny 50 передний (клюв) серый (Скол)</t>
  </si>
  <si>
    <t>P-6155-U1</t>
  </si>
  <si>
    <t>Пластик Motolife Funny 50 передний (клюв) чёрный (Скол)</t>
  </si>
  <si>
    <t>P-6155-U2</t>
  </si>
  <si>
    <t>Пластик Motolife Funny 50 передний (клюв) чёрный (Сколы)</t>
  </si>
  <si>
    <t>P-1505-U1</t>
  </si>
  <si>
    <t>Пластик Motolife Funny 50 передний (клюв) синий (Скол)</t>
  </si>
  <si>
    <t>P-4186-U1</t>
  </si>
  <si>
    <t>Пластик Motolife Funny 50 задний боковой (комплект) чёрный (Не комплект)</t>
  </si>
  <si>
    <t>P-2259-U1</t>
  </si>
  <si>
    <t>Пластик Motolife Funny 50 задний боковой (комплект) серый (Повреждения ЛКП)</t>
  </si>
  <si>
    <t>C-1966-U1</t>
  </si>
  <si>
    <t>Поршневая (ЦПГ) Yamaha JOG 3KJ 65 (Ø44 p-10) "BEEZMOTO" (Трещина)</t>
  </si>
  <si>
    <t>N-2523-U1</t>
  </si>
  <si>
    <t>Бардачок (правый) (+крышка) ИЖ "JING" (Повреждения)</t>
  </si>
  <si>
    <t>Z-864-U2</t>
  </si>
  <si>
    <t>Зеркала капля (белые) RED (Уценка2) (Трещина)</t>
  </si>
  <si>
    <t>Z-290-U2</t>
  </si>
  <si>
    <t>Зеркала многоугольные mod:201, 8/10mm (синие) "RED" (Правое)</t>
  </si>
  <si>
    <t>https://b2beez.ru/images/detailed/204/Z-290-U2.jpg</t>
  </si>
  <si>
    <t>Z-288-U1</t>
  </si>
  <si>
    <t>Зеркала многоугольные mod:234, 8/10mm (черно-зеленые) "RED" (Правое)</t>
  </si>
  <si>
    <t>Z-883-U1</t>
  </si>
  <si>
    <t>Зеркала стреловидные (желтые c поворотом) RED (Без стекла)</t>
  </si>
  <si>
    <t>K-3532-U1</t>
  </si>
  <si>
    <t>Коммутатор (тюнинг) Yamaha JOG ZR "PROGRESS RACING" (Трещина)</t>
  </si>
  <si>
    <t>D-1554-U1</t>
  </si>
  <si>
    <t>Крылья велосипедные (железные, серые) (mod:9) "YKX" (Не комплект, царапины)</t>
  </si>
  <si>
    <t>https://b2beez.ru/images/detailed/204/D-1554-U1-2.jpg</t>
  </si>
  <si>
    <t>B-483-U1</t>
  </si>
  <si>
    <t>Маховик бензогенератора ET-950 (пластмассовый) "JIANTAI" (Трещины)</t>
  </si>
  <si>
    <t>P-2124-U1</t>
  </si>
  <si>
    <t>Пластик Active, Wave панели приборов (красный) "KOMATCU" (Трещина)</t>
  </si>
  <si>
    <t>P-5341-U1</t>
  </si>
  <si>
    <t>Пластик Yamaha GEAR передний (голова) (белый) KOMATCU (скол)</t>
  </si>
  <si>
    <t>P-5341-U2</t>
  </si>
  <si>
    <t>Пластик Yamaha GEAR передний (голова) (белый) KOMATCU (Уценка2) (Скол)</t>
  </si>
  <si>
    <t>P-3772-U1</t>
  </si>
  <si>
    <t>Рамка под номер на скутер (mod:WL-0179) KML (Уценка1)</t>
  </si>
  <si>
    <t>P-5381-U2</t>
  </si>
  <si>
    <t>Стекло стоп-сигнала и поворотов Honda TACT AF24 "KOMATCU"  (Трещина)</t>
  </si>
  <si>
    <t>https://b2beez.ru/images/detailed/204/P-5381-U2.jpg</t>
  </si>
  <si>
    <t>O-678-U3</t>
  </si>
  <si>
    <t>Стекло фары Honda DIO AF34 KOMATCU (Уценка3) (Трещина)</t>
  </si>
  <si>
    <t>https://b2beez.ru/images/detailed/204/O-678-U3.jpg</t>
  </si>
  <si>
    <t>P-1306-U1</t>
  </si>
  <si>
    <t>Тахометр выносной универсальный (аналоговый, хром, 16000об/мин) (Трещина)</t>
  </si>
  <si>
    <t>G-1935-U1</t>
  </si>
  <si>
    <t>Тормоз ручной б/п (в сборе) для Goodluck GL 2400 (Скол)</t>
  </si>
  <si>
    <t>O-2018-U1</t>
  </si>
  <si>
    <t>Фара (в сборе) Honda DIO AF56 "KOMATCU" (Трещина)</t>
  </si>
  <si>
    <t>O-2021-U3</t>
  </si>
  <si>
    <t>Фара (в сборе) Suzuki LETS 1 KOMATCU (Не комплект)</t>
  </si>
  <si>
    <t>B-217-U1</t>
  </si>
  <si>
    <t>Бак топливный Delta (красный) "KOMATCU" (Вмятины + потертости)</t>
  </si>
  <si>
    <t>D-4674-U1</t>
  </si>
  <si>
    <t>Седло велосипедное (детское) (250*145, микс: синий, зеленый, красный) "YKX" (Порезы)</t>
  </si>
  <si>
    <t>https://b2beez.ru/images/detailed/204/D-4674-U1.jpg</t>
  </si>
  <si>
    <t>P-5304-U1</t>
  </si>
  <si>
    <t>Успокоитель цепи ГРМ 4T GY6 50 "ZUNA" (Не комплект)</t>
  </si>
  <si>
    <t>https://b2beez.ru/images/detailed/204/P-5304-U1.jpg</t>
  </si>
  <si>
    <t>10045566-U1</t>
  </si>
  <si>
    <t>Фильтр воздушный Alpha, Delta 139FMB,147FMH,152FMH (круглый) "KOMATCU" (Мятый)</t>
  </si>
  <si>
    <t>P-2531-U1</t>
  </si>
  <si>
    <t>Гофры передней вилки (пара) универсальные L-250mm, d-30mm, D-50mm (черные) "MZK" (Уценка)</t>
  </si>
  <si>
    <t>K-3459-U1</t>
  </si>
  <si>
    <t>Коммутатор Yamaha YBR125 "KOMATCU" (Уценка)</t>
  </si>
  <si>
    <t>O-2609-U1</t>
  </si>
  <si>
    <t>Повороты светодиодные, трезубец (LED, синий, тюнинг) "JS" (Уценка)</t>
  </si>
  <si>
    <t>K-6135-U1</t>
  </si>
  <si>
    <t>Крышка вариатора 4T GY6 50 (10 колесо, 139QMB) (Уценка)</t>
  </si>
  <si>
    <t>C-1169-U1</t>
  </si>
  <si>
    <t>Поршневая (ЦПГ) Yamaha BW'S 100 (Ø52,00 p-14) "KOMATCU" (Уценка)</t>
  </si>
  <si>
    <t>P-4104-U1</t>
  </si>
  <si>
    <t>Пила ручная карманная (L-98 см) "KOMATCU" (Уценка)</t>
  </si>
  <si>
    <t>M-660-U1</t>
  </si>
  <si>
    <t>Коленвал бензопилы Goodluck GL4500/5200 (под сепаратор 15mm) "FORESTER" (mod.B) (Уценка)</t>
  </si>
  <si>
    <t>K-1962-U1</t>
  </si>
  <si>
    <t>Карбюратор 2T Stels 50 (увеличенный диффузор) "BEEZMOTO" (Уценка)</t>
  </si>
  <si>
    <t>R-533-U1</t>
  </si>
  <si>
    <t>Ролики вариатора Suzuki 17*12 11,0г "DLH" (Уценка)</t>
  </si>
  <si>
    <t>BQ-7A-U1</t>
  </si>
  <si>
    <t>Детское велокресло над подсидельую трубу (красное) (Уценка)</t>
  </si>
  <si>
    <t>D-4321-U1</t>
  </si>
  <si>
    <t>Велосипедные колеса боковые детские (пара) (+подсветка, с подшипниками, Ø109мм, оранжевый) ( Уценка)</t>
  </si>
  <si>
    <t>C-2693-U1</t>
  </si>
  <si>
    <t>Поршневая (ЦПГ) Yamaha BWS AXIS 100 (Ø52,00 p-14) "BEEZMOTO" ( Уценка)</t>
  </si>
  <si>
    <t>I-224-U2</t>
  </si>
  <si>
    <t>Шлем открытый (ABS пластик, прозрачный визор, желтый) "BEEZMOTO" (скол козырька)</t>
  </si>
  <si>
    <t>009315-U1</t>
  </si>
  <si>
    <t>Кожух цепи трансмиссии Active 110 (черный) "KOMATCU" (Вмятина)</t>
  </si>
  <si>
    <t>H-9315-U1</t>
  </si>
  <si>
    <t>Шлем-интеграл (size:S, женский, с кошачьими ушками, розовый) (2 визора, черный/прозрачный) "HNJ" (трещина)</t>
  </si>
  <si>
    <t>H-733-U1</t>
  </si>
  <si>
    <t>Поршневая бензопилы (ЦПГ) Husqvarna 371/372, детский квадроцикл (Ø50) "WOODMAN" (mod.A) (не комплект)</t>
  </si>
  <si>
    <t>Z-4475-U1</t>
  </si>
  <si>
    <t>Зеркала Honda DIO, Suzuki (M8mm) (обрезиненная ножка, правая резьба) "BEEZMOTO" (Уценка)</t>
  </si>
  <si>
    <t>H-7955-U2</t>
  </si>
  <si>
    <t>Шлем-интеграл (size:S, женский, с кошачьими ушками, черно-красный) (2 визора, черный/прозрачный) "HNJ" (Уценка)</t>
  </si>
  <si>
    <t>P-7694-U1</t>
  </si>
  <si>
    <t>Пластик Yamaha YBR125 накладки на бак (красные) "KOMATCU" (нет сетки)</t>
  </si>
  <si>
    <t>N-2519-U2</t>
  </si>
  <si>
    <t>Фара круглая ИЖ, МТ, ДНЕПР "JING" (Трещина)</t>
  </si>
  <si>
    <t>I-2114-U1</t>
  </si>
  <si>
    <t>Шлем-интеграл (mod:B-5022) (size:L, серо-красный) "BEEZMOTO" (Нарушение лакокрасочного слоя)</t>
  </si>
  <si>
    <t>D-4517-U1</t>
  </si>
  <si>
    <t>Велосипедные колеса боковые детские (пара) (+подсветка, с подшипниками, Ø109мм, зеленый) (Не комплект)</t>
  </si>
  <si>
    <t>P-5403-U3</t>
  </si>
  <si>
    <t>Обтекатель Zongshen, Lifan 125/150 (mod:1) (синий) "KOMATCU" (Трещина)</t>
  </si>
  <si>
    <t>https://b2beez.ru/images/detailed/204/P-5403-U3.jpg</t>
  </si>
  <si>
    <t>P-2261-U1</t>
  </si>
  <si>
    <t>Пластик Motolife Funny 50 задний боковой (левый) жёлтый (Скол)</t>
  </si>
  <si>
    <t>C-252-U2</t>
  </si>
  <si>
    <t>Поршневая (ЦПГ) 4T GY6 100 (Ø50.0, тюнинг GY6 50) (+головка) "BEEZMOTO" (Не комлект)</t>
  </si>
  <si>
    <t>O-2333-U1</t>
  </si>
  <si>
    <t>Повороты мото ОРИОН (хром) (4шт) "JING" (mod.A) (Не комплект)</t>
  </si>
  <si>
    <t>D-1815-U1</t>
  </si>
  <si>
    <t>Бак топливный мотоблока 168F/170F (6,5/7Hp) "ZS" (Вмятина + сколы краски)</t>
  </si>
  <si>
    <t>R-1895-U1</t>
  </si>
  <si>
    <t>Рюкзак "ALPINESTARS" (mod:B-8) (52cм*30см*18см) (Порез)</t>
  </si>
  <si>
    <t>H-5855-U1</t>
  </si>
  <si>
    <t>Шлем велосипедный (карбон, L (57-62см) черно-зеленый, +козырек) HO-03 (Уценка)</t>
  </si>
  <si>
    <t>C-339-U1</t>
  </si>
  <si>
    <t>Поршневая (ЦПГ) Honda DIO 50 (Ø39, p-12) "BEEZMOTO" (Скол)</t>
  </si>
  <si>
    <t>O-1986-U1</t>
  </si>
  <si>
    <t>Стекло поворотов зад (пара) Yamaha JOG SA16 "KOMATCU" (Уценка1) (Трещина)</t>
  </si>
  <si>
    <t>P-5339-U4</t>
  </si>
  <si>
    <t>Пластик Yamaha APRIO передний (голова) "KOMATCU" (Уценка4) (Трещина)</t>
  </si>
  <si>
    <t>Z-491-U2</t>
  </si>
  <si>
    <t>Зеркала многоугольные mod:200, 8/10mm (красные) "SUACO"(Правое)</t>
  </si>
  <si>
    <t>Z-153-U1</t>
  </si>
  <si>
    <t>Зеркала многоугольные mod:224, 10mm (мини, черные) "RED" (Правое)</t>
  </si>
  <si>
    <t>https://b2beez.ru/images/detailed/204/Z-153-U1.jpg</t>
  </si>
  <si>
    <t>Z-142-U1</t>
  </si>
  <si>
    <t>Зеркала прямоугольные mod:218, 8/10mm (красные) "RED" (Левое)</t>
  </si>
  <si>
    <t>G-1155-U2</t>
  </si>
  <si>
    <t>Магнето бензопилы Goodluck GL 3800 "FORESTER" (Скол)</t>
  </si>
  <si>
    <t>D-1546-U1</t>
  </si>
  <si>
    <t>Велосипедная фляга (750ml) (алюминиевая, микс)  "VINCA SPORT" (Вмятины + потертости)</t>
  </si>
  <si>
    <t>https://b2beez.ru/images/detailed/204/d-1546-u1.jpg</t>
  </si>
  <si>
    <t>S-3288-U1</t>
  </si>
  <si>
    <t>Магнето бензопилы Stihl MS 440 "WOODMAN" (Скол)</t>
  </si>
  <si>
    <t>O-2299-U1</t>
  </si>
  <si>
    <t>Фара (в сборе) Zongshen STORM/ FADA 15 "MANLE" (Трещина)</t>
  </si>
  <si>
    <t>O-2299-U2</t>
  </si>
  <si>
    <t>Фара (в сборе) Zongshen STORM/ FADA 15 "MANLE" (Скол)</t>
  </si>
  <si>
    <t>O-2299-U3</t>
  </si>
  <si>
    <t>Фара (в сборе) Zongshen STORM/ FADA 15 "MANLE" (Трещина-скол)</t>
  </si>
  <si>
    <t>Z-281-U1</t>
  </si>
  <si>
    <t>Зеркала многоугольные mod:200, 8/10mm (синие) "RED" (Левое)</t>
  </si>
  <si>
    <t>D-1815-U2</t>
  </si>
  <si>
    <t>V-1531-U2</t>
  </si>
  <si>
    <t>Поршневая (ЦПГ) 4T CG200 (Ø63.5, p-15, h-76) (водяное охлаждение) "GONGYU" (Не комплект)</t>
  </si>
  <si>
    <t>P-5418-U3</t>
  </si>
  <si>
    <t>Фара (в сборе) Zongshen/Lifan 125/150 (mod;2) (Скол)</t>
  </si>
  <si>
    <t>D-4987-U1</t>
  </si>
  <si>
    <t>Седло велосипедное (mod:3) (спортивное, черное, под кожу) "YAT" (Порез)</t>
  </si>
  <si>
    <t>10057191-U1</t>
  </si>
  <si>
    <t>Поршневая (ЦПГ) Alpha, Delta 100 (Ø50) (тюнинг 70сс) 139FMB "TMMP" (Скол)</t>
  </si>
  <si>
    <t>D-1882-U1</t>
  </si>
  <si>
    <t>Поршень мотоблока 188F (13Hp) 0,25 (Ø88,25) "ZS" (mod A) (Не комплект)</t>
  </si>
  <si>
    <t>P-3472-U2</t>
  </si>
  <si>
    <t>Панель приборов (в сборе) Zongshen F1, F50 "KOMATCU" (Без стекла)</t>
  </si>
  <si>
    <t>V-1514-U1</t>
  </si>
  <si>
    <t>Поршневая (ЦПГ) 4T CB250T (Ø53.0, p-15, h-76, TWIN) "GONGYU" (Трещина на ребре)</t>
  </si>
  <si>
    <t>K-1958-U1</t>
  </si>
  <si>
    <t>Крышка вариатора 4T GY6 50 (10 колесо, 139QMB, 8 болтов) "KOMATCU"(Повреждения)</t>
  </si>
  <si>
    <t>A-296-U3</t>
  </si>
  <si>
    <t>Фара (в сборе) Zongshen STORM/ FADA 15 "KOMATCU"  (Трещины + сколы)</t>
  </si>
  <si>
    <t>D-5161-U1</t>
  </si>
  <si>
    <t>Велосипедная фляга (500ml) (алюминиевая, синяя) YKX (Вмятина)</t>
  </si>
  <si>
    <t>https://b2beez.ru/images/detailed/204/D-5161-U1.jpg</t>
  </si>
  <si>
    <t>P-1679-U1</t>
  </si>
  <si>
    <t>Панель приборов (в сборе) Zongshen, Lifan 125/150 (120км/ч, квадратная, черная) (Битая)</t>
  </si>
  <si>
    <t>G-1980-U2</t>
  </si>
  <si>
    <t>Глушитель (тюнинг) L-390*90mm (нержавейка, три-овал, серебро, прямоток) "118" (Скол пластика)</t>
  </si>
  <si>
    <t>K-4709-U1</t>
  </si>
  <si>
    <t>Картер мотокосы 23cc 1E32F (в сборе) (Не комплект)</t>
  </si>
  <si>
    <t>C-684-U1</t>
  </si>
  <si>
    <t>Цилиндр ИЖ ЮПИТЕР 5 (Ø62) JIN (Не комплект,вмятина)</t>
  </si>
  <si>
    <t>D-4526-U1</t>
  </si>
  <si>
    <t>Звезды велосипедные (передние) 28/38/48T (+2 шатуна L- 170mm, квадрат, черные) "DS" mod A (Без защит</t>
  </si>
  <si>
    <t>https://b2beez.ru/images/detailed/204/D-4526-U1.jpg</t>
  </si>
  <si>
    <t>B-483-U2</t>
  </si>
  <si>
    <t>B-483-U3</t>
  </si>
  <si>
    <t>Маховик бензогенератора ET-950 (пластмассовый) "JIANTAI" (Трещины + скол)</t>
  </si>
  <si>
    <t>D-1555-U1</t>
  </si>
  <si>
    <t>Крылья велосипедные (железные, черные) (mod:10) YKX (Уценка, царапины)</t>
  </si>
  <si>
    <t>https://b2beez.ru/images/detailed/204/D-1555-U1.jpg</t>
  </si>
  <si>
    <t>V-1499-U1</t>
  </si>
  <si>
    <t>Поршневая (ЦПГ) 4T CB156 (Ø63.5, p-15, h-69) "GONGYU" (без пальца) (Скол)</t>
  </si>
  <si>
    <t>Z-868-U7</t>
  </si>
  <si>
    <t>Зеркала Honda DIO (черные, d-8mm с хромированной ножкой) "RED" (Уценка7) (Правое) (Скол)</t>
  </si>
  <si>
    <t>https://b2beez.ru/images/detailed/204/Z-868-U7.jpg</t>
  </si>
  <si>
    <t>F-53-U1</t>
  </si>
  <si>
    <t>Фильтр воздушный (нулевик) Ø42mm, 45*, "пуля" (серебро) (Вмятина)</t>
  </si>
  <si>
    <t>https://b2beez.ru/images/detailed/204/F-53-U1-2.jpg</t>
  </si>
  <si>
    <t>D-1415-U1</t>
  </si>
  <si>
    <t>Обод велосипедный 28 (36 спиц, алюминий) DS (потертости)</t>
  </si>
  <si>
    <t>G-2959-U2</t>
  </si>
  <si>
    <t>Тормоз ручной б/п (в сборе) для Goodluck GL 4500/5200 (+натяжитель цепи) BEST (mod.A) (Скол)</t>
  </si>
  <si>
    <t>https://b2beez.ru/images/detailed/204/G-2959-U2.jpg</t>
  </si>
  <si>
    <t>O-1187-U1</t>
  </si>
  <si>
    <t>Фара (в сборе) Zongshen GRAND PRIX "KOMATCU" (Трещины + скол))</t>
  </si>
  <si>
    <t>O-1584-U1</t>
  </si>
  <si>
    <t>Фара (в сборе) Honda LEAD 90/AF20 KOMATCU (Уценка1) (Трещина)</t>
  </si>
  <si>
    <t>R-1886-U1</t>
  </si>
  <si>
    <t>Рюкзак "MONSTER ENERGY" (mod:B-14) (Сломанны собачки)</t>
  </si>
  <si>
    <t>D-2178-U2</t>
  </si>
  <si>
    <t>Вилка велосипедная жесткая (c креплением V-brake, 22") (красная) "DS" (Потёртости, вмятины)</t>
  </si>
  <si>
    <t>C-1312-U1</t>
  </si>
  <si>
    <t>Зеркала Honda LEAD AF48 (M8) "TMMP" (Правое)</t>
  </si>
  <si>
    <t>D-1449-U1</t>
  </si>
  <si>
    <t>Вилка велосипедная жесткая (с креплением V-brake, 22") (красная) "DS" (потертости)</t>
  </si>
  <si>
    <t>D-1449-U2</t>
  </si>
  <si>
    <t>Вилка велосипедная жесткая (с креплением V-brake, 22") (синяя) "DS" (потертости)</t>
  </si>
  <si>
    <t>https://b2beez.ru/images/detailed/204/D-1449-U2-2.jpg</t>
  </si>
  <si>
    <t>K-1958-U2</t>
  </si>
  <si>
    <t>Крышка вариатора 4T GY6 50 (10 колесо, 139QMB, 8 болтов) "KOMATCU" (Скол)</t>
  </si>
  <si>
    <t>G-694-U1</t>
  </si>
  <si>
    <t>Рукоятка задняя (в сборе) бензопилы Goodluck GL4500/5200 (с топливным баком) "FORESTER" (Трещина)</t>
  </si>
  <si>
    <t>D-2547-U1</t>
  </si>
  <si>
    <t>Крышка блока нижняя (поддон) мотоблока 190N/195N (12/15Hp) (не комплект)</t>
  </si>
  <si>
    <t>V-1531-U1</t>
  </si>
  <si>
    <t>Поршневая (ЦПГ) 4T CG200 (Ø63.5, p-15, h-76) (водяное охлаждение) "GONGYU" (Повреждена гильза)</t>
  </si>
  <si>
    <t>K-7294-U1</t>
  </si>
  <si>
    <t>Коленвал Suzuki ZZ, Street Magic (12" колесо) (цапфы 78mm, 112mm, палец 10mm) "TMMP"(Повреж. резьба)</t>
  </si>
  <si>
    <t>D-1854-U1</t>
  </si>
  <si>
    <t>Блок двигателя мотоблока 177F (9Hp) (Ø77,00) "ZS" (Скол)</t>
  </si>
  <si>
    <t>16104667-U1</t>
  </si>
  <si>
    <t>Фара (в сборе) Alpha (круглая, хром, LED-6, 18W) EVO (Трещина)</t>
  </si>
  <si>
    <t>https://b2beez.ru/images/detailed/204/1610_4667-U1.jpg</t>
  </si>
  <si>
    <t>G-1155-U1</t>
  </si>
  <si>
    <t>R-2094-U1</t>
  </si>
  <si>
    <t>Сумка для шлема (mod:WL-0630) "PROBIKER" (Повреждения)</t>
  </si>
  <si>
    <t>P-2135-U1</t>
  </si>
  <si>
    <t>Пластик Active, Wave задняя боковая пара (черные) "KOMATCU" (Уценка1) (Трещина</t>
  </si>
  <si>
    <t>Товары без категории</t>
  </si>
  <si>
    <t>Повороты светодиодные (пара) стреловидные (черные, мигает желтая стрела, красный габарит) "HQ"</t>
  </si>
  <si>
    <t>https://b2beez.ru/images/detailed/48/orig_l5db-mu.jpg</t>
  </si>
  <si>
    <t>O-939</t>
  </si>
  <si>
    <t>Повороты светодиодные (пара) стреловидные (черные, мигает желтая стрела, синий габарит) "HQ"</t>
  </si>
  <si>
    <t>https://b2beez.ru/images/detailed/172/orig_e4mo-g2.jpg</t>
  </si>
  <si>
    <t>O-940</t>
  </si>
  <si>
    <t>Повороты светодиодные (пара) стреловидные (черные, мигает желтая стрела, белый габарит) "HQ"</t>
  </si>
  <si>
    <t>https://b2beez.ru/images/detailed/172/orig_3844-qc.jpg</t>
  </si>
  <si>
    <t>P-5356-U1</t>
  </si>
  <si>
    <t>Повороты Yamaha ARTISTIC (передние, пара) "KOMATCU" (Трещины)</t>
  </si>
  <si>
    <t>O-2334-U1</t>
  </si>
  <si>
    <t>Повороты мото ОРИОН (черные, белое стекло) (пара) "JING" (mod.A) (Не комплект)</t>
  </si>
  <si>
    <t>O-0711</t>
  </si>
  <si>
    <t>Повороты светодиодные, лодочка (пара) (11 LED, черные, прозрачное стекло) "HQ" mod:B</t>
  </si>
  <si>
    <t>https://b2beez.ru/images/detailed/171/6914011524.jpg</t>
  </si>
  <si>
    <t>P-3462-U1</t>
  </si>
  <si>
    <t>Повороты Zongshen F1, F50 (передние, пара) "KOMATCU" (Правый)</t>
  </si>
  <si>
    <t>O-2332</t>
  </si>
  <si>
    <t>Повороты мото ИЖ ОРИОН (пара) "JING" (mod.A)</t>
  </si>
  <si>
    <t>https://b2beez.ru/images/detailed/172/orig_48r5-ii.jpg</t>
  </si>
  <si>
    <t>O-2333</t>
  </si>
  <si>
    <t>Повороты мото ОРИОН (хром) (4шт) "JING" (mod.A)</t>
  </si>
  <si>
    <t>https://b2beez.ru/images/detailed/172/orig_rkmt-fe.jpg</t>
  </si>
  <si>
    <t>O-2334</t>
  </si>
  <si>
    <t>Повороты мото ОРИОН (черные, белое стекло) (пара) "JING" (mod.A)</t>
  </si>
  <si>
    <t>https://b2beez.ru/images/detailed/172/orig_x9kh-2r.jpg</t>
  </si>
  <si>
    <t>C-1245</t>
  </si>
  <si>
    <t>Рамка для крепления номера и поворотников с регулируемым углом наклона(зеленая) "XJB"</t>
  </si>
  <si>
    <t>https://b2beez.ru/images/detailed/155/orig_2xo0-fy.jpg</t>
  </si>
  <si>
    <t>C-1246</t>
  </si>
  <si>
    <t>Рамка для крепления номера и поворотников с регулируемым углом наклона(красная) "XJB"</t>
  </si>
  <si>
    <t>https://b2beez.ru/images/detailed/155/orig_vyev-pf.jpg</t>
  </si>
  <si>
    <t>C-1247</t>
  </si>
  <si>
    <t>Рамка для крепления номера и поворотников с регулируемым углом наклона(синяя) "XJB"</t>
  </si>
  <si>
    <t>https://b2beez.ru/images/detailed/155/orig_8rk3-sl.jpg</t>
  </si>
  <si>
    <t>C-1248</t>
  </si>
  <si>
    <t>Рамка для крепления номера и поворотников с регулируемым углом наклона(черная) "XJB"</t>
  </si>
  <si>
    <t>https://b2beez.ru/images/detailed/155/orig_6bli-yy.jpg</t>
  </si>
  <si>
    <t>O-1657</t>
  </si>
  <si>
    <t>Повороты NAVIGATOR (передние, пара) "KOMATCU"</t>
  </si>
  <si>
    <t>https://b2beez.ru/images/detailed/171/orig_hpdp-4p.jpg</t>
  </si>
  <si>
    <t>O-1658</t>
  </si>
  <si>
    <t>Повороты вспомогательные (в сборе) NAVIGATOR (передние, пара) "KOMATCU"</t>
  </si>
  <si>
    <t>https://b2beez.ru/images/detailed/171/orig_cb5e-p5.jpg</t>
  </si>
  <si>
    <t>P-3462</t>
  </si>
  <si>
    <t>Повороты Zongshen F1, F50 (передние, пара) "KOMATCU"</t>
  </si>
  <si>
    <t>https://b2beez.ru/images/detailed/173/orig_jvjd-bh.jpg</t>
  </si>
  <si>
    <t>O-1155</t>
  </si>
  <si>
    <t>Повороты мини (пара) овальные (черные, желтое стекло) "E-MARKED"</t>
  </si>
  <si>
    <t>https://b2beez.ru/images/detailed/171/orig_7ur2-o7.jpg</t>
  </si>
  <si>
    <t>O-1158</t>
  </si>
  <si>
    <t>Повороты диодные мини (пара) кристалловидные (черные, прозрачные, 12 диодов) "E-MARKED"</t>
  </si>
  <si>
    <t>https://b2beez.ru/images/detailed/171/orig_2i1a-ha.jpg</t>
  </si>
  <si>
    <t>O-1160</t>
  </si>
  <si>
    <t>Повороты мини (пара) каплевидные (самоклеющиеся, желтое стекло) "E-MARKED"</t>
  </si>
  <si>
    <t>https://b2beez.ru/images/detailed/171/orig_r2n2-ii.jpg</t>
  </si>
  <si>
    <t>O-1163</t>
  </si>
  <si>
    <t>Повороты диодные мини (пара) кристалловидные (черные, желтое стекло, 9 диодов) "E-MARKED"</t>
  </si>
  <si>
    <t>https://b2beez.ru/images/detailed/171/orig_j5nz-91.jpg</t>
  </si>
  <si>
    <t>O-1171</t>
  </si>
  <si>
    <t>https://b2beez.ru/images/detailed/171/orig_y5td-ig.jpg</t>
  </si>
  <si>
    <t>O-2598</t>
  </si>
  <si>
    <t>Повороты светодиодные, прямоугольные (5 LED, белое стекло) "JS"</t>
  </si>
  <si>
    <t>https://b2beez.ru/images/detailed/172/orig_k6z4-71.jpg</t>
  </si>
  <si>
    <t>O-2599</t>
  </si>
  <si>
    <t>Повороты светодиодные, лодочка (3 LED, черный, белое стекло) "JS"</t>
  </si>
  <si>
    <t>https://b2beez.ru/images/detailed/172/orig_hb5j-5c.jpg</t>
  </si>
  <si>
    <t>O-2601</t>
  </si>
  <si>
    <t>Повороты светодиодные, овальный (16 LED, черный, белое стекло) "JS"</t>
  </si>
  <si>
    <t>https://b2beez.ru/images/detailed/172/6204244100.jpg</t>
  </si>
  <si>
    <t>O-2603</t>
  </si>
  <si>
    <t>Повороты светодиодные, квадрат (9 LED, синий, Г-обгазный, белое стекло) "JS"</t>
  </si>
  <si>
    <t>https://b2beez.ru/images/detailed/172/orig_f35t-td.jpg</t>
  </si>
  <si>
    <t>O-2604</t>
  </si>
  <si>
    <t>Повороты светодиодные, квадрат (9 LED, красный, Г-обгазный, белое стекло) "JS"</t>
  </si>
  <si>
    <t>https://b2beez.ru/images/detailed/172/orig_phvj-7z.jpg</t>
  </si>
  <si>
    <t>O-2605</t>
  </si>
  <si>
    <t>Повороты светодиодные, лодочка (25 LED, черный, белое стекло) "JS"</t>
  </si>
  <si>
    <t>https://b2beez.ru/images/detailed/172/orig_754s-kd.jpg</t>
  </si>
  <si>
    <t>O-2610</t>
  </si>
  <si>
    <t>Повороты светодиодные, лодочка (15 LED, золото, белое стекло, алюминий) "JS"</t>
  </si>
  <si>
    <t>https://b2beez.ru/images/detailed/172/orig_dje3-om.jpg</t>
  </si>
  <si>
    <t>O-776</t>
  </si>
  <si>
    <t>Повороты Zongshen STHORM NEW (передние, пара) "KOMATCU"</t>
  </si>
  <si>
    <t>https://b2beez.ru/images/detailed/172/orig_kxzx-p1.jpg</t>
  </si>
  <si>
    <t>O-1086</t>
  </si>
  <si>
    <t>Повороты диодные мини (пара) квадратые (черные, прозрачные, 7 диодов) "XJB"</t>
  </si>
  <si>
    <t>https://b2beez.ru/images/detailed/171/orig_fd45-9u.jpg</t>
  </si>
  <si>
    <t>O-1088</t>
  </si>
  <si>
    <t>Повороты диодные мини (пара) квадратные (черные, желтое стекло, 7 диодов) "XJB"</t>
  </si>
  <si>
    <t>https://b2beez.ru/images/detailed/171/orig_uutw-qe.jpg</t>
  </si>
  <si>
    <t>O-1125</t>
  </si>
  <si>
    <t>Повороты светодиодные, стрела (пара) (mod:2) (черные, белое стекло) "ST"</t>
  </si>
  <si>
    <t>https://b2beez.ru/images/detailed/171/orig_50y5-7q.jpg</t>
  </si>
  <si>
    <t>O-1126</t>
  </si>
  <si>
    <t>Повороты светодиодные, стрела (пара) (mod:2) (карбон, белое стекло) "ST"</t>
  </si>
  <si>
    <t>https://b2beez.ru/images/detailed/171/orig_ok4m-ix.jpg</t>
  </si>
  <si>
    <t>O-1168</t>
  </si>
  <si>
    <t>https://b2beez.ru/images/detailed/171/orig_v7up-6r.jpg</t>
  </si>
  <si>
    <t>O-1169</t>
  </si>
  <si>
    <t>https://b2beez.ru/images/detailed/171/orig_kgjn-g9.jpg</t>
  </si>
  <si>
    <t>O-911</t>
  </si>
  <si>
    <t>Повороты светодиодные (пара) квадратные (черные, прозрачные, 7 диодов) "MONSTER ENERGY"</t>
  </si>
  <si>
    <t>https://b2beez.ru/images/detailed/172/orig_f4n9-if.jpg</t>
  </si>
  <si>
    <t>V-1006</t>
  </si>
  <si>
    <t>Конденсатор для сенсорного/умного выключателя (работа без нуля) - 5шт  "QNC"</t>
  </si>
  <si>
    <t>https://b2beez.ru/images/detailed/184/6809460375.jpg</t>
  </si>
  <si>
    <t>V-1GW</t>
  </si>
  <si>
    <t>Выключатель сенсорный Wi-Fi, серый, стекло, 86*86, с подсветкой "BEEZMOTO"</t>
  </si>
  <si>
    <t>https://b2beez.ru/images/detailed/186/orig_ek5i-fi.jpg</t>
  </si>
  <si>
    <t>V-1BW</t>
  </si>
  <si>
    <t>Выключатель сенсорный Wi-Fi, черный, стекло, 86*86, с подсветкой "BEEZMOTO"</t>
  </si>
  <si>
    <t>https://b2beez.ru/images/detailed/186/orig_zrtn-8e.jpg</t>
  </si>
  <si>
    <t>V-2GW</t>
  </si>
  <si>
    <t>Выключатель сенсорный 2 кнопки Wi-Fi, серый, стекло, 86*86, с подсветкой "BEEZMOTO"</t>
  </si>
  <si>
    <t>https://b2beez.ru/images/detailed/187/orig_dvq0-ox.jpg</t>
  </si>
  <si>
    <t>V-2WW</t>
  </si>
  <si>
    <t>Выключатель сенсорный 2 кнопки Wi-Fi, белый, стекло, 86*86, с подсветкой "BEEZMOTO"</t>
  </si>
  <si>
    <t>https://b2beez.ru/images/detailed/187/orig_pvsn-h3.jpg</t>
  </si>
  <si>
    <t>V-2BW</t>
  </si>
  <si>
    <t>Выключатель сенсорный 2 кнопки Wi-Fi, черный, стекло, 86*86, с подсветкой "BEEZMOTO"</t>
  </si>
  <si>
    <t>https://b2beez.ru/images/detailed/187/orig_v8yr-jp.jpg</t>
  </si>
  <si>
    <t>V-3GW</t>
  </si>
  <si>
    <t>Выключатель сенсорный 3 кнопки Wi-Fi, серый, стекло, 86*86, с подсветкой "BEEZMOTO"</t>
  </si>
  <si>
    <t>https://b2beez.ru/images/detailed/187/orig_zwry-q7.jpg</t>
  </si>
  <si>
    <t>V-3WW</t>
  </si>
  <si>
    <t>Выключатель сенсорный 3 кнопки Wi-Fi, белый, стекло, 86*86, с подсветкой "BEEZMOTO"</t>
  </si>
  <si>
    <t>https://b2beez.ru/images/detailed/187/orig_6zch-of.jpg</t>
  </si>
  <si>
    <t>V-3BW</t>
  </si>
  <si>
    <t>Выключатель сенсорный 3 кнопки Wi-Fi, черный, стекло, 86*86, с подсветкой "BEEZMOTO"</t>
  </si>
  <si>
    <t>https://b2beez.ru/images/detailed/187/orig_kbwx-84.jpg</t>
  </si>
  <si>
    <t>V-6GW</t>
  </si>
  <si>
    <t>Выключатель сенсорный 6 кнопок Wi-Fi, серый, стекло, 146*86, с подсветкой</t>
  </si>
  <si>
    <t>https://b2beez.ru/images/detailed/187/orig_0xha-ce.jpg</t>
  </si>
  <si>
    <t>V-6WW</t>
  </si>
  <si>
    <t>Выключатель сенсорный 6 кнопок Wi-Fi, белый, стекло, 146*86, с подсветкой "BEEZMOTO"</t>
  </si>
  <si>
    <t>https://b2beez.ru/images/detailed/187/orig_efxf-t9.jpg</t>
  </si>
  <si>
    <t>V-6BW</t>
  </si>
  <si>
    <t>Выключатель сенсорный 6 кнопок Wi-Fi, черный, стекло, 146*86, с подсветкой "BEEZMOTO"</t>
  </si>
  <si>
    <t>https://b2beez.ru/images/detailed/187/orig_ou0j-0r.jpg</t>
  </si>
  <si>
    <t>VR-11GWUT</t>
  </si>
  <si>
    <t>Выключатель сенсорный с розеткой 1+1 Wi-Fi, USB Type-C, серый, стекло, 146*86, с подсветкой</t>
  </si>
  <si>
    <t>https://b2beez.ru/images/detailed/187/orig_mb53-oz.jpg</t>
  </si>
  <si>
    <t>VR-21GWUT</t>
  </si>
  <si>
    <t>Выключатель сенсорный с розеткой 2+1 Wi-Fi, USB Type-C, серый, стекло, 172*86, с подсветкой "BEEZMOTO"</t>
  </si>
  <si>
    <t>https://b2beez.ru/images/detailed/187/orig_74le-uh.jpg</t>
  </si>
  <si>
    <t>R-1G</t>
  </si>
  <si>
    <t>Розетка со стеклянной панелью, серая, 16А, 110-240В, 86*86 "BEEZMOTO"</t>
  </si>
  <si>
    <t>https://b2beez.ru/images/detailed/176/orig_onbh-cb.jpg</t>
  </si>
  <si>
    <t>R-1W</t>
  </si>
  <si>
    <t>Розетка со стеклянной панелью, белая, 16А, 110-240В, 86*86 "BEEZMOTO"</t>
  </si>
  <si>
    <t>https://b2beez.ru/images/detailed/176/orig_zwhd-vo.jpg</t>
  </si>
  <si>
    <t>R-1B</t>
  </si>
  <si>
    <t>Розетка со стеклянной панелью, черная, 16А, 110-240В, 86*86 "BEEZMOTO"</t>
  </si>
  <si>
    <t>https://b2beez.ru/images/detailed/176/orig_xtjh-ip.jpg</t>
  </si>
  <si>
    <t>R-1GUT</t>
  </si>
  <si>
    <t>Розетка со стеклянной панелью, серая, USB Type-C, 16А, 110-240В 86*86 "BEEZMOTO"</t>
  </si>
  <si>
    <t>https://b2beez.ru/images/detailed/176/orig_occ9-4w.jpg</t>
  </si>
  <si>
    <t>R-1WUT</t>
  </si>
  <si>
    <t>Розетка со стеклянной панелью, белая, USB Type-C, 16А, 110-240В, 86*86 "BEEZMOTO"</t>
  </si>
  <si>
    <t>https://b2beez.ru/images/detailed/176/orig_f4nm-5l.jpg</t>
  </si>
  <si>
    <t>R-1BUT</t>
  </si>
  <si>
    <t>Розетка со стеклянной панелью, черная, USB Type-C, 16А, 110-240В, 86*86 "BEEZMOTO"</t>
  </si>
  <si>
    <t>https://b2beez.ru/images/detailed/176/orig_id6x-ld.jpg</t>
  </si>
  <si>
    <t>R-2G</t>
  </si>
  <si>
    <t>Розетка двойная со стеклянной панелью, серая, 16А, 110-240В, 172*86</t>
  </si>
  <si>
    <t>https://b2beez.ru/images/detailed/177/orig_hevq-mn.jpg</t>
  </si>
  <si>
    <t>R-2W</t>
  </si>
  <si>
    <t>Розетка двойная со стеклянной панелью, белая, 16А, 110-240В, 172*86</t>
  </si>
  <si>
    <t>https://b2beez.ru/images/detailed/177/orig_fumc-hl.jpg</t>
  </si>
  <si>
    <t>R-2B</t>
  </si>
  <si>
    <t>Розетка двойная со стеклянной панелью, черная, 16А, 110-240В, 172*86</t>
  </si>
  <si>
    <t>https://b2beez.ru/images/detailed/177/orig_bsg5-wa.jpg</t>
  </si>
  <si>
    <t>R-22GUT</t>
  </si>
  <si>
    <t>Розетка двойная со стеклянной панелью, серая, 2x USB Type-C, 16А, 110-240В, 172*86 "BEEZMOTO"</t>
  </si>
  <si>
    <t>https://b2beez.ru/images/detailed/177/orig_ynna-bh.jpg</t>
  </si>
  <si>
    <t>R-21GUT</t>
  </si>
  <si>
    <t>Розетка двойная со стеклянной панелью, серая, USB Type-C, 16А, 110-240В, 172*86</t>
  </si>
  <si>
    <t>https://b2beez.ru/images/detailed/176/orig_7d1l-ba.jpg</t>
  </si>
  <si>
    <t>R-21BUT</t>
  </si>
  <si>
    <t>Розетка двойная со стеклянной панелью, черная, USB Type-C, 16А, 110-240В, 172*86</t>
  </si>
  <si>
    <t>https://b2beez.ru/images/detailed/176/orig_yepd-mh.jpg</t>
  </si>
  <si>
    <t>VR-11BWU</t>
  </si>
  <si>
    <t>Выключатель сенсорный с розеткой 1+1 Wi-Fi, USB, черный, стекло, 172*86, с подсветкой "BEEZMOTO"</t>
  </si>
  <si>
    <t>https://b2beez.ru/images/detailed/187/orig_bppv-xi.jpg</t>
  </si>
  <si>
    <t>VR-31GWUT</t>
  </si>
  <si>
    <t>Выключатель сенсорный с розеткой 3+1 Wi-Fi, USB Type-C, серый, стекло, 172*86, с подсветкой "BEEZMOTO"</t>
  </si>
  <si>
    <t>https://b2beez.ru/images/detailed/187/orig_mdd0-7b.jpg</t>
  </si>
  <si>
    <t>VR-31BWUT</t>
  </si>
  <si>
    <t>Выключатель сенсорный с розеткой 3+1 Wi-Fi, USB Type-C, черный, стекло, 172*86, с подсветкой "BEEZMOTO"</t>
  </si>
  <si>
    <t>https://b2beez.ru/images/detailed/187/orig_j77h-yf.jpg</t>
  </si>
  <si>
    <t>VR-22GWUT</t>
  </si>
  <si>
    <t>Выключатель сенсорный с розеткой 2+2 Wi-Fi, USB Type-C, серый, стекло, 258*86, с подсветкой "BEEZMOTO"</t>
  </si>
  <si>
    <t>https://b2beez.ru/images/detailed/187/orig_ykfx-75.jpg</t>
  </si>
  <si>
    <t>VR-21GWU</t>
  </si>
  <si>
    <t>Выключатель сенсорный с розеткой 2+1 Wi-Fi, USB, серый, стекло, 146*86, с подсветкой</t>
  </si>
  <si>
    <t>https://b2beez.ru/images/detailed/187/orig_ffs8-dy.jpg</t>
  </si>
  <si>
    <t>VR-21WWU</t>
  </si>
  <si>
    <t>Выключатель сенсорный с розеткой 2+1 Wi-Fi, USB, белый, стекло, 146*86, с подсветкой</t>
  </si>
  <si>
    <t>https://b2beez.ru/images/detailed/187/orig_if52-gy.jpg</t>
  </si>
  <si>
    <t>VR-31GWU</t>
  </si>
  <si>
    <t>Выключатель сенсорный с розеткой 3+1 Wi-Fi, USB, серый, стекло, 146*86, с подсветкой</t>
  </si>
  <si>
    <t>https://b2beez.ru/images/detailed/187/orig_y27s-ik.jpg</t>
  </si>
  <si>
    <t>VR-31WWU</t>
  </si>
  <si>
    <t>Выключатель сенсорный с розеткой 3+1 Wi-Fi, USB, белый, стекло, 146*86, с подсветкой</t>
  </si>
  <si>
    <t>https://b2beez.ru/images/detailed/187/orig_gjyf-u1.jpg</t>
  </si>
  <si>
    <t>VR-31BWU</t>
  </si>
  <si>
    <t>Выключатель сенсорный с розеткой 3+1 Wi-Fi, USB, черный, стекло, 146*86, с подсветкой "BEEZMOTO"</t>
  </si>
  <si>
    <t>https://b2beez.ru/images/detailed/187/orig_rnst-cc.jpg</t>
  </si>
  <si>
    <t>VR-32WWUT</t>
  </si>
  <si>
    <t>Выключатель сенсорный с розеткой 3+2 Wi-Fi, USB, Type-C, белый, стекло, 258*86, с подсветкой "BEEZMOTO"</t>
  </si>
  <si>
    <t>https://b2beez.ru/images/detailed/187/orig_3f7f-yq.jpg</t>
  </si>
  <si>
    <t>R-3WU</t>
  </si>
  <si>
    <t>Розетка 3 со стеклянной панелью, белая, USB, 16А, 110-240В 258*86 "BEEZMOTO"</t>
  </si>
  <si>
    <t>https://b2beez.ru/images/detailed/177/orig_r1v3-tg.jpg</t>
  </si>
  <si>
    <t>R-3W</t>
  </si>
  <si>
    <t>Розетка 3 со стеклянной панелью, белая, 16А, 110-240В 258*86 "BEEZMOTO"</t>
  </si>
  <si>
    <t>https://b2beez.ru/images/detailed/177/orig_1sg0-mf.jpg</t>
  </si>
  <si>
    <t>V-5WW</t>
  </si>
  <si>
    <t>Выключатель сенсорный 5 кнопок Wi-Fi, белый, стекло, 146*86, с подсветкой</t>
  </si>
  <si>
    <t>https://b2beez.ru/images/detailed/187/orig_5bsn-n7.jpg</t>
  </si>
  <si>
    <t>PR-1</t>
  </si>
  <si>
    <t>Подрозетник квадратный (монтажная коробка) для Xiaomi Aqara 60</t>
  </si>
  <si>
    <t>https://b2beez.ru/images/detailed/175/orig_ew23-1b.jpg</t>
  </si>
  <si>
    <t>PR-2</t>
  </si>
  <si>
    <t>Подрозетник прямоугольный (монтажная коробка) для Xiaomi Aqara 120</t>
  </si>
  <si>
    <t>https://b2beez.ru/images/detailed/175/6702902310.jpg</t>
  </si>
  <si>
    <t>PR-22</t>
  </si>
  <si>
    <t>Подрозетник прямоугольный (монтажная коробка) гипсокартон для Xiaomi Aqara 120</t>
  </si>
  <si>
    <t>https://b2beez.ru/images/detailed/175/orig_rkdj-wz.jpg</t>
  </si>
  <si>
    <t>PR-3</t>
  </si>
  <si>
    <t>Подрозетник прямоугольный (монтажная коробка) гипсокартон для Xiaomi Aqara 60</t>
  </si>
  <si>
    <t>https://b2beez.ru/images/detailed/175/orig_h24f-vh.png</t>
  </si>
  <si>
    <t>V-3WZW</t>
  </si>
  <si>
    <t>Выключатель сенсорный 3 кнопки, ZIGBEE, белый, стекло, 86*86, с подсветкой "BEEZMOTO"</t>
  </si>
  <si>
    <t>https://b2beez.ru/images/detailed/187/orig_8ld0-ga.jpg</t>
  </si>
  <si>
    <t>V-6WZW</t>
  </si>
  <si>
    <t>Выключатель сенсорный 6 кнопок ZIGBEE, белый, стекло, 146*86, с подсветкой</t>
  </si>
  <si>
    <t>https://b2beez.ru/images/detailed/187/orig_yd0h-qh.jpg</t>
  </si>
  <si>
    <t>VR-22BWU</t>
  </si>
  <si>
    <t>Выключатель сенсорный с розеткой 2+2 Wi-Fi, USB, черный, стекло, 258*86, с подсветкой"BEEZMOTO"</t>
  </si>
  <si>
    <t>https://b2beez.ru/images/detailed/187/orig_q9eq-7u.jpg</t>
  </si>
  <si>
    <t>VR-32BWU</t>
  </si>
  <si>
    <t>Выключатель сенсорный с розеткой 3+2 Wi-Fi, USB, черный, стекло, 258*86, с подсветкой</t>
  </si>
  <si>
    <t>https://b2beez.ru/images/detailed/187/orig_w5sr-mg.jpg</t>
  </si>
  <si>
    <t>R-3BU</t>
  </si>
  <si>
    <t>Розетка 3 со стеклянной панелью, черная, USB, 16А, 110-240В 258*86 "BEEZMOTO"</t>
  </si>
  <si>
    <t>https://b2beez.ru/images/detailed/177/orig_svwj-gq.jpg</t>
  </si>
  <si>
    <t>R-3B</t>
  </si>
  <si>
    <t>Розетка 3 со стеклянной панелью, черная, 16А, 110-240В 258*86 "BEEZMOTO"</t>
  </si>
  <si>
    <t>https://b2beez.ru/images/detailed/177/orig_wq7n-g0.jpg</t>
  </si>
  <si>
    <t>V-5BW</t>
  </si>
  <si>
    <t>Выключатель сенсорный 5 кнопок Wi-Fi, черный, стекло, 146*86, с подсветкой "BEEZMOTO"</t>
  </si>
  <si>
    <t>https://b2beez.ru/images/detailed/187/orig_a657-kj.jpg</t>
  </si>
  <si>
    <t>V-6BZW</t>
  </si>
  <si>
    <t>Выключатель сенсорный 6 кнопок ZIGBEE, черный, стекло, 146*86, с подсветкой</t>
  </si>
  <si>
    <t>https://b2beez.ru/images/detailed/187/orig_08di-kr.jpg</t>
  </si>
  <si>
    <t>V-55BZW</t>
  </si>
  <si>
    <t>Выключатель сенсорный 5 кнопок ZIGBEE, черный, стекло, 146*86, с подсветкой</t>
  </si>
  <si>
    <t>https://b2beez.ru/images/detailed/187/orig_02qt-m2.jpg</t>
  </si>
  <si>
    <t>VR-12GWU</t>
  </si>
  <si>
    <t>Выключатель сенсорный с розеткой 1+2 Wi-Fi, USB, серый, стекло, 258*86, с подсветкой "BEEZMOTO"</t>
  </si>
  <si>
    <t>https://b2beez.ru/images/detailed/187/orig_wxtr-28.jpg</t>
  </si>
  <si>
    <t>VR-22GWU</t>
  </si>
  <si>
    <t>Выключатель сенсорный с розеткой 2+2 Wi-Fi, USB, серый, стекло, 258*86, с подсветкой "BEEZMOTO"</t>
  </si>
  <si>
    <t>https://b2beez.ru/images/detailed/187/orig_019f-fp.jpg</t>
  </si>
  <si>
    <t>VR-32GWUT</t>
  </si>
  <si>
    <t>Выключатель сенсорный с розеткой 3+2 Wi-Fi, USB, Type-C, серый, стекло, 258*86, с подсветкой"BZM"</t>
  </si>
  <si>
    <t>https://b2beez.ru/images/detailed/187/orig_eic8-40.jpg</t>
  </si>
  <si>
    <t>VR-32GWU</t>
  </si>
  <si>
    <t>Выключатель сенсорный с розеткой 3+2 Wi-Fi, USB, серый, стекло, 258*86, с подсветкой</t>
  </si>
  <si>
    <t>https://b2beez.ru/images/detailed/187/orig_7jxb-la.jpg</t>
  </si>
  <si>
    <t>R-3GUT</t>
  </si>
  <si>
    <t>Розетка 3 со стеклянной панелью, серая, USB, Type-C, 16А, 110-240В 258*86 "BEEZMOTO"</t>
  </si>
  <si>
    <t>https://b2beez.ru/images/detailed/177/orig_y2vm-vt.jpg</t>
  </si>
  <si>
    <t>R-3GU</t>
  </si>
  <si>
    <t>Розетка 3 со стеклянной панелью, серая, USB, 16А, 110-240В 258*86 "BEEZMOTO"</t>
  </si>
  <si>
    <t>https://b2beez.ru/images/detailed/177/orig_35cj-u4.jpg</t>
  </si>
  <si>
    <t>R-3G</t>
  </si>
  <si>
    <t>Розетка 3 со стеклянной панелью, серая, 16А, 110-240В 258*86 "BEEZMOTO"</t>
  </si>
  <si>
    <t>https://b2beez.ru/images/detailed/177/orig_z1bl-59.jpg</t>
  </si>
  <si>
    <t>V-5GW</t>
  </si>
  <si>
    <t>Выключатель сенсорный 5 кнопок Wi-Fi, серый, стекло, 146*86, с подсветкой "BEEZMOTO"</t>
  </si>
  <si>
    <t>https://b2beez.ru/images/detailed/187/orig_any8-2t.jpg</t>
  </si>
  <si>
    <t>V-3GZW</t>
  </si>
  <si>
    <t>Выключатель сенсорный 3 кнопки  ZIGBEE, серый, стекло, 86*86, с подсветкой "BEEZMOTO"</t>
  </si>
  <si>
    <t>https://b2beez.ru/images/detailed/187/orig_gphq-7g.jpg</t>
  </si>
  <si>
    <t>V-55GZW</t>
  </si>
  <si>
    <t>Выключатель сенсорный 5 кнопок ZIGBEE, серый, стекло, 146*86, с подсветкой</t>
  </si>
  <si>
    <t>https://b2beez.ru/images/detailed/187/orig_cvov-1g.jpg</t>
  </si>
  <si>
    <t>SH-3Z</t>
  </si>
  <si>
    <t>Шлюз ZIGBEE TUYA, Smart Life</t>
  </si>
  <si>
    <t>https://b2beez.ru/images/detailed/182/orig_vfh8-sz.jpg</t>
  </si>
  <si>
    <t>Products without category</t>
  </si>
  <si>
    <t>Для дома и дачи</t>
  </si>
  <si>
    <t xml:space="preserve">   АКБ</t>
  </si>
  <si>
    <t xml:space="preserve">   АКБ прочее</t>
  </si>
  <si>
    <t xml:space="preserve">   USB-флешки</t>
  </si>
  <si>
    <t xml:space="preserve">   Аудиосистемы</t>
  </si>
  <si>
    <t xml:space="preserve">   Брелоки</t>
  </si>
  <si>
    <t xml:space="preserve">   Видео</t>
  </si>
  <si>
    <t xml:space="preserve">   Держатели для телефона</t>
  </si>
  <si>
    <t xml:space="preserve">   Противоугонные средства</t>
  </si>
  <si>
    <t xml:space="preserve">   Ремни стяжные</t>
  </si>
  <si>
    <t xml:space="preserve">   Салфетки и губки</t>
  </si>
  <si>
    <t xml:space="preserve">   Скотч</t>
  </si>
  <si>
    <t xml:space="preserve">   Тросы буксировочные</t>
  </si>
  <si>
    <t xml:space="preserve">   Электрика/освещение</t>
  </si>
  <si>
    <t xml:space="preserve">   Для автомобилей</t>
  </si>
  <si>
    <t xml:space="preserve">      Запчасти (Китай)</t>
  </si>
  <si>
    <t xml:space="preserve">         CHERY</t>
  </si>
  <si>
    <t xml:space="preserve">         GEELY</t>
  </si>
  <si>
    <t xml:space="preserve">         HAVAL</t>
  </si>
  <si>
    <t xml:space="preserve">      Автоаксессуары</t>
  </si>
  <si>
    <t xml:space="preserve">      Ксенон, Лампы</t>
  </si>
  <si>
    <t xml:space="preserve">      Парктроники</t>
  </si>
  <si>
    <t xml:space="preserve">      Противоугонные устройства</t>
  </si>
  <si>
    <t xml:space="preserve">      Свечи авто</t>
  </si>
  <si>
    <t xml:space="preserve">      Фильтра авто</t>
  </si>
  <si>
    <t xml:space="preserve">      Электрооборудование</t>
  </si>
  <si>
    <t xml:space="preserve">   Для бензоинструмента</t>
  </si>
  <si>
    <t xml:space="preserve">      Инструменты и экипировка</t>
  </si>
  <si>
    <t xml:space="preserve">      На бензопилы</t>
  </si>
  <si>
    <t xml:space="preserve">      На бензорезы</t>
  </si>
  <si>
    <t xml:space="preserve">      На мотобуры</t>
  </si>
  <si>
    <t xml:space="preserve">      На мотокосы</t>
  </si>
  <si>
    <t xml:space="preserve">      На мотоопрыскователи</t>
  </si>
  <si>
    <t xml:space="preserve">      Свечи</t>
  </si>
  <si>
    <t xml:space="preserve">      Шнуры стартера</t>
  </si>
  <si>
    <t xml:space="preserve">   Для велотехники</t>
  </si>
  <si>
    <t xml:space="preserve">      Для веломотора</t>
  </si>
  <si>
    <t xml:space="preserve">      Для велосипеда</t>
  </si>
  <si>
    <t xml:space="preserve">   Для мотоблоков и генераторов</t>
  </si>
  <si>
    <t xml:space="preserve">      Двигатель (в сборе)</t>
  </si>
  <si>
    <t xml:space="preserve">      На мотоблоки и генераторы</t>
  </si>
  <si>
    <t xml:space="preserve">      На роторные косилоки мотоблока</t>
  </si>
  <si>
    <t xml:space="preserve">   Для мотопомп</t>
  </si>
  <si>
    <t xml:space="preserve">   Для моторных лодок</t>
  </si>
  <si>
    <t xml:space="preserve">      Лодочный мотор</t>
  </si>
  <si>
    <t xml:space="preserve">   Для мототехники</t>
  </si>
  <si>
    <t xml:space="preserve">      Универсальные</t>
  </si>
  <si>
    <t xml:space="preserve">         Амортизаторы</t>
  </si>
  <si>
    <t xml:space="preserve">         Глушители/резонаторы/системы отвода газов</t>
  </si>
  <si>
    <t xml:space="preserve">         Гофры вилки</t>
  </si>
  <si>
    <t xml:space="preserve">         Зеркала</t>
  </si>
  <si>
    <t xml:space="preserve">         Крепёж и метизы</t>
  </si>
  <si>
    <t xml:space="preserve">         Насвечники/бронепровода</t>
  </si>
  <si>
    <t xml:space="preserve">         Обтекатели</t>
  </si>
  <si>
    <t xml:space="preserve">         Повороты</t>
  </si>
  <si>
    <t xml:space="preserve">         Подшипники</t>
  </si>
  <si>
    <t xml:space="preserve">         Рамка номера</t>
  </si>
  <si>
    <t xml:space="preserve">         Руль/ручки руля/газа/отбойники/грипсы/круиз контр</t>
  </si>
  <si>
    <t xml:space="preserve">         Сайлентблоки</t>
  </si>
  <si>
    <t xml:space="preserve">         Тормозная система</t>
  </si>
  <si>
    <t xml:space="preserve">         Фильтра</t>
  </si>
  <si>
    <t xml:space="preserve">         Цепи/замки/натяжители</t>
  </si>
  <si>
    <t xml:space="preserve">         Шланги</t>
  </si>
  <si>
    <t xml:space="preserve">         Щуп масла</t>
  </si>
  <si>
    <t xml:space="preserve">         Электрика/освещение</t>
  </si>
  <si>
    <t xml:space="preserve">         Ножки/подножки/накладки</t>
  </si>
  <si>
    <t xml:space="preserve">         Свечи/гужоны</t>
  </si>
  <si>
    <t xml:space="preserve">      На квадроциклы</t>
  </si>
  <si>
    <t xml:space="preserve">      На максискутеры</t>
  </si>
  <si>
    <t xml:space="preserve">      На мопеды и питбайки</t>
  </si>
  <si>
    <t xml:space="preserve">      На мотоциклы (зарубежные)</t>
  </si>
  <si>
    <t xml:space="preserve">      На мотоциклы (отечественные)</t>
  </si>
  <si>
    <t xml:space="preserve">      На скутеры</t>
  </si>
  <si>
    <t xml:space="preserve">         GY6 50-190</t>
  </si>
  <si>
    <t xml:space="preserve">            Бендикс</t>
  </si>
  <si>
    <t xml:space="preserve">               GY6 50-80</t>
  </si>
  <si>
    <t xml:space="preserve">         Honda</t>
  </si>
  <si>
    <t xml:space="preserve">               DIO</t>
  </si>
  <si>
    <t xml:space="preserve">      На снегоходы</t>
  </si>
  <si>
    <t xml:space="preserve">   Для электроинструмента</t>
  </si>
  <si>
    <t xml:space="preserve">      На электропилы</t>
  </si>
  <si>
    <t xml:space="preserve">   Для электротранспорта</t>
  </si>
  <si>
    <t xml:space="preserve">      На электросамокаты</t>
  </si>
  <si>
    <t xml:space="preserve">   Универсальные</t>
  </si>
  <si>
    <t xml:space="preserve">   Аккумуляторный инструмент</t>
  </si>
  <si>
    <t xml:space="preserve">      Деревообработка</t>
  </si>
  <si>
    <t xml:space="preserve">      Краскопульты</t>
  </si>
  <si>
    <t xml:space="preserve">      Паяльники для труб</t>
  </si>
  <si>
    <t xml:space="preserve">      Прочий инструмент</t>
  </si>
  <si>
    <t xml:space="preserve">      Пылесосы</t>
  </si>
  <si>
    <t xml:space="preserve">      Строительные фены</t>
  </si>
  <si>
    <t xml:space="preserve">      УШМ Болгарка</t>
  </si>
  <si>
    <t xml:space="preserve">      Шуруповерт/Дрель/Перфоратор/Гайковерт</t>
  </si>
  <si>
    <t xml:space="preserve">      Сабельные пилы</t>
  </si>
  <si>
    <t xml:space="preserve">   Сетевой инструмент</t>
  </si>
  <si>
    <t xml:space="preserve">      Лобзики</t>
  </si>
  <si>
    <t xml:space="preserve">      Машины шлифовальные</t>
  </si>
  <si>
    <t xml:space="preserve">      Металлообрабатывающее оборудование</t>
  </si>
  <si>
    <t xml:space="preserve">      Миксеры</t>
  </si>
  <si>
    <t xml:space="preserve">      Молотки отбойные</t>
  </si>
  <si>
    <t xml:space="preserve">      Циркулярные пилы</t>
  </si>
  <si>
    <t xml:space="preserve">   Садовый инструмент</t>
  </si>
  <si>
    <t xml:space="preserve">      Триммеры</t>
  </si>
  <si>
    <t xml:space="preserve">         Бензокоса</t>
  </si>
  <si>
    <t xml:space="preserve">         Электрокоса</t>
  </si>
  <si>
    <t xml:space="preserve">         Триммеры аккумуляторные</t>
  </si>
  <si>
    <t xml:space="preserve">      Пилы цепные</t>
  </si>
  <si>
    <t xml:space="preserve">         Бензопилы</t>
  </si>
  <si>
    <t xml:space="preserve">         Электропилы</t>
  </si>
  <si>
    <t xml:space="preserve">         Пилы аккумуляторные</t>
  </si>
  <si>
    <t xml:space="preserve">      Секаторы аккумуляторные</t>
  </si>
  <si>
    <t xml:space="preserve">      Воздуходувки</t>
  </si>
  <si>
    <t xml:space="preserve">      Генераторы</t>
  </si>
  <si>
    <t xml:space="preserve">      Электроопрыскиватели</t>
  </si>
  <si>
    <t xml:space="preserve">      Секаторы</t>
  </si>
  <si>
    <t xml:space="preserve">   Адаптеры</t>
  </si>
  <si>
    <t xml:space="preserve">   Аксессуары для электроинструмента</t>
  </si>
  <si>
    <t xml:space="preserve">   Домкраты</t>
  </si>
  <si>
    <t xml:space="preserve">   Зарядные устройства</t>
  </si>
  <si>
    <t xml:space="preserve">   Измерительно-разметочный инструмент</t>
  </si>
  <si>
    <t xml:space="preserve">   Ключи</t>
  </si>
  <si>
    <t xml:space="preserve">   Насосы, компрессоры</t>
  </si>
  <si>
    <t xml:space="preserve">   Отвертки</t>
  </si>
  <si>
    <t xml:space="preserve">   Плоскогубцы</t>
  </si>
  <si>
    <t xml:space="preserve">   Приспособления</t>
  </si>
  <si>
    <t xml:space="preserve">   Сварочное оборудование</t>
  </si>
  <si>
    <t xml:space="preserve">   Сварочные маски</t>
  </si>
  <si>
    <t xml:space="preserve">   Съемники</t>
  </si>
  <si>
    <t xml:space="preserve">   Удлинители и тройники</t>
  </si>
  <si>
    <t xml:space="preserve">   Лестницы</t>
  </si>
  <si>
    <t xml:space="preserve">   Масла</t>
  </si>
  <si>
    <t xml:space="preserve">      Автомобильные</t>
  </si>
  <si>
    <t xml:space="preserve">      Вилочные</t>
  </si>
  <si>
    <t xml:space="preserve">      Моторные 2Т</t>
  </si>
  <si>
    <t xml:space="preserve">      Моторные 4Т</t>
  </si>
  <si>
    <t xml:space="preserve">      Трансмиссионные</t>
  </si>
  <si>
    <t xml:space="preserve">      Цепные</t>
  </si>
  <si>
    <t xml:space="preserve">   Антифризы</t>
  </si>
  <si>
    <t xml:space="preserve">   Бытовая химия</t>
  </si>
  <si>
    <t xml:space="preserve">   Краски</t>
  </si>
  <si>
    <t xml:space="preserve">   Присадки</t>
  </si>
  <si>
    <t xml:space="preserve">   Смазки</t>
  </si>
  <si>
    <t xml:space="preserve">   Тормозная жидкость</t>
  </si>
  <si>
    <t xml:space="preserve">   Фиксаторы</t>
  </si>
  <si>
    <t xml:space="preserve">   Чистки</t>
  </si>
  <si>
    <t xml:space="preserve">   Инструкции</t>
  </si>
  <si>
    <t xml:space="preserve">   Наклейки</t>
  </si>
  <si>
    <t xml:space="preserve">   Талоны</t>
  </si>
  <si>
    <t xml:space="preserve">   Камеры</t>
  </si>
  <si>
    <t xml:space="preserve">   Колеса в сборе</t>
  </si>
  <si>
    <t xml:space="preserve">   Ниппеля</t>
  </si>
  <si>
    <t xml:space="preserve">   Ремкомплекты</t>
  </si>
  <si>
    <t xml:space="preserve">   Шины, Покрышки</t>
  </si>
  <si>
    <t xml:space="preserve">   Вело</t>
  </si>
  <si>
    <t xml:space="preserve">      Велосипеды трансформеры</t>
  </si>
  <si>
    <t xml:space="preserve">      Горные велосипеды</t>
  </si>
  <si>
    <t xml:space="preserve">      Городские велосипеды</t>
  </si>
  <si>
    <t xml:space="preserve">      Детские велосипеды</t>
  </si>
  <si>
    <t xml:space="preserve">      Фэтбайки</t>
  </si>
  <si>
    <t xml:space="preserve">   Мото</t>
  </si>
  <si>
    <t xml:space="preserve">      Мопеды</t>
  </si>
  <si>
    <t xml:space="preserve">      Мотоциклы</t>
  </si>
  <si>
    <t xml:space="preserve">      Скутеры</t>
  </si>
  <si>
    <t xml:space="preserve">   Электро</t>
  </si>
  <si>
    <t xml:space="preserve">      Гироборды</t>
  </si>
  <si>
    <t xml:space="preserve">      Электросамокаты</t>
  </si>
  <si>
    <t xml:space="preserve">      Электроскутеры</t>
  </si>
  <si>
    <t xml:space="preserve">   Самокаты</t>
  </si>
  <si>
    <t xml:space="preserve">   Курьерские пакеты</t>
  </si>
  <si>
    <t xml:space="preserve">   Ножи</t>
  </si>
  <si>
    <t xml:space="preserve">   Перчатки рабочие</t>
  </si>
  <si>
    <t xml:space="preserve">   Пупырка</t>
  </si>
  <si>
    <t xml:space="preserve">   Стрейч пленка</t>
  </si>
  <si>
    <t xml:space="preserve">   Термоленты</t>
  </si>
  <si>
    <t xml:space="preserve">   Термоэтикетки</t>
  </si>
  <si>
    <t xml:space="preserve">   Упаковочное оборудование</t>
  </si>
  <si>
    <t xml:space="preserve">   Zip-Lock</t>
  </si>
  <si>
    <t xml:space="preserve">   Для принтера</t>
  </si>
  <si>
    <t xml:space="preserve">      Термоленты</t>
  </si>
  <si>
    <t xml:space="preserve">      Термоэтикетки</t>
  </si>
  <si>
    <t xml:space="preserve">   Коробки</t>
  </si>
  <si>
    <t xml:space="preserve">   Пряжки, ремни, аксессуары</t>
  </si>
  <si>
    <t xml:space="preserve">      Лента</t>
  </si>
  <si>
    <t xml:space="preserve">      Пряжки</t>
  </si>
  <si>
    <t xml:space="preserve">   Шлемы</t>
  </si>
  <si>
    <t xml:space="preserve">      Аксессуары для шлема</t>
  </si>
  <si>
    <t xml:space="preserve">      Велосипедные</t>
  </si>
  <si>
    <t xml:space="preserve">      Детские</t>
  </si>
  <si>
    <t xml:space="preserve">      Интегралы</t>
  </si>
  <si>
    <t xml:space="preserve">      Кроссовые</t>
  </si>
  <si>
    <t xml:space="preserve">      Каски</t>
  </si>
  <si>
    <t xml:space="preserve">      Открытые</t>
  </si>
  <si>
    <t xml:space="preserve">      Расходники и запчасти</t>
  </si>
  <si>
    <t xml:space="preserve">      Скейтерские</t>
  </si>
  <si>
    <t xml:space="preserve">      Трансформеры</t>
  </si>
  <si>
    <t xml:space="preserve">   Бейсболки и банданы</t>
  </si>
  <si>
    <t xml:space="preserve">   Дождевики/чехлы</t>
  </si>
  <si>
    <t xml:space="preserve">   Защита</t>
  </si>
  <si>
    <t xml:space="preserve">   Кофры</t>
  </si>
  <si>
    <t xml:space="preserve">   Обувь</t>
  </si>
  <si>
    <t xml:space="preserve">   Одежда</t>
  </si>
  <si>
    <t xml:space="preserve">   Очки</t>
  </si>
  <si>
    <t xml:space="preserve">   Перчатки</t>
  </si>
  <si>
    <t xml:space="preserve">   Подшлемники</t>
  </si>
  <si>
    <t xml:space="preserve">   Рюкзаки, сумки</t>
  </si>
  <si>
    <t xml:space="preserve">   Сетки багажника</t>
  </si>
  <si>
    <t xml:space="preserve">   Конденсаторы</t>
  </si>
  <si>
    <t xml:space="preserve">   Розетки, выключатели</t>
  </si>
  <si>
    <t xml:space="preserve">   Для дома и дачи</t>
  </si>
  <si>
    <t>ДОСТАВКА</t>
  </si>
  <si>
    <t xml:space="preserve">Бесплатная доставка до терминала в вашем городе осуществляется при сумме заказа от 30000р.
Бесплатная адресная доставка осуществляется при сумме заказа от 50000р.
Отправляем транспортными компаниями: КИТ(GTD), ПЭК, Деловые Линии, Почта России, СДЭК
Самовывоз с рынка на территории старого аэропорта по воскресеньям, с 18:00-22:00. Адрес: Россия, Ростов-на-Дону, проспект Шолохова, 270/1 с 16:00-23:00
*самовывоз в другие дни уточнять у логиста по тел: +79381300050
Доставка курьером пог. Ростов-на -Дону, при заказе на сумму от 10000руб бесплатно. *300руб если сумма заказа меньше  </t>
  </si>
  <si>
    <t>Доставка Почтой России и СДЭК, только за счёт получателя!
Оплата за доставку производится получателем онлайн на сайте ТК или при получении. 
Максимальный вес посылки может быть ограничен.
Перед отправкой мы Вам позвоним для согласования стоимости.</t>
  </si>
  <si>
    <t>По вопросам оплаты и доставки другими транспортными компаниями и в удаленные регионы РФ обращайтесь по телефону или Email:</t>
  </si>
  <si>
    <t>ОПЛАТА</t>
  </si>
  <si>
    <t>Оплата через Юkassa: Visa, Mastercard, Maestro, Мир и Apple Pay, Google Pay (максимум 250 000 ₽ за один раз, в месяц — 500 000 ₽ одной банковской картой.)                                                                                                                                                                                                                                                                                                                                                                                        Расчётный счёт: оплата заказа будет доступна после выставления счёта. Счёт на оплату будет выставлен в течении 24ч.
Используйте выставленный Вам номер счёта на оплату как идентификатор заказа в качестве кода платежа. 
Подтверждение оплаты пришлите на почту oplata@moto-express.org.
Заказ будет отправлен после подтверждения. При отсутствии подтверждения возможна задержка отправки заказа.</t>
  </si>
  <si>
    <t>ПОЛЕЗНЫЕ ССЫЛКИ:</t>
  </si>
  <si>
    <t>Оплата через Юkassa: https://youtu.be/Mm0SVGZVv3g</t>
  </si>
  <si>
    <t>Кнопка оплатить на сайте: https://youtu.be/DUqeb25lWfA</t>
  </si>
  <si>
    <t>СИСТЕМА СКИДОК</t>
  </si>
  <si>
    <t>Гибкая система скидок позволяет Вам при увеличении ежемесячного оборота получить более приятные цены.
Скидка достигается за счёт суммы оплаченных заказов в течении одного месяца и фиксируется за Вами.
Если на протяжении 4-х месяцев от Вас не поступали заказы, то скидка аннулируется.
*Пример: В апреле Вы заказали и оплатили на сумму 110 000руб, уже с  1 мая у Вас будет установлена скидка 7%</t>
  </si>
  <si>
    <t>Шкала системы скидок</t>
  </si>
  <si>
    <t>от суммы заказов в месяц</t>
  </si>
  <si>
    <t>От: 1000руб ------------------------------------------------------- скидка 1%
5000руб ----------------------------------------------------------------скидка 2%
10000руб-------------------------------------------------------------------скидка 3%
25000руб-----------------------------------------------------------------------скидка 4%
50000руб----------------------------------------------------------------------------скидка 5%
75000руб---------------------------------------------------------------------------------скидка 6%
100000руб-------------------------------------------------------------------------------------скидка 7%
150000руб------------------------------------------------------------------------------------------скидка 8%
200000руб----------------------------------------------------------------------------------------------скидка 9%
250000руб---------------------------------------------------------------------------------------------------скидка 10%
300000руб-------------------------------------------------------------------------------------------------------скидка 11%
350000руб------------------------------------------------------------------------------------------------------------скидка 12%
400000руб-----------------------------------------------------------------------------------------------------------------скидка 13%
450000руб----------------------------------------------------------------------------------------------------------------------скидка 14%
500000руб---------------------------------------------------------------------------------------------------------------------------скидка 15%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</si>
</sst>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1"/>
      <i val="0"/>
      <strike val="0"/>
      <u val="single"/>
      <sz val="14"/>
      <color rgb="FF0000FF"/>
      <name val="Calibri"/>
    </font>
    <font>
      <b val="1"/>
      <i val="0"/>
      <strike val="0"/>
      <u val="single"/>
      <sz val="11"/>
      <color rgb="FF000000"/>
      <name val="Calibri"/>
    </font>
    <font>
      <b val="1"/>
      <i val="0"/>
      <strike val="0"/>
      <u val="single"/>
      <sz val="11"/>
      <color rgb="FF0000FF"/>
      <name val="Calibri"/>
    </font>
    <font>
      <b val="1"/>
      <i val="0"/>
      <strike val="0"/>
      <u val="none"/>
      <sz val="14"/>
      <color rgb="FF000096"/>
      <name val="Calibri"/>
    </font>
    <font>
      <b val="0"/>
      <i val="0"/>
      <strike val="0"/>
      <u val="none"/>
      <sz val="16"/>
      <color rgb="FF000000"/>
      <name val="Calibri"/>
    </font>
    <font>
      <b val="0"/>
      <i val="0"/>
      <strike val="0"/>
      <u val="none"/>
      <sz val="16"/>
      <color rgb="FFFF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single"/>
      <sz val="12"/>
      <color rgb="FF0000FF"/>
      <name val="Calibri"/>
    </font>
    <font>
      <b val="0"/>
      <i val="0"/>
      <strike val="0"/>
      <u val="none"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000096"/>
        <bgColor rgb="FF000080"/>
      </patternFill>
    </fill>
    <fill>
      <patternFill patternType="solid">
        <fgColor rgb="FF0000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 applyProtection="true">
      <protection locked="true" hidden="false"/>
    </xf>
    <xf xfId="0" fontId="0" numFmtId="0" fillId="0" borderId="0" applyFont="0" applyNumberFormat="0" applyFill="0" applyBorder="0" applyAlignment="0" applyProtection="true">
      <protection locked="true" hidden="false"/>
    </xf>
    <xf xfId="0" fontId="0" numFmtId="0" fillId="0" borderId="0" applyFont="0" applyNumberFormat="0" applyFill="0" applyBorder="0" applyAlignment="0" applyProtection="true">
      <protection locked="true"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3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4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5" numFmtId="0" fillId="0" borderId="0" applyFont="1" applyNumberFormat="0" applyFill="0" applyBorder="0" applyAlignment="0" applyProtection="true">
      <protection locked="true" hidden="false"/>
    </xf>
    <xf xfId="0" fontId="6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 hidden="false"/>
    </xf>
    <xf xfId="0" fontId="7" numFmtId="0" fillId="3" borderId="0" applyFont="1" applyNumberFormat="0" applyFill="1" applyBorder="0" applyAlignment="0" applyProtection="true">
      <protection locked="true" hidden="false"/>
    </xf>
    <xf xfId="0" fontId="8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9" numFmtId="0" fillId="2" borderId="0" applyFont="1" applyNumberFormat="0" applyFill="1" applyBorder="0" applyAlignment="1" applyProtection="true">
      <alignment horizontal="center" vertical="bottom" textRotation="0" wrapText="true" shrinkToFit="false"/>
      <protection locked="true"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true" hidden="false"/>
    </xf>
    <xf xfId="0" fontId="8" numFmtId="0" fillId="2" borderId="0" applyFont="1" applyNumberFormat="0" applyFill="1" applyBorder="0" applyAlignment="0" applyProtection="true">
      <protection locked="true" hidden="false"/>
    </xf>
    <xf xfId="0" fontId="8" numFmtId="0" fillId="2" borderId="0" applyFont="1" applyNumberFormat="0" applyFill="1" applyBorder="0" applyAlignment="1" applyProtection="true">
      <alignment vertical="bottom" textRotation="0" wrapText="true" shrinkToFit="false"/>
      <protection locked="true" hidden="false"/>
    </xf>
    <xf xfId="0" fontId="7" numFmtId="0" fillId="4" borderId="0" applyFont="1" applyNumberFormat="0" applyFill="1" applyBorder="0" applyAlignment="0" applyProtection="true">
      <protection locked="true" hidden="false"/>
    </xf>
    <xf xfId="0" fontId="10" numFmtId="0" fillId="0" borderId="0" applyFont="1" applyNumberFormat="0" applyFill="0" applyBorder="0" applyAlignment="0" applyProtection="true"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drawing" Target="../drawings/drawing1.xml"/><Relationship Id="rId_hyperlink_1" Type="http://schemas.openxmlformats.org/officeDocument/2006/relationships/hyperlink" Target="https://moto-express.org/" TargetMode="External"/><Relationship Id="rId_hyperlink_2" Type="http://schemas.openxmlformats.org/officeDocument/2006/relationships/hyperlink" Target="http://youtu.be/MTlC4wzxaww" TargetMode="External"/><Relationship Id="rId_hyperlink_3" Type="http://schemas.openxmlformats.org/officeDocument/2006/relationships/hyperlink" Target="https://b2beez.ru/images/detailed/0/" TargetMode="External"/><Relationship Id="rId_hyperlink_4" Type="http://schemas.openxmlformats.org/officeDocument/2006/relationships/hyperlink" Target="https://b2beez.ru/images/detailed/153/orig_3qzi-6s.jpg" TargetMode="External"/><Relationship Id="rId_hyperlink_5" Type="http://schemas.openxmlformats.org/officeDocument/2006/relationships/hyperlink" Target="https://b2beez.ru/images/detailed/153/orig_k2hz-3w.jpg" TargetMode="External"/><Relationship Id="rId_hyperlink_6" Type="http://schemas.openxmlformats.org/officeDocument/2006/relationships/hyperlink" Target="https://b2beez.ru/images/detailed/153/orig_q763-u6.jpg" TargetMode="External"/><Relationship Id="rId_hyperlink_7" Type="http://schemas.openxmlformats.org/officeDocument/2006/relationships/hyperlink" Target="https://b2beez.ru/images/detailed/153/orig_6grt-zy.jpg" TargetMode="External"/><Relationship Id="rId_hyperlink_8" Type="http://schemas.openxmlformats.org/officeDocument/2006/relationships/hyperlink" Target="https://b2beez.ru/images/detailed/0/" TargetMode="External"/><Relationship Id="rId_hyperlink_9" Type="http://schemas.openxmlformats.org/officeDocument/2006/relationships/hyperlink" Target="https://b2beez.ru/images/detailed/154/6816974702.jpg" TargetMode="External"/><Relationship Id="rId_hyperlink_10" Type="http://schemas.openxmlformats.org/officeDocument/2006/relationships/hyperlink" Target="https://b2beez.ru/images/detailed/153/orig_d3j5-rv.jpg" TargetMode="External"/><Relationship Id="rId_hyperlink_11" Type="http://schemas.openxmlformats.org/officeDocument/2006/relationships/hyperlink" Target="https://b2beez.ru/images/detailed/153/6125318548_smt0-pd.jpg" TargetMode="External"/><Relationship Id="rId_hyperlink_12" Type="http://schemas.openxmlformats.org/officeDocument/2006/relationships/hyperlink" Target="https://b2beez.ru/images/detailed/153/orig_y3ap-zu.jpg" TargetMode="External"/><Relationship Id="rId_hyperlink_13" Type="http://schemas.openxmlformats.org/officeDocument/2006/relationships/hyperlink" Target="https://b2beez.ru/images/detailed/153/6125322081.jpg" TargetMode="External"/><Relationship Id="rId_hyperlink_14" Type="http://schemas.openxmlformats.org/officeDocument/2006/relationships/hyperlink" Target="https://b2beez.ru/images/detailed/168/6245078856.jpg" TargetMode="External"/><Relationship Id="rId_hyperlink_15" Type="http://schemas.openxmlformats.org/officeDocument/2006/relationships/hyperlink" Target="https://b2beez.ru/images/detailed/154/orig_cezy-35.jpg" TargetMode="External"/><Relationship Id="rId_hyperlink_16" Type="http://schemas.openxmlformats.org/officeDocument/2006/relationships/hyperlink" Target="https://b2beez.ru/images/detailed/204/A-581.jpg" TargetMode="External"/><Relationship Id="rId_hyperlink_17" Type="http://schemas.openxmlformats.org/officeDocument/2006/relationships/hyperlink" Target="https://b2beez.ru/images/detailed/0/" TargetMode="External"/><Relationship Id="rId_hyperlink_18" Type="http://schemas.openxmlformats.org/officeDocument/2006/relationships/hyperlink" Target="https://b2beez.ru/images/detailed/153/6162308299.jpg" TargetMode="External"/><Relationship Id="rId_hyperlink_19" Type="http://schemas.openxmlformats.org/officeDocument/2006/relationships/hyperlink" Target="https://b2beez.ru/images/detailed/154/orig_pg2o-o8.jpg" TargetMode="External"/><Relationship Id="rId_hyperlink_20" Type="http://schemas.openxmlformats.org/officeDocument/2006/relationships/hyperlink" Target="https://b2beez.ru/images/detailed/154/orig_o49c-b4.jpg" TargetMode="External"/><Relationship Id="rId_hyperlink_21" Type="http://schemas.openxmlformats.org/officeDocument/2006/relationships/hyperlink" Target="https://b2beez.ru/images/detailed/154/orig_xzan-5c.jpg" TargetMode="External"/><Relationship Id="rId_hyperlink_22" Type="http://schemas.openxmlformats.org/officeDocument/2006/relationships/hyperlink" Target="https://b2beez.ru/images/detailed/154/6801185435.jpg" TargetMode="External"/><Relationship Id="rId_hyperlink_23" Type="http://schemas.openxmlformats.org/officeDocument/2006/relationships/hyperlink" Target="https://b2beez.ru/images/detailed/154/6801186451.jpg" TargetMode="External"/><Relationship Id="rId_hyperlink_24" Type="http://schemas.openxmlformats.org/officeDocument/2006/relationships/hyperlink" Target="https://b2beez.ru/images/detailed/154/orig_g4r6-sf.jpg" TargetMode="External"/><Relationship Id="rId_hyperlink_25" Type="http://schemas.openxmlformats.org/officeDocument/2006/relationships/hyperlink" Target="https://b2beez.ru/images/detailed/154/orig_nfuf-7p.jpg" TargetMode="External"/><Relationship Id="rId_hyperlink_26" Type="http://schemas.openxmlformats.org/officeDocument/2006/relationships/hyperlink" Target="https://b2beez.ru/images/detailed/154/orig_sht0-os.jpg" TargetMode="External"/><Relationship Id="rId_hyperlink_27" Type="http://schemas.openxmlformats.org/officeDocument/2006/relationships/hyperlink" Target="https://b2beez.ru/images/detailed/154/orig_8hix-5p.jpg" TargetMode="External"/><Relationship Id="rId_hyperlink_28" Type="http://schemas.openxmlformats.org/officeDocument/2006/relationships/hyperlink" Target="https://b2beez.ru/images/detailed/154/orig_jizf-wt.jpg" TargetMode="External"/><Relationship Id="rId_hyperlink_29" Type="http://schemas.openxmlformats.org/officeDocument/2006/relationships/hyperlink" Target="https://b2beez.ru/images/detailed/154/orig_4a28-7l.jpg" TargetMode="External"/><Relationship Id="rId_hyperlink_30" Type="http://schemas.openxmlformats.org/officeDocument/2006/relationships/hyperlink" Target="https://b2beez.ru/images/detailed/154/orig_cuxa-5s.jpg" TargetMode="External"/><Relationship Id="rId_hyperlink_31" Type="http://schemas.openxmlformats.org/officeDocument/2006/relationships/hyperlink" Target="https://b2beez.ru/images/detailed/154/orig_4o3r-06.jpg" TargetMode="External"/><Relationship Id="rId_hyperlink_32" Type="http://schemas.openxmlformats.org/officeDocument/2006/relationships/hyperlink" Target="https://b2beez.ru/images/detailed/154/orig_gp18-rw.jpg" TargetMode="External"/><Relationship Id="rId_hyperlink_33" Type="http://schemas.openxmlformats.org/officeDocument/2006/relationships/hyperlink" Target="https://b2beez.ru/images/detailed/154/orig_dikq-yz.jpg" TargetMode="External"/><Relationship Id="rId_hyperlink_34" Type="http://schemas.openxmlformats.org/officeDocument/2006/relationships/hyperlink" Target="https://b2beez.ru/images/detailed/154/orig_9gye-sa.jpg" TargetMode="External"/><Relationship Id="rId_hyperlink_35" Type="http://schemas.openxmlformats.org/officeDocument/2006/relationships/hyperlink" Target="https://b2beez.ru/images/detailed/154/orig_6hgr-22.jpg" TargetMode="External"/><Relationship Id="rId_hyperlink_36" Type="http://schemas.openxmlformats.org/officeDocument/2006/relationships/hyperlink" Target="https://b2beez.ru/images/detailed/154/orig_5ot7-0f.jpg" TargetMode="External"/><Relationship Id="rId_hyperlink_37" Type="http://schemas.openxmlformats.org/officeDocument/2006/relationships/hyperlink" Target="https://b2beez.ru/images/detailed/154/orig_b25j-dy.jpg" TargetMode="External"/><Relationship Id="rId_hyperlink_38" Type="http://schemas.openxmlformats.org/officeDocument/2006/relationships/hyperlink" Target="https://b2beez.ru/images/detailed/154/orig_h55m-0w.jpg" TargetMode="External"/><Relationship Id="rId_hyperlink_39" Type="http://schemas.openxmlformats.org/officeDocument/2006/relationships/hyperlink" Target="https://b2beez.ru/images/detailed/154/6923484692.jpg" TargetMode="External"/><Relationship Id="rId_hyperlink_40" Type="http://schemas.openxmlformats.org/officeDocument/2006/relationships/hyperlink" Target="https://b2beez.ru/images/detailed/154/orig_9ufp-u4.jpg" TargetMode="External"/><Relationship Id="rId_hyperlink_41" Type="http://schemas.openxmlformats.org/officeDocument/2006/relationships/hyperlink" Target="https://b2beez.ru/images/detailed/154/6801187809.jpg" TargetMode="External"/><Relationship Id="rId_hyperlink_42" Type="http://schemas.openxmlformats.org/officeDocument/2006/relationships/hyperlink" Target="https://b2beez.ru/images/detailed/154/orig_3x4w-ic.jpg" TargetMode="External"/><Relationship Id="rId_hyperlink_43" Type="http://schemas.openxmlformats.org/officeDocument/2006/relationships/hyperlink" Target="https://b2beez.ru/images/detailed/154/orig_p8s5-lk.jpg" TargetMode="External"/><Relationship Id="rId_hyperlink_44" Type="http://schemas.openxmlformats.org/officeDocument/2006/relationships/hyperlink" Target="https://b2beez.ru/images/detailed/154/6170136347.jpg" TargetMode="External"/><Relationship Id="rId_hyperlink_45" Type="http://schemas.openxmlformats.org/officeDocument/2006/relationships/hyperlink" Target="https://b2beez.ru/images/detailed/154/6170136336.jpg" TargetMode="External"/><Relationship Id="rId_hyperlink_46" Type="http://schemas.openxmlformats.org/officeDocument/2006/relationships/hyperlink" Target="https://b2beez.ru/images/detailed/154/orig_hpae-e2.jpg" TargetMode="External"/><Relationship Id="rId_hyperlink_47" Type="http://schemas.openxmlformats.org/officeDocument/2006/relationships/hyperlink" Target="https://b2beez.ru/images/detailed/154/6173432030.jpg" TargetMode="External"/><Relationship Id="rId_hyperlink_48" Type="http://schemas.openxmlformats.org/officeDocument/2006/relationships/hyperlink" Target="https://b2beez.ru/images/detailed/154/orig_hf31-tx.jpg" TargetMode="External"/><Relationship Id="rId_hyperlink_49" Type="http://schemas.openxmlformats.org/officeDocument/2006/relationships/hyperlink" Target="https://b2beez.ru/images/detailed/170/6170136331.jpg" TargetMode="External"/><Relationship Id="rId_hyperlink_50" Type="http://schemas.openxmlformats.org/officeDocument/2006/relationships/hyperlink" Target="https://b2beez.ru/images/detailed/170/6170136271.jpg" TargetMode="External"/><Relationship Id="rId_hyperlink_51" Type="http://schemas.openxmlformats.org/officeDocument/2006/relationships/hyperlink" Target="https://b2beez.ru/images/detailed/154/6170136276.jpg" TargetMode="External"/><Relationship Id="rId_hyperlink_52" Type="http://schemas.openxmlformats.org/officeDocument/2006/relationships/hyperlink" Target="https://b2beez.ru/images/detailed/154/6801184262.jpg" TargetMode="External"/><Relationship Id="rId_hyperlink_53" Type="http://schemas.openxmlformats.org/officeDocument/2006/relationships/hyperlink" Target="https://b2beez.ru/images/detailed/154/6170136317.jpg" TargetMode="External"/><Relationship Id="rId_hyperlink_54" Type="http://schemas.openxmlformats.org/officeDocument/2006/relationships/hyperlink" Target="https://b2beez.ru/images/detailed/154/orig_4css-o6.jpg" TargetMode="External"/><Relationship Id="rId_hyperlink_55" Type="http://schemas.openxmlformats.org/officeDocument/2006/relationships/hyperlink" Target="https://b2beez.ru/images/detailed/154/6491928931.jpg" TargetMode="External"/><Relationship Id="rId_hyperlink_56" Type="http://schemas.openxmlformats.org/officeDocument/2006/relationships/hyperlink" Target="https://b2beez.ru/images/detailed/154/6801187538.jpg" TargetMode="External"/><Relationship Id="rId_hyperlink_57" Type="http://schemas.openxmlformats.org/officeDocument/2006/relationships/hyperlink" Target="https://b2beez.ru/images/detailed/154/6170136324.jpg" TargetMode="External"/><Relationship Id="rId_hyperlink_58" Type="http://schemas.openxmlformats.org/officeDocument/2006/relationships/hyperlink" Target="https://b2beez.ru/images/detailed/48/6220920137.jpg" TargetMode="External"/><Relationship Id="rId_hyperlink_59" Type="http://schemas.openxmlformats.org/officeDocument/2006/relationships/hyperlink" Target="https://b2beez.ru/images/detailed/48/orig_yerw-zy.jpg" TargetMode="External"/><Relationship Id="rId_hyperlink_60" Type="http://schemas.openxmlformats.org/officeDocument/2006/relationships/hyperlink" Target="https://b2beez.ru/images/detailed/48/orig_zh9g-rm.jpg" TargetMode="External"/><Relationship Id="rId_hyperlink_61" Type="http://schemas.openxmlformats.org/officeDocument/2006/relationships/hyperlink" Target="https://b2beez.ru/images/detailed/160/6230944653.jpg" TargetMode="External"/><Relationship Id="rId_hyperlink_62" Type="http://schemas.openxmlformats.org/officeDocument/2006/relationships/hyperlink" Target="https://b2beez.ru/images/detailed/160/orig_60ay-ar.jpg" TargetMode="External"/><Relationship Id="rId_hyperlink_63" Type="http://schemas.openxmlformats.org/officeDocument/2006/relationships/hyperlink" Target="https://b2beez.ru/images/detailed/159/orig_xmyo-bj.jpg" TargetMode="External"/><Relationship Id="rId_hyperlink_64" Type="http://schemas.openxmlformats.org/officeDocument/2006/relationships/hyperlink" Target="https://b2beez.ru/images/detailed/48/orig_8pg8-at.jpg" TargetMode="External"/><Relationship Id="rId_hyperlink_65" Type="http://schemas.openxmlformats.org/officeDocument/2006/relationships/hyperlink" Target="https://b2beez.ru/images/detailed/159/6220888747.jpg" TargetMode="External"/><Relationship Id="rId_hyperlink_66" Type="http://schemas.openxmlformats.org/officeDocument/2006/relationships/hyperlink" Target="https://b2beez.ru/images/detailed/175/6318374954.jpg" TargetMode="External"/><Relationship Id="rId_hyperlink_67" Type="http://schemas.openxmlformats.org/officeDocument/2006/relationships/hyperlink" Target="https://b2beez.ru/images/detailed/175/6318374987.jpg" TargetMode="External"/><Relationship Id="rId_hyperlink_68" Type="http://schemas.openxmlformats.org/officeDocument/2006/relationships/hyperlink" Target="https://b2beez.ru/images/detailed/175/6321437720.jpg" TargetMode="External"/><Relationship Id="rId_hyperlink_69" Type="http://schemas.openxmlformats.org/officeDocument/2006/relationships/hyperlink" Target="https://b2beez.ru/images/detailed/175/6321438075.jpg" TargetMode="External"/><Relationship Id="rId_hyperlink_70" Type="http://schemas.openxmlformats.org/officeDocument/2006/relationships/hyperlink" Target="https://b2beez.ru/images/detailed/173/orig_2lsz-ul.jpg" TargetMode="External"/><Relationship Id="rId_hyperlink_71" Type="http://schemas.openxmlformats.org/officeDocument/2006/relationships/hyperlink" Target="https://b2beez.ru/images/detailed/48/orig_5cc7-f5.jpg" TargetMode="External"/><Relationship Id="rId_hyperlink_72" Type="http://schemas.openxmlformats.org/officeDocument/2006/relationships/hyperlink" Target="https://b2beez.ru/images/detailed/173/6318374942.jpg" TargetMode="External"/><Relationship Id="rId_hyperlink_73" Type="http://schemas.openxmlformats.org/officeDocument/2006/relationships/hyperlink" Target="https://b2beez.ru/images/detailed/175/orig_i206-3p.jpg" TargetMode="External"/><Relationship Id="rId_hyperlink_74" Type="http://schemas.openxmlformats.org/officeDocument/2006/relationships/hyperlink" Target="https://b2beez.ru/images/detailed/173/6128372112.jpg" TargetMode="External"/><Relationship Id="rId_hyperlink_75" Type="http://schemas.openxmlformats.org/officeDocument/2006/relationships/hyperlink" Target="https://b2beez.ru/images/detailed/175/6318374975.jpg" TargetMode="External"/><Relationship Id="rId_hyperlink_76" Type="http://schemas.openxmlformats.org/officeDocument/2006/relationships/hyperlink" Target="https://b2beez.ru/images/detailed/204/Z-8571-2.jpg" TargetMode="External"/><Relationship Id="rId_hyperlink_77" Type="http://schemas.openxmlformats.org/officeDocument/2006/relationships/hyperlink" Target="https://b2beez.ru/images/detailed/204/Z-4871-2_ql3l-ae.jpg" TargetMode="External"/><Relationship Id="rId_hyperlink_78" Type="http://schemas.openxmlformats.org/officeDocument/2006/relationships/hyperlink" Target="https://b2beez.ru/images/detailed/204/Z-4468-3.jpg" TargetMode="External"/><Relationship Id="rId_hyperlink_79" Type="http://schemas.openxmlformats.org/officeDocument/2006/relationships/hyperlink" Target="https://b2beez.ru/images/detailed/175/orig_4kq6-tp.jpg" TargetMode="External"/><Relationship Id="rId_hyperlink_80" Type="http://schemas.openxmlformats.org/officeDocument/2006/relationships/hyperlink" Target="https://b2beez.ru/images/detailed/175/6321437939.jpg" TargetMode="External"/><Relationship Id="rId_hyperlink_81" Type="http://schemas.openxmlformats.org/officeDocument/2006/relationships/hyperlink" Target="https://b2beez.ru/images/detailed/175/6321437580.jpg" TargetMode="External"/><Relationship Id="rId_hyperlink_82" Type="http://schemas.openxmlformats.org/officeDocument/2006/relationships/hyperlink" Target="https://b2beez.ru/images/detailed/175/6091919445.jpg" TargetMode="External"/><Relationship Id="rId_hyperlink_83" Type="http://schemas.openxmlformats.org/officeDocument/2006/relationships/hyperlink" Target="https://b2beez.ru/images/detailed/169/6379108018.jpg" TargetMode="External"/><Relationship Id="rId_hyperlink_84" Type="http://schemas.openxmlformats.org/officeDocument/2006/relationships/hyperlink" Target="https://b2beez.ru/images/detailed/160/orig_svsd-6c.jpg" TargetMode="External"/><Relationship Id="rId_hyperlink_85" Type="http://schemas.openxmlformats.org/officeDocument/2006/relationships/hyperlink" Target="https://b2beez.ru/images/detailed/160/6378958551.jpg" TargetMode="External"/><Relationship Id="rId_hyperlink_86" Type="http://schemas.openxmlformats.org/officeDocument/2006/relationships/hyperlink" Target="https://b2beez.ru/images/detailed/169/6378958228.jpg" TargetMode="External"/><Relationship Id="rId_hyperlink_87" Type="http://schemas.openxmlformats.org/officeDocument/2006/relationships/hyperlink" Target="https://b2beez.ru/images/detailed/178/6378958618.jpg" TargetMode="External"/><Relationship Id="rId_hyperlink_88" Type="http://schemas.openxmlformats.org/officeDocument/2006/relationships/hyperlink" Target="https://b2beez.ru/images/detailed/178/6378958694.jpg" TargetMode="External"/><Relationship Id="rId_hyperlink_89" Type="http://schemas.openxmlformats.org/officeDocument/2006/relationships/hyperlink" Target="https://b2beez.ru/images/detailed/179/6378958411.jpg" TargetMode="External"/><Relationship Id="rId_hyperlink_90" Type="http://schemas.openxmlformats.org/officeDocument/2006/relationships/hyperlink" Target="https://b2beez.ru/images/detailed/179/6378958839.jpg" TargetMode="External"/><Relationship Id="rId_hyperlink_91" Type="http://schemas.openxmlformats.org/officeDocument/2006/relationships/hyperlink" Target="https://b2beez.ru/images/detailed/179/6378958598.jpg" TargetMode="External"/><Relationship Id="rId_hyperlink_92" Type="http://schemas.openxmlformats.org/officeDocument/2006/relationships/hyperlink" Target="https://b2beez.ru/images/detailed/180/6379108061.jpg" TargetMode="External"/><Relationship Id="rId_hyperlink_93" Type="http://schemas.openxmlformats.org/officeDocument/2006/relationships/hyperlink" Target="https://b2beez.ru/images/detailed/180/6378958489.jpg" TargetMode="External"/><Relationship Id="rId_hyperlink_94" Type="http://schemas.openxmlformats.org/officeDocument/2006/relationships/hyperlink" Target="https://b2beez.ru/images/detailed/181/6379107894.jpg" TargetMode="External"/><Relationship Id="rId_hyperlink_95" Type="http://schemas.openxmlformats.org/officeDocument/2006/relationships/hyperlink" Target="https://b2beez.ru/images/detailed/181/6378958292.jpg" TargetMode="External"/><Relationship Id="rId_hyperlink_96" Type="http://schemas.openxmlformats.org/officeDocument/2006/relationships/hyperlink" Target="https://b2beez.ru/images/detailed/0/" TargetMode="External"/><Relationship Id="rId_hyperlink_97" Type="http://schemas.openxmlformats.org/officeDocument/2006/relationships/hyperlink" Target="https://b2beez.ru/images/detailed/0/" TargetMode="External"/><Relationship Id="rId_hyperlink_98" Type="http://schemas.openxmlformats.org/officeDocument/2006/relationships/hyperlink" Target="https://b2beez.ru/images/detailed/166/6161026178.jpg" TargetMode="External"/><Relationship Id="rId_hyperlink_99" Type="http://schemas.openxmlformats.org/officeDocument/2006/relationships/hyperlink" Target="https://b2beez.ru/images/detailed/0/" TargetMode="External"/><Relationship Id="rId_hyperlink_100" Type="http://schemas.openxmlformats.org/officeDocument/2006/relationships/hyperlink" Target="https://b2beez.ru/images/detailed/0/" TargetMode="External"/><Relationship Id="rId_hyperlink_101" Type="http://schemas.openxmlformats.org/officeDocument/2006/relationships/hyperlink" Target="https://b2beez.ru/images/detailed/0/" TargetMode="External"/><Relationship Id="rId_hyperlink_102" Type="http://schemas.openxmlformats.org/officeDocument/2006/relationships/hyperlink" Target="https://b2beez.ru/images/detailed/166/6161026178_ltc7-pz.jpg" TargetMode="External"/><Relationship Id="rId_hyperlink_103" Type="http://schemas.openxmlformats.org/officeDocument/2006/relationships/hyperlink" Target="https://b2beez.ru/images/detailed/166/6161026248.jpg" TargetMode="External"/><Relationship Id="rId_hyperlink_104" Type="http://schemas.openxmlformats.org/officeDocument/2006/relationships/hyperlink" Target="https://b2beez.ru/images/detailed/0/" TargetMode="External"/><Relationship Id="rId_hyperlink_105" Type="http://schemas.openxmlformats.org/officeDocument/2006/relationships/hyperlink" Target="https://b2beez.ru/images/detailed/204/K-4043.jpg" TargetMode="External"/><Relationship Id="rId_hyperlink_106" Type="http://schemas.openxmlformats.org/officeDocument/2006/relationships/hyperlink" Target="https://b2beez.ru/images/detailed/0/" TargetMode="External"/><Relationship Id="rId_hyperlink_107" Type="http://schemas.openxmlformats.org/officeDocument/2006/relationships/hyperlink" Target="https://b2beez.ru/images/detailed/0/" TargetMode="External"/><Relationship Id="rId_hyperlink_108" Type="http://schemas.openxmlformats.org/officeDocument/2006/relationships/hyperlink" Target="https://b2beez.ru/images/detailed/0/" TargetMode="External"/><Relationship Id="rId_hyperlink_109" Type="http://schemas.openxmlformats.org/officeDocument/2006/relationships/hyperlink" Target="https://b2beez.ru/images/detailed/0/" TargetMode="External"/><Relationship Id="rId_hyperlink_110" Type="http://schemas.openxmlformats.org/officeDocument/2006/relationships/hyperlink" Target="https://b2beez.ru/images/detailed/0/" TargetMode="External"/><Relationship Id="rId_hyperlink_111" Type="http://schemas.openxmlformats.org/officeDocument/2006/relationships/hyperlink" Target="https://b2beez.ru/images/detailed/0/" TargetMode="External"/><Relationship Id="rId_hyperlink_112" Type="http://schemas.openxmlformats.org/officeDocument/2006/relationships/hyperlink" Target="https://b2beez.ru/images/detailed/0/" TargetMode="External"/><Relationship Id="rId_hyperlink_113" Type="http://schemas.openxmlformats.org/officeDocument/2006/relationships/hyperlink" Target="https://b2beez.ru/images/detailed/0/" TargetMode="External"/><Relationship Id="rId_hyperlink_114" Type="http://schemas.openxmlformats.org/officeDocument/2006/relationships/hyperlink" Target="https://b2beez.ru/images/detailed/0/" TargetMode="External"/><Relationship Id="rId_hyperlink_115" Type="http://schemas.openxmlformats.org/officeDocument/2006/relationships/hyperlink" Target="https://b2beez.ru/images/detailed/0/" TargetMode="External"/><Relationship Id="rId_hyperlink_116" Type="http://schemas.openxmlformats.org/officeDocument/2006/relationships/hyperlink" Target="https://b2beez.ru/images/detailed/180/6247206966.jpg" TargetMode="External"/><Relationship Id="rId_hyperlink_117" Type="http://schemas.openxmlformats.org/officeDocument/2006/relationships/hyperlink" Target="https://b2beez.ru/images/detailed/179/6247207001.jpg" TargetMode="External"/><Relationship Id="rId_hyperlink_118" Type="http://schemas.openxmlformats.org/officeDocument/2006/relationships/hyperlink" Target="https://b2beez.ru/images/detailed/179/6247266746.jpg" TargetMode="External"/><Relationship Id="rId_hyperlink_119" Type="http://schemas.openxmlformats.org/officeDocument/2006/relationships/hyperlink" Target="https://b2beez.ru/images/detailed/180/orig_4z2z-5g.png" TargetMode="External"/><Relationship Id="rId_hyperlink_120" Type="http://schemas.openxmlformats.org/officeDocument/2006/relationships/hyperlink" Target="https://b2beez.ru/images/detailed/178/6247207043.jpg" TargetMode="External"/><Relationship Id="rId_hyperlink_121" Type="http://schemas.openxmlformats.org/officeDocument/2006/relationships/hyperlink" Target="https://b2beez.ru/images/detailed/178/6247131952.jpg" TargetMode="External"/><Relationship Id="rId_hyperlink_122" Type="http://schemas.openxmlformats.org/officeDocument/2006/relationships/hyperlink" Target="https://b2beez.ru/images/detailed/178/orig_oc6s-fx.jpg" TargetMode="External"/><Relationship Id="rId_hyperlink_123" Type="http://schemas.openxmlformats.org/officeDocument/2006/relationships/hyperlink" Target="https://b2beez.ru/images/detailed/178/6247206982.jpg" TargetMode="External"/><Relationship Id="rId_hyperlink_124" Type="http://schemas.openxmlformats.org/officeDocument/2006/relationships/hyperlink" Target="https://b2beez.ru/images/detailed/179/6247266492.jpg" TargetMode="External"/><Relationship Id="rId_hyperlink_125" Type="http://schemas.openxmlformats.org/officeDocument/2006/relationships/hyperlink" Target="https://b2beez.ru/images/detailed/179/orig_bvjk-71.jpg" TargetMode="External"/><Relationship Id="rId_hyperlink_126" Type="http://schemas.openxmlformats.org/officeDocument/2006/relationships/hyperlink" Target="https://b2beez.ru/images/detailed/179/6247206970.jpg" TargetMode="External"/><Relationship Id="rId_hyperlink_127" Type="http://schemas.openxmlformats.org/officeDocument/2006/relationships/hyperlink" Target="https://b2beez.ru/images/detailed/179/6247207027.jpg" TargetMode="External"/><Relationship Id="rId_hyperlink_128" Type="http://schemas.openxmlformats.org/officeDocument/2006/relationships/hyperlink" Target="https://b2beez.ru/images/detailed/179/6247206988.jpg" TargetMode="External"/><Relationship Id="rId_hyperlink_129" Type="http://schemas.openxmlformats.org/officeDocument/2006/relationships/hyperlink" Target="https://b2beez.ru/images/detailed/179/6247206979.jpg" TargetMode="External"/><Relationship Id="rId_hyperlink_130" Type="http://schemas.openxmlformats.org/officeDocument/2006/relationships/hyperlink" Target="https://b2beez.ru/images/detailed/48/7149545224.jpg" TargetMode="External"/><Relationship Id="rId_hyperlink_131" Type="http://schemas.openxmlformats.org/officeDocument/2006/relationships/hyperlink" Target="https://b2beez.ru/images/detailed/204/1640540.jpg" TargetMode="External"/><Relationship Id="rId_hyperlink_132" Type="http://schemas.openxmlformats.org/officeDocument/2006/relationships/hyperlink" Target="https://b2beez.ru/images/detailed/204/S-2645.jpg" TargetMode="External"/><Relationship Id="rId_hyperlink_133" Type="http://schemas.openxmlformats.org/officeDocument/2006/relationships/hyperlink" Target="https://b2beez.ru/images/detailed/204/G-1431-2_509e-8e.jpg" TargetMode="External"/><Relationship Id="rId_hyperlink_134" Type="http://schemas.openxmlformats.org/officeDocument/2006/relationships/hyperlink" Target="https://b2beez.ru/images/detailed/158/6459731561.jpg" TargetMode="External"/><Relationship Id="rId_hyperlink_135" Type="http://schemas.openxmlformats.org/officeDocument/2006/relationships/hyperlink" Target="https://b2beez.ru/images/detailed/186/6459728884_vkyf-wt.jpg" TargetMode="External"/><Relationship Id="rId_hyperlink_136" Type="http://schemas.openxmlformats.org/officeDocument/2006/relationships/hyperlink" Target="https://b2beez.ru/images/detailed/186/6459728884_pumi-jz.jpg" TargetMode="External"/><Relationship Id="rId_hyperlink_137" Type="http://schemas.openxmlformats.org/officeDocument/2006/relationships/hyperlink" Target="https://b2beez.ru/images/detailed/186/6459728884_753n-tu.jpg" TargetMode="External"/><Relationship Id="rId_hyperlink_138" Type="http://schemas.openxmlformats.org/officeDocument/2006/relationships/hyperlink" Target="https://b2beez.ru/images/detailed/186/6459728884_hij7-ah.jpg" TargetMode="External"/><Relationship Id="rId_hyperlink_139" Type="http://schemas.openxmlformats.org/officeDocument/2006/relationships/hyperlink" Target="https://b2beez.ru/images/detailed/154/6459726799.jpg" TargetMode="External"/><Relationship Id="rId_hyperlink_140" Type="http://schemas.openxmlformats.org/officeDocument/2006/relationships/hyperlink" Target="https://b2beez.ru/images/detailed/186/6459727143.jpg" TargetMode="External"/><Relationship Id="rId_hyperlink_141" Type="http://schemas.openxmlformats.org/officeDocument/2006/relationships/hyperlink" Target="https://b2beez.ru/images/detailed/186/6459728884.jpg" TargetMode="External"/><Relationship Id="rId_hyperlink_142" Type="http://schemas.openxmlformats.org/officeDocument/2006/relationships/hyperlink" Target="https://b2beez.ru/images/detailed/186/6459728884_xijw-80.jpg" TargetMode="External"/><Relationship Id="rId_hyperlink_143" Type="http://schemas.openxmlformats.org/officeDocument/2006/relationships/hyperlink" Target="https://b2beez.ru/images/detailed/186/6459727143_qc98-be.jpg" TargetMode="External"/><Relationship Id="rId_hyperlink_144" Type="http://schemas.openxmlformats.org/officeDocument/2006/relationships/hyperlink" Target="https://b2beez.ru/images/detailed/180/6260254187.jpg" TargetMode="External"/><Relationship Id="rId_hyperlink_145" Type="http://schemas.openxmlformats.org/officeDocument/2006/relationships/hyperlink" Target="https://b2beez.ru/images/detailed/179/orig_k7aa-80.jpg" TargetMode="External"/><Relationship Id="rId_hyperlink_146" Type="http://schemas.openxmlformats.org/officeDocument/2006/relationships/hyperlink" Target="https://b2beez.ru/images/detailed/181/6836744525.jpg" TargetMode="External"/><Relationship Id="rId_hyperlink_147" Type="http://schemas.openxmlformats.org/officeDocument/2006/relationships/hyperlink" Target="https://b2beez.ru/images/detailed/182/orig_1ode-vj.jpg" TargetMode="External"/><Relationship Id="rId_hyperlink_148" Type="http://schemas.openxmlformats.org/officeDocument/2006/relationships/hyperlink" Target="https://b2beez.ru/images/detailed/182/orig_ns8l-ob.jpg" TargetMode="External"/><Relationship Id="rId_hyperlink_149" Type="http://schemas.openxmlformats.org/officeDocument/2006/relationships/hyperlink" Target="https://b2beez.ru/images/detailed/179/orig_nbsq-mp.jpg" TargetMode="External"/><Relationship Id="rId_hyperlink_150" Type="http://schemas.openxmlformats.org/officeDocument/2006/relationships/hyperlink" Target="https://b2beez.ru/images/detailed/163/orig_nrqc-oe.jpg" TargetMode="External"/><Relationship Id="rId_hyperlink_151" Type="http://schemas.openxmlformats.org/officeDocument/2006/relationships/hyperlink" Target="https://b2beez.ru/images/detailed/173/orig_nlxq-gq.jpg" TargetMode="External"/><Relationship Id="rId_hyperlink_152" Type="http://schemas.openxmlformats.org/officeDocument/2006/relationships/hyperlink" Target="https://b2beez.ru/images/detailed/184/6259140841.jpg" TargetMode="External"/><Relationship Id="rId_hyperlink_153" Type="http://schemas.openxmlformats.org/officeDocument/2006/relationships/hyperlink" Target="https://b2beez.ru/images/detailed/162/orig_uuo5-k7.jpg" TargetMode="External"/><Relationship Id="rId_hyperlink_154" Type="http://schemas.openxmlformats.org/officeDocument/2006/relationships/hyperlink" Target="https://b2beez.ru/images/detailed/162/7061818154.jpg" TargetMode="External"/><Relationship Id="rId_hyperlink_155" Type="http://schemas.openxmlformats.org/officeDocument/2006/relationships/hyperlink" Target="https://b2beez.ru/images/detailed/47/6141443659.jpg" TargetMode="External"/><Relationship Id="rId_hyperlink_156" Type="http://schemas.openxmlformats.org/officeDocument/2006/relationships/hyperlink" Target="https://b2beez.ru/images/detailed/162/orig_ctjq-6m.jpg" TargetMode="External"/><Relationship Id="rId_hyperlink_157" Type="http://schemas.openxmlformats.org/officeDocument/2006/relationships/hyperlink" Target="https://b2beez.ru/images/detailed/173/orig_200z-mm.jpg" TargetMode="External"/><Relationship Id="rId_hyperlink_158" Type="http://schemas.openxmlformats.org/officeDocument/2006/relationships/hyperlink" Target="https://b2beez.ru/images/detailed/47/orig_rnjl-rx.jpg" TargetMode="External"/><Relationship Id="rId_hyperlink_159" Type="http://schemas.openxmlformats.org/officeDocument/2006/relationships/hyperlink" Target="https://b2beez.ru/images/detailed/47/orig_qjjf-kf.jpg" TargetMode="External"/><Relationship Id="rId_hyperlink_160" Type="http://schemas.openxmlformats.org/officeDocument/2006/relationships/hyperlink" Target="https://b2beez.ru/images/detailed/182/orig_ji2f-hb.jpg" TargetMode="External"/><Relationship Id="rId_hyperlink_161" Type="http://schemas.openxmlformats.org/officeDocument/2006/relationships/hyperlink" Target="https://b2beez.ru/images/detailed/159/orig_b405-ya.jpg" TargetMode="External"/><Relationship Id="rId_hyperlink_162" Type="http://schemas.openxmlformats.org/officeDocument/2006/relationships/hyperlink" Target="https://b2beez.ru/images/detailed/181/6141443239.jpg" TargetMode="External"/><Relationship Id="rId_hyperlink_163" Type="http://schemas.openxmlformats.org/officeDocument/2006/relationships/hyperlink" Target="https://b2beez.ru/images/detailed/175/6417447572.jpg" TargetMode="External"/><Relationship Id="rId_hyperlink_164" Type="http://schemas.openxmlformats.org/officeDocument/2006/relationships/hyperlink" Target="https://b2beez.ru/images/detailed/175/orig_oumc-de.jpg" TargetMode="External"/><Relationship Id="rId_hyperlink_165" Type="http://schemas.openxmlformats.org/officeDocument/2006/relationships/hyperlink" Target="https://b2beez.ru/images/detailed/162/orig.jpg" TargetMode="External"/><Relationship Id="rId_hyperlink_166" Type="http://schemas.openxmlformats.org/officeDocument/2006/relationships/hyperlink" Target="https://b2beez.ru/images/detailed/48/orig_dnt3-ei.jpg" TargetMode="External"/><Relationship Id="rId_hyperlink_167" Type="http://schemas.openxmlformats.org/officeDocument/2006/relationships/hyperlink" Target="https://b2beez.ru/images/detailed/173/orig_xrff-ww.jpg" TargetMode="External"/><Relationship Id="rId_hyperlink_168" Type="http://schemas.openxmlformats.org/officeDocument/2006/relationships/hyperlink" Target="https://b2beez.ru/images/detailed/181/orig_3pzq-vn.jpg" TargetMode="External"/><Relationship Id="rId_hyperlink_169" Type="http://schemas.openxmlformats.org/officeDocument/2006/relationships/hyperlink" Target="https://b2beez.ru/images/detailed/181/orig_yv6b-wl.jpg" TargetMode="External"/><Relationship Id="rId_hyperlink_170" Type="http://schemas.openxmlformats.org/officeDocument/2006/relationships/hyperlink" Target="https://b2beez.ru/images/detailed/175/orig_u1e9-pf.jpg" TargetMode="External"/><Relationship Id="rId_hyperlink_171" Type="http://schemas.openxmlformats.org/officeDocument/2006/relationships/hyperlink" Target="https://b2beez.ru/images/detailed/159/orig_k087-bj.jpg" TargetMode="External"/><Relationship Id="rId_hyperlink_172" Type="http://schemas.openxmlformats.org/officeDocument/2006/relationships/hyperlink" Target="https://b2beez.ru/images/detailed/161/6286958899.jpg" TargetMode="External"/><Relationship Id="rId_hyperlink_173" Type="http://schemas.openxmlformats.org/officeDocument/2006/relationships/hyperlink" Target="https://b2beez.ru/images/detailed/165/orig_32gh-i3.jpg" TargetMode="External"/><Relationship Id="rId_hyperlink_174" Type="http://schemas.openxmlformats.org/officeDocument/2006/relationships/hyperlink" Target="https://b2beez.ru/images/detailed/181/orig_3ao5-ds.jpg" TargetMode="External"/><Relationship Id="rId_hyperlink_175" Type="http://schemas.openxmlformats.org/officeDocument/2006/relationships/hyperlink" Target="https://b2beez.ru/images/detailed/182/orig_2a8x-e3.jpg" TargetMode="External"/><Relationship Id="rId_hyperlink_176" Type="http://schemas.openxmlformats.org/officeDocument/2006/relationships/hyperlink" Target="https://b2beez.ru/images/detailed/162/6741833660.jpg" TargetMode="External"/><Relationship Id="rId_hyperlink_177" Type="http://schemas.openxmlformats.org/officeDocument/2006/relationships/hyperlink" Target="https://b2beez.ru/images/detailed/165/orig_dca8-4w.jpg" TargetMode="External"/><Relationship Id="rId_hyperlink_178" Type="http://schemas.openxmlformats.org/officeDocument/2006/relationships/hyperlink" Target="https://b2beez.ru/images/detailed/182/6832394261.jpg" TargetMode="External"/><Relationship Id="rId_hyperlink_179" Type="http://schemas.openxmlformats.org/officeDocument/2006/relationships/hyperlink" Target="https://b2beez.ru/images/detailed/163/6286958891.jpg" TargetMode="External"/><Relationship Id="rId_hyperlink_180" Type="http://schemas.openxmlformats.org/officeDocument/2006/relationships/hyperlink" Target="https://b2beez.ru/images/detailed/181/orig_jefb-2r.jpg" TargetMode="External"/><Relationship Id="rId_hyperlink_181" Type="http://schemas.openxmlformats.org/officeDocument/2006/relationships/hyperlink" Target="https://b2beez.ru/images/detailed/162/orig_86vj-9j.jpg" TargetMode="External"/><Relationship Id="rId_hyperlink_182" Type="http://schemas.openxmlformats.org/officeDocument/2006/relationships/hyperlink" Target="https://b2beez.ru/images/detailed/159/orig_pz0w-a3.jpg" TargetMode="External"/><Relationship Id="rId_hyperlink_183" Type="http://schemas.openxmlformats.org/officeDocument/2006/relationships/hyperlink" Target="https://b2beez.ru/images/detailed/162/6734070915.jpg" TargetMode="External"/><Relationship Id="rId_hyperlink_184" Type="http://schemas.openxmlformats.org/officeDocument/2006/relationships/hyperlink" Target="https://b2beez.ru/images/detailed/47/orig_ze8s-79.jpg" TargetMode="External"/><Relationship Id="rId_hyperlink_185" Type="http://schemas.openxmlformats.org/officeDocument/2006/relationships/hyperlink" Target="https://b2beez.ru/images/detailed/204/P-4106.jpg" TargetMode="External"/><Relationship Id="rId_hyperlink_186" Type="http://schemas.openxmlformats.org/officeDocument/2006/relationships/hyperlink" Target="https://b2beez.ru/images/detailed/156/orig_2rfk-fw.jpg" TargetMode="External"/><Relationship Id="rId_hyperlink_187" Type="http://schemas.openxmlformats.org/officeDocument/2006/relationships/hyperlink" Target="https://b2beez.ru/images/detailed/182/orig_asr5-7c.jpg" TargetMode="External"/><Relationship Id="rId_hyperlink_188" Type="http://schemas.openxmlformats.org/officeDocument/2006/relationships/hyperlink" Target="https://b2beez.ru/images/detailed/158/orig_qnew-tv.jpg" TargetMode="External"/><Relationship Id="rId_hyperlink_189" Type="http://schemas.openxmlformats.org/officeDocument/2006/relationships/hyperlink" Target="https://b2beez.ru/images/detailed/182/orig_x2l2-it.jpg" TargetMode="External"/><Relationship Id="rId_hyperlink_190" Type="http://schemas.openxmlformats.org/officeDocument/2006/relationships/hyperlink" Target="https://b2beez.ru/images/detailed/163/orig_r4vn-mx.jpg" TargetMode="External"/><Relationship Id="rId_hyperlink_191" Type="http://schemas.openxmlformats.org/officeDocument/2006/relationships/hyperlink" Target="https://b2beez.ru/images/detailed/164/orig_gspe-av.jpg" TargetMode="External"/><Relationship Id="rId_hyperlink_192" Type="http://schemas.openxmlformats.org/officeDocument/2006/relationships/hyperlink" Target="https://b2beez.ru/images/detailed/180/orig_u0lr-8r.jpg" TargetMode="External"/><Relationship Id="rId_hyperlink_193" Type="http://schemas.openxmlformats.org/officeDocument/2006/relationships/hyperlink" Target="https://b2beez.ru/images/detailed/183/orig_hiic-yd.jpg" TargetMode="External"/><Relationship Id="rId_hyperlink_194" Type="http://schemas.openxmlformats.org/officeDocument/2006/relationships/hyperlink" Target="https://b2beez.ru/images/detailed/181/orig_74vw-38.jpg" TargetMode="External"/><Relationship Id="rId_hyperlink_195" Type="http://schemas.openxmlformats.org/officeDocument/2006/relationships/hyperlink" Target="https://b2beez.ru/images/detailed/161/orig_6tb9-un.jpg" TargetMode="External"/><Relationship Id="rId_hyperlink_196" Type="http://schemas.openxmlformats.org/officeDocument/2006/relationships/hyperlink" Target="https://b2beez.ru/images/detailed/162/7062960893.jpg" TargetMode="External"/><Relationship Id="rId_hyperlink_197" Type="http://schemas.openxmlformats.org/officeDocument/2006/relationships/hyperlink" Target="https://b2beez.ru/images/detailed/47/orig_f4mp-fy.jpg" TargetMode="External"/><Relationship Id="rId_hyperlink_198" Type="http://schemas.openxmlformats.org/officeDocument/2006/relationships/hyperlink" Target="https://b2beez.ru/images/detailed/153/6741799378.jpg" TargetMode="External"/><Relationship Id="rId_hyperlink_199" Type="http://schemas.openxmlformats.org/officeDocument/2006/relationships/hyperlink" Target="https://b2beez.ru/images/detailed/182/orig_glua-n2.jpg" TargetMode="External"/><Relationship Id="rId_hyperlink_200" Type="http://schemas.openxmlformats.org/officeDocument/2006/relationships/hyperlink" Target="https://b2beez.ru/images/detailed/180/6455852981.jpg" TargetMode="External"/><Relationship Id="rId_hyperlink_201" Type="http://schemas.openxmlformats.org/officeDocument/2006/relationships/hyperlink" Target="https://b2beez.ru/images/detailed/161/6141443619.jpg" TargetMode="External"/><Relationship Id="rId_hyperlink_202" Type="http://schemas.openxmlformats.org/officeDocument/2006/relationships/hyperlink" Target="https://b2beez.ru/images/detailed/154/orig_38sl-4l.jpg" TargetMode="External"/><Relationship Id="rId_hyperlink_203" Type="http://schemas.openxmlformats.org/officeDocument/2006/relationships/hyperlink" Target="https://b2beez.ru/images/detailed/156/orig_1uu9-g6.jpg" TargetMode="External"/><Relationship Id="rId_hyperlink_204" Type="http://schemas.openxmlformats.org/officeDocument/2006/relationships/hyperlink" Target="https://b2beez.ru/images/detailed/162/orig_t77m-42.jpg" TargetMode="External"/><Relationship Id="rId_hyperlink_205" Type="http://schemas.openxmlformats.org/officeDocument/2006/relationships/hyperlink" Target="https://b2beez.ru/images/detailed/169/6741798406.jpg" TargetMode="External"/><Relationship Id="rId_hyperlink_206" Type="http://schemas.openxmlformats.org/officeDocument/2006/relationships/hyperlink" Target="https://b2beez.ru/images/detailed/175/orig_7rzf-y5.jpg" TargetMode="External"/><Relationship Id="rId_hyperlink_207" Type="http://schemas.openxmlformats.org/officeDocument/2006/relationships/hyperlink" Target="https://b2beez.ru/images/detailed/175/6741725135.jpg" TargetMode="External"/><Relationship Id="rId_hyperlink_208" Type="http://schemas.openxmlformats.org/officeDocument/2006/relationships/hyperlink" Target="https://b2beez.ru/images/detailed/175/6741724003.jpg" TargetMode="External"/><Relationship Id="rId_hyperlink_209" Type="http://schemas.openxmlformats.org/officeDocument/2006/relationships/hyperlink" Target="https://b2beez.ru/images/detailed/181/6741726206.jpg" TargetMode="External"/><Relationship Id="rId_hyperlink_210" Type="http://schemas.openxmlformats.org/officeDocument/2006/relationships/hyperlink" Target="https://b2beez.ru/images/detailed/160/6741725768.jpg" TargetMode="External"/><Relationship Id="rId_hyperlink_211" Type="http://schemas.openxmlformats.org/officeDocument/2006/relationships/hyperlink" Target="https://b2beez.ru/images/detailed/0/" TargetMode="External"/><Relationship Id="rId_hyperlink_212" Type="http://schemas.openxmlformats.org/officeDocument/2006/relationships/hyperlink" Target="https://b2beez.ru/images/detailed/47/orig_5uk5-vu.jpg" TargetMode="External"/><Relationship Id="rId_hyperlink_213" Type="http://schemas.openxmlformats.org/officeDocument/2006/relationships/hyperlink" Target="https://b2beez.ru/images/detailed/204/C-784.jpg" TargetMode="External"/><Relationship Id="rId_hyperlink_214" Type="http://schemas.openxmlformats.org/officeDocument/2006/relationships/hyperlink" Target="https://b2beez.ru/images/detailed/204/C-785.jpg" TargetMode="External"/><Relationship Id="rId_hyperlink_215" Type="http://schemas.openxmlformats.org/officeDocument/2006/relationships/hyperlink" Target="https://b2beez.ru/images/detailed/0/" TargetMode="External"/><Relationship Id="rId_hyperlink_216" Type="http://schemas.openxmlformats.org/officeDocument/2006/relationships/hyperlink" Target="https://b2beez.ru/images/detailed/179/6141443462.jpg" TargetMode="External"/><Relationship Id="rId_hyperlink_217" Type="http://schemas.openxmlformats.org/officeDocument/2006/relationships/hyperlink" Target="https://b2beez.ru/images/detailed/0/" TargetMode="External"/><Relationship Id="rId_hyperlink_218" Type="http://schemas.openxmlformats.org/officeDocument/2006/relationships/hyperlink" Target="https://b2beez.ru/images/detailed/47/orig_susc-py.jpg" TargetMode="External"/><Relationship Id="rId_hyperlink_219" Type="http://schemas.openxmlformats.org/officeDocument/2006/relationships/hyperlink" Target="https://b2beez.ru/images/detailed/48/6157087647.jpg" TargetMode="External"/><Relationship Id="rId_hyperlink_220" Type="http://schemas.openxmlformats.org/officeDocument/2006/relationships/hyperlink" Target="https://b2beez.ru/images/detailed/48/6157087451.jpg" TargetMode="External"/><Relationship Id="rId_hyperlink_221" Type="http://schemas.openxmlformats.org/officeDocument/2006/relationships/hyperlink" Target="https://b2beez.ru/images/detailed/48/orig_x6ll-35.jpg" TargetMode="External"/><Relationship Id="rId_hyperlink_222" Type="http://schemas.openxmlformats.org/officeDocument/2006/relationships/hyperlink" Target="https://b2beez.ru/images/detailed/184/orig_vqw2-if.jpg" TargetMode="External"/><Relationship Id="rId_hyperlink_223" Type="http://schemas.openxmlformats.org/officeDocument/2006/relationships/hyperlink" Target="https://b2beez.ru/images/detailed/175/orig_nsdw-v6.jpg" TargetMode="External"/><Relationship Id="rId_hyperlink_224" Type="http://schemas.openxmlformats.org/officeDocument/2006/relationships/hyperlink" Target="https://b2beez.ru/images/detailed/163/orig_w4wv-dk.jpg" TargetMode="External"/><Relationship Id="rId_hyperlink_225" Type="http://schemas.openxmlformats.org/officeDocument/2006/relationships/hyperlink" Target="https://b2beez.ru/images/detailed/169/7095578287.jpg" TargetMode="External"/><Relationship Id="rId_hyperlink_226" Type="http://schemas.openxmlformats.org/officeDocument/2006/relationships/hyperlink" Target="https://b2beez.ru/images/detailed/169/7095566665.jpg" TargetMode="External"/><Relationship Id="rId_hyperlink_227" Type="http://schemas.openxmlformats.org/officeDocument/2006/relationships/hyperlink" Target="https://b2beez.ru/images/detailed/183/orig_04ux-34.jpg" TargetMode="External"/><Relationship Id="rId_hyperlink_228" Type="http://schemas.openxmlformats.org/officeDocument/2006/relationships/hyperlink" Target="https://b2beez.ru/images/detailed/183/7061780992.jpg" TargetMode="External"/><Relationship Id="rId_hyperlink_229" Type="http://schemas.openxmlformats.org/officeDocument/2006/relationships/hyperlink" Target="https://b2beez.ru/images/detailed/169/orig_y33i-8j.jpg" TargetMode="External"/><Relationship Id="rId_hyperlink_230" Type="http://schemas.openxmlformats.org/officeDocument/2006/relationships/hyperlink" Target="https://b2beez.ru/images/detailed/183/orig_ljhc-9z.jpg" TargetMode="External"/><Relationship Id="rId_hyperlink_231" Type="http://schemas.openxmlformats.org/officeDocument/2006/relationships/hyperlink" Target="https://b2beez.ru/images/detailed/160/orig_7cj2-uj.jpg" TargetMode="External"/><Relationship Id="rId_hyperlink_232" Type="http://schemas.openxmlformats.org/officeDocument/2006/relationships/hyperlink" Target="https://b2beez.ru/images/detailed/162/orig_rj43-95.jpg" TargetMode="External"/><Relationship Id="rId_hyperlink_233" Type="http://schemas.openxmlformats.org/officeDocument/2006/relationships/hyperlink" Target="https://b2beez.ru/images/detailed/182/orig_ooxa-13.jpg" TargetMode="External"/><Relationship Id="rId_hyperlink_234" Type="http://schemas.openxmlformats.org/officeDocument/2006/relationships/hyperlink" Target="https://b2beez.ru/images/detailed/170/orig_3vsz-ss.jpg" TargetMode="External"/><Relationship Id="rId_hyperlink_235" Type="http://schemas.openxmlformats.org/officeDocument/2006/relationships/hyperlink" Target="https://b2beez.ru/images/detailed/204/S-3355-2_qj4m-x0.jpg" TargetMode="External"/><Relationship Id="rId_hyperlink_236" Type="http://schemas.openxmlformats.org/officeDocument/2006/relationships/hyperlink" Target="https://b2beez.ru/images/detailed/158/6450683326.jpg" TargetMode="External"/><Relationship Id="rId_hyperlink_237" Type="http://schemas.openxmlformats.org/officeDocument/2006/relationships/hyperlink" Target="https://b2beez.ru/images/detailed/158/orig_iq5b-5c.jpg" TargetMode="External"/><Relationship Id="rId_hyperlink_238" Type="http://schemas.openxmlformats.org/officeDocument/2006/relationships/hyperlink" Target="https://b2beez.ru/images/detailed/158/orig_51d4-3h.jpg" TargetMode="External"/><Relationship Id="rId_hyperlink_239" Type="http://schemas.openxmlformats.org/officeDocument/2006/relationships/hyperlink" Target="https://b2beez.ru/images/detailed/159/6259140844.jpg" TargetMode="External"/><Relationship Id="rId_hyperlink_240" Type="http://schemas.openxmlformats.org/officeDocument/2006/relationships/hyperlink" Target="https://b2beez.ru/images/detailed/159/6450681339.jpg" TargetMode="External"/><Relationship Id="rId_hyperlink_241" Type="http://schemas.openxmlformats.org/officeDocument/2006/relationships/hyperlink" Target="https://b2beez.ru/images/detailed/159/orig_0rec-ii.jpg" TargetMode="External"/><Relationship Id="rId_hyperlink_242" Type="http://schemas.openxmlformats.org/officeDocument/2006/relationships/hyperlink" Target="https://b2beez.ru/images/detailed/159/orig_agkz-0j.jpg" TargetMode="External"/><Relationship Id="rId_hyperlink_243" Type="http://schemas.openxmlformats.org/officeDocument/2006/relationships/hyperlink" Target="https://b2beez.ru/images/detailed/159/orig_w0xb-o7.jpg" TargetMode="External"/><Relationship Id="rId_hyperlink_244" Type="http://schemas.openxmlformats.org/officeDocument/2006/relationships/hyperlink" Target="https://b2beez.ru/images/detailed/165/6463583195.jpg" TargetMode="External"/><Relationship Id="rId_hyperlink_245" Type="http://schemas.openxmlformats.org/officeDocument/2006/relationships/hyperlink" Target="https://b2beez.ru/images/detailed/165/orig_mob7-of.jpg" TargetMode="External"/><Relationship Id="rId_hyperlink_246" Type="http://schemas.openxmlformats.org/officeDocument/2006/relationships/hyperlink" Target="https://b2beez.ru/images/detailed/165/orig_yxu5-so.jpg" TargetMode="External"/><Relationship Id="rId_hyperlink_247" Type="http://schemas.openxmlformats.org/officeDocument/2006/relationships/hyperlink" Target="https://b2beez.ru/images/detailed/165/orig_s8qb-d5.jpg" TargetMode="External"/><Relationship Id="rId_hyperlink_248" Type="http://schemas.openxmlformats.org/officeDocument/2006/relationships/hyperlink" Target="https://b2beez.ru/images/detailed/165/6463585824.jpg" TargetMode="External"/><Relationship Id="rId_hyperlink_249" Type="http://schemas.openxmlformats.org/officeDocument/2006/relationships/hyperlink" Target="https://b2beez.ru/images/detailed/165/6463587029.jpg" TargetMode="External"/><Relationship Id="rId_hyperlink_250" Type="http://schemas.openxmlformats.org/officeDocument/2006/relationships/hyperlink" Target="https://b2beez.ru/images/detailed/165/6463587755.jpg" TargetMode="External"/><Relationship Id="rId_hyperlink_251" Type="http://schemas.openxmlformats.org/officeDocument/2006/relationships/hyperlink" Target="https://b2beez.ru/images/detailed/165/6463589050.jpg" TargetMode="External"/><Relationship Id="rId_hyperlink_252" Type="http://schemas.openxmlformats.org/officeDocument/2006/relationships/hyperlink" Target="https://b2beez.ru/images/detailed/165/orig_jp2r-ry.jpg" TargetMode="External"/><Relationship Id="rId_hyperlink_253" Type="http://schemas.openxmlformats.org/officeDocument/2006/relationships/hyperlink" Target="https://b2beez.ru/images/detailed/165/orig_jhzv-le.jpg" TargetMode="External"/><Relationship Id="rId_hyperlink_254" Type="http://schemas.openxmlformats.org/officeDocument/2006/relationships/hyperlink" Target="https://b2beez.ru/images/detailed/165/orig_bkgx-23.jpg" TargetMode="External"/><Relationship Id="rId_hyperlink_255" Type="http://schemas.openxmlformats.org/officeDocument/2006/relationships/hyperlink" Target="https://b2beez.ru/images/detailed/165/orig_ylin-7f.jpg" TargetMode="External"/><Relationship Id="rId_hyperlink_256" Type="http://schemas.openxmlformats.org/officeDocument/2006/relationships/hyperlink" Target="https://b2beez.ru/images/detailed/165/orig_b1u1-h5.jpg" TargetMode="External"/><Relationship Id="rId_hyperlink_257" Type="http://schemas.openxmlformats.org/officeDocument/2006/relationships/hyperlink" Target="https://b2beez.ru/images/detailed/165/6450681555.jpg" TargetMode="External"/><Relationship Id="rId_hyperlink_258" Type="http://schemas.openxmlformats.org/officeDocument/2006/relationships/hyperlink" Target="https://b2beez.ru/images/detailed/165/orig_ndx3-7h.jpg" TargetMode="External"/><Relationship Id="rId_hyperlink_259" Type="http://schemas.openxmlformats.org/officeDocument/2006/relationships/hyperlink" Target="https://b2beez.ru/images/detailed/165/6450681293.jpg" TargetMode="External"/><Relationship Id="rId_hyperlink_260" Type="http://schemas.openxmlformats.org/officeDocument/2006/relationships/hyperlink" Target="https://b2beez.ru/images/detailed/158/orig_u2vt-zj.jpg" TargetMode="External"/><Relationship Id="rId_hyperlink_261" Type="http://schemas.openxmlformats.org/officeDocument/2006/relationships/hyperlink" Target="https://b2beez.ru/images/detailed/158/orig_kk8m-je.jpg" TargetMode="External"/><Relationship Id="rId_hyperlink_262" Type="http://schemas.openxmlformats.org/officeDocument/2006/relationships/hyperlink" Target="https://b2beez.ru/images/detailed/158/orig_hyy6-bh.jpg" TargetMode="External"/><Relationship Id="rId_hyperlink_263" Type="http://schemas.openxmlformats.org/officeDocument/2006/relationships/hyperlink" Target="https://b2beez.ru/images/detailed/158/orig_qz03-v9.jpg" TargetMode="External"/><Relationship Id="rId_hyperlink_264" Type="http://schemas.openxmlformats.org/officeDocument/2006/relationships/hyperlink" Target="https://b2beez.ru/images/detailed/159/orig_rutf-mb.jpg" TargetMode="External"/><Relationship Id="rId_hyperlink_265" Type="http://schemas.openxmlformats.org/officeDocument/2006/relationships/hyperlink" Target="https://b2beez.ru/images/detailed/165/orig_956a-o5.jpg" TargetMode="External"/><Relationship Id="rId_hyperlink_266" Type="http://schemas.openxmlformats.org/officeDocument/2006/relationships/hyperlink" Target="https://b2beez.ru/images/detailed/165/orig_lewy-p2.jpg" TargetMode="External"/><Relationship Id="rId_hyperlink_267" Type="http://schemas.openxmlformats.org/officeDocument/2006/relationships/hyperlink" Target="https://b2beez.ru/images/detailed/165/orig_abxq-49.jpg" TargetMode="External"/><Relationship Id="rId_hyperlink_268" Type="http://schemas.openxmlformats.org/officeDocument/2006/relationships/hyperlink" Target="https://b2beez.ru/images/detailed/165/orig_xacs-x4.jpg" TargetMode="External"/><Relationship Id="rId_hyperlink_269" Type="http://schemas.openxmlformats.org/officeDocument/2006/relationships/hyperlink" Target="https://b2beez.ru/images/detailed/165/orig_tb2j-ik.jpg" TargetMode="External"/><Relationship Id="rId_hyperlink_270" Type="http://schemas.openxmlformats.org/officeDocument/2006/relationships/hyperlink" Target="https://b2beez.ru/images/detailed/165/6259140827.jpg" TargetMode="External"/><Relationship Id="rId_hyperlink_271" Type="http://schemas.openxmlformats.org/officeDocument/2006/relationships/hyperlink" Target="https://b2beez.ru/images/detailed/165/orig_a330-hx.jpg" TargetMode="External"/><Relationship Id="rId_hyperlink_272" Type="http://schemas.openxmlformats.org/officeDocument/2006/relationships/hyperlink" Target="https://b2beez.ru/images/detailed/165/orig_siwn-b7.jpg" TargetMode="External"/><Relationship Id="rId_hyperlink_273" Type="http://schemas.openxmlformats.org/officeDocument/2006/relationships/hyperlink" Target="https://b2beez.ru/images/detailed/165/orig_2qve-hd.jpg" TargetMode="External"/><Relationship Id="rId_hyperlink_274" Type="http://schemas.openxmlformats.org/officeDocument/2006/relationships/hyperlink" Target="https://b2beez.ru/images/detailed/165/orig_bj7p-sn.jpg" TargetMode="External"/><Relationship Id="rId_hyperlink_275" Type="http://schemas.openxmlformats.org/officeDocument/2006/relationships/hyperlink" Target="https://b2beez.ru/images/detailed/165/orig_nw92-bg.jpg" TargetMode="External"/><Relationship Id="rId_hyperlink_276" Type="http://schemas.openxmlformats.org/officeDocument/2006/relationships/hyperlink" Target="https://b2beez.ru/images/detailed/165/6259140827_v1ax-2p.jpg" TargetMode="External"/><Relationship Id="rId_hyperlink_277" Type="http://schemas.openxmlformats.org/officeDocument/2006/relationships/hyperlink" Target="https://b2beez.ru/images/detailed/165/6474467536.jpg" TargetMode="External"/><Relationship Id="rId_hyperlink_278" Type="http://schemas.openxmlformats.org/officeDocument/2006/relationships/hyperlink" Target="https://b2beez.ru/images/detailed/165/orig_xmyy-sg.jpg" TargetMode="External"/><Relationship Id="rId_hyperlink_279" Type="http://schemas.openxmlformats.org/officeDocument/2006/relationships/hyperlink" Target="https://b2beez.ru/images/detailed/165/6259140867.jpg" TargetMode="External"/><Relationship Id="rId_hyperlink_280" Type="http://schemas.openxmlformats.org/officeDocument/2006/relationships/hyperlink" Target="https://b2beez.ru/images/detailed/165/orig_7fmk-3n.jpg" TargetMode="External"/><Relationship Id="rId_hyperlink_281" Type="http://schemas.openxmlformats.org/officeDocument/2006/relationships/hyperlink" Target="https://b2beez.ru/images/detailed/165/orig_ioqd-1o.jpg" TargetMode="External"/><Relationship Id="rId_hyperlink_282" Type="http://schemas.openxmlformats.org/officeDocument/2006/relationships/hyperlink" Target="https://b2beez.ru/images/detailed/165/orig_yida-ek.jpg" TargetMode="External"/><Relationship Id="rId_hyperlink_283" Type="http://schemas.openxmlformats.org/officeDocument/2006/relationships/hyperlink" Target="https://b2beez.ru/images/detailed/165/6450681316.jpg" TargetMode="External"/><Relationship Id="rId_hyperlink_284" Type="http://schemas.openxmlformats.org/officeDocument/2006/relationships/hyperlink" Target="https://b2beez.ru/images/detailed/156/orig_rxoo-zn.jpg" TargetMode="External"/><Relationship Id="rId_hyperlink_285" Type="http://schemas.openxmlformats.org/officeDocument/2006/relationships/hyperlink" Target="https://b2beez.ru/images/detailed/0/" TargetMode="External"/><Relationship Id="rId_hyperlink_286" Type="http://schemas.openxmlformats.org/officeDocument/2006/relationships/hyperlink" Target="https://b2beez.ru/images/detailed/156/orig_vhz8-eg.jpg" TargetMode="External"/><Relationship Id="rId_hyperlink_287" Type="http://schemas.openxmlformats.org/officeDocument/2006/relationships/hyperlink" Target="https://b2beez.ru/images/detailed/158/6782421555.jpg" TargetMode="External"/><Relationship Id="rId_hyperlink_288" Type="http://schemas.openxmlformats.org/officeDocument/2006/relationships/hyperlink" Target="https://b2beez.ru/images/detailed/158/orig_rpbj-yk.jpg" TargetMode="External"/><Relationship Id="rId_hyperlink_289" Type="http://schemas.openxmlformats.org/officeDocument/2006/relationships/hyperlink" Target="https://b2beez.ru/images/detailed/158/orig_8100-o1.jpg" TargetMode="External"/><Relationship Id="rId_hyperlink_290" Type="http://schemas.openxmlformats.org/officeDocument/2006/relationships/hyperlink" Target="https://b2beez.ru/images/detailed/158/orig_f8wd-lm.jpg" TargetMode="External"/><Relationship Id="rId_hyperlink_291" Type="http://schemas.openxmlformats.org/officeDocument/2006/relationships/hyperlink" Target="https://b2beez.ru/images/detailed/158/orig_rvk5-pt.jpg" TargetMode="External"/><Relationship Id="rId_hyperlink_292" Type="http://schemas.openxmlformats.org/officeDocument/2006/relationships/hyperlink" Target="https://b2beez.ru/images/detailed/158/orig_0tlt-q6.jpg" TargetMode="External"/><Relationship Id="rId_hyperlink_293" Type="http://schemas.openxmlformats.org/officeDocument/2006/relationships/hyperlink" Target="https://b2beez.ru/images/detailed/158/orig_f184-f6.jpg" TargetMode="External"/><Relationship Id="rId_hyperlink_294" Type="http://schemas.openxmlformats.org/officeDocument/2006/relationships/hyperlink" Target="https://b2beez.ru/images/detailed/158/orig_g9i8-q9.jpg" TargetMode="External"/><Relationship Id="rId_hyperlink_295" Type="http://schemas.openxmlformats.org/officeDocument/2006/relationships/hyperlink" Target="https://b2beez.ru/images/detailed/205/1_isgd-pu.jpg" TargetMode="External"/><Relationship Id="rId_hyperlink_296" Type="http://schemas.openxmlformats.org/officeDocument/2006/relationships/hyperlink" Target="https://b2beez.ru/images/detailed/158/6259140758.jpg" TargetMode="External"/><Relationship Id="rId_hyperlink_297" Type="http://schemas.openxmlformats.org/officeDocument/2006/relationships/hyperlink" Target="https://b2beez.ru/images/detailed/158/6259140758_sizj-1e.jpg" TargetMode="External"/><Relationship Id="rId_hyperlink_298" Type="http://schemas.openxmlformats.org/officeDocument/2006/relationships/hyperlink" Target="https://b2beez.ru/images/detailed/158/6259140758_ucyg-8b.jpg" TargetMode="External"/><Relationship Id="rId_hyperlink_299" Type="http://schemas.openxmlformats.org/officeDocument/2006/relationships/hyperlink" Target="https://b2beez.ru/images/detailed/0/" TargetMode="External"/><Relationship Id="rId_hyperlink_300" Type="http://schemas.openxmlformats.org/officeDocument/2006/relationships/hyperlink" Target="https://b2beez.ru/images/detailed/158/orig_j2po-3p.jpg" TargetMode="External"/><Relationship Id="rId_hyperlink_301" Type="http://schemas.openxmlformats.org/officeDocument/2006/relationships/hyperlink" Target="https://b2beez.ru/images/detailed/158/orig_6n6v-da.jpg" TargetMode="External"/><Relationship Id="rId_hyperlink_302" Type="http://schemas.openxmlformats.org/officeDocument/2006/relationships/hyperlink" Target="https://b2beez.ru/images/detailed/158/orig_uzql-am.jpg" TargetMode="External"/><Relationship Id="rId_hyperlink_303" Type="http://schemas.openxmlformats.org/officeDocument/2006/relationships/hyperlink" Target="https://b2beez.ru/images/detailed/158/orig_cqza-hf.jpg" TargetMode="External"/><Relationship Id="rId_hyperlink_304" Type="http://schemas.openxmlformats.org/officeDocument/2006/relationships/hyperlink" Target="https://b2beez.ru/images/detailed/158/orig_obit-7j.jpg" TargetMode="External"/><Relationship Id="rId_hyperlink_305" Type="http://schemas.openxmlformats.org/officeDocument/2006/relationships/hyperlink" Target="https://b2beez.ru/images/detailed/158/orig_3u3g-0w.jpg" TargetMode="External"/><Relationship Id="rId_hyperlink_306" Type="http://schemas.openxmlformats.org/officeDocument/2006/relationships/hyperlink" Target="https://b2beez.ru/images/detailed/158/orig_zxp0-ce.jpg" TargetMode="External"/><Relationship Id="rId_hyperlink_307" Type="http://schemas.openxmlformats.org/officeDocument/2006/relationships/hyperlink" Target="https://b2beez.ru/images/detailed/158/orig_f9zk-g2.jpg" TargetMode="External"/><Relationship Id="rId_hyperlink_308" Type="http://schemas.openxmlformats.org/officeDocument/2006/relationships/hyperlink" Target="https://b2beez.ru/images/detailed/158/orig_m88n-ix.jpg" TargetMode="External"/><Relationship Id="rId_hyperlink_309" Type="http://schemas.openxmlformats.org/officeDocument/2006/relationships/hyperlink" Target="https://b2beez.ru/images/detailed/158/6259140879.jpg" TargetMode="External"/><Relationship Id="rId_hyperlink_310" Type="http://schemas.openxmlformats.org/officeDocument/2006/relationships/hyperlink" Target="https://b2beez.ru/images/detailed/158/6141443572.jpg" TargetMode="External"/><Relationship Id="rId_hyperlink_311" Type="http://schemas.openxmlformats.org/officeDocument/2006/relationships/hyperlink" Target="https://b2beez.ru/images/detailed/158/orig_hqge-sn.jpg" TargetMode="External"/><Relationship Id="rId_hyperlink_312" Type="http://schemas.openxmlformats.org/officeDocument/2006/relationships/hyperlink" Target="https://b2beez.ru/images/detailed/158/6259140959.jpg" TargetMode="External"/><Relationship Id="rId_hyperlink_313" Type="http://schemas.openxmlformats.org/officeDocument/2006/relationships/hyperlink" Target="https://b2beez.ru/images/detailed/158/orig_t1r9-a9.jpg" TargetMode="External"/><Relationship Id="rId_hyperlink_314" Type="http://schemas.openxmlformats.org/officeDocument/2006/relationships/hyperlink" Target="https://b2beez.ru/images/detailed/158/orig_1oee-u0.jpg" TargetMode="External"/><Relationship Id="rId_hyperlink_315" Type="http://schemas.openxmlformats.org/officeDocument/2006/relationships/hyperlink" Target="https://b2beez.ru/images/detailed/158/6362098635.jpg" TargetMode="External"/><Relationship Id="rId_hyperlink_316" Type="http://schemas.openxmlformats.org/officeDocument/2006/relationships/hyperlink" Target="https://b2beez.ru/images/detailed/158/6141443109.jpg" TargetMode="External"/><Relationship Id="rId_hyperlink_317" Type="http://schemas.openxmlformats.org/officeDocument/2006/relationships/hyperlink" Target="https://b2beez.ru/images/detailed/158/orig_x0ad-oh.jpg" TargetMode="External"/><Relationship Id="rId_hyperlink_318" Type="http://schemas.openxmlformats.org/officeDocument/2006/relationships/hyperlink" Target="https://b2beez.ru/images/detailed/158/6259140931.jpg" TargetMode="External"/><Relationship Id="rId_hyperlink_319" Type="http://schemas.openxmlformats.org/officeDocument/2006/relationships/hyperlink" Target="https://b2beez.ru/images/detailed/158/6259140960.jpg" TargetMode="External"/><Relationship Id="rId_hyperlink_320" Type="http://schemas.openxmlformats.org/officeDocument/2006/relationships/hyperlink" Target="https://b2beez.ru/images/detailed/158/orig_04zm-pv.jpg" TargetMode="External"/><Relationship Id="rId_hyperlink_321" Type="http://schemas.openxmlformats.org/officeDocument/2006/relationships/hyperlink" Target="https://b2beez.ru/images/detailed/158/6141443348.jpg" TargetMode="External"/><Relationship Id="rId_hyperlink_322" Type="http://schemas.openxmlformats.org/officeDocument/2006/relationships/hyperlink" Target="https://b2beez.ru/images/detailed/158/6141443466.jpg" TargetMode="External"/><Relationship Id="rId_hyperlink_323" Type="http://schemas.openxmlformats.org/officeDocument/2006/relationships/hyperlink" Target="https://b2beez.ru/images/detailed/158/6259141072.jpg" TargetMode="External"/><Relationship Id="rId_hyperlink_324" Type="http://schemas.openxmlformats.org/officeDocument/2006/relationships/hyperlink" Target="https://b2beez.ru/images/detailed/158/6286958883.jpg" TargetMode="External"/><Relationship Id="rId_hyperlink_325" Type="http://schemas.openxmlformats.org/officeDocument/2006/relationships/hyperlink" Target="https://b2beez.ru/images/detailed/158/orig_o21f-ny.jpg" TargetMode="External"/><Relationship Id="rId_hyperlink_326" Type="http://schemas.openxmlformats.org/officeDocument/2006/relationships/hyperlink" Target="https://b2beez.ru/images/detailed/158/6259141079.jpg" TargetMode="External"/><Relationship Id="rId_hyperlink_327" Type="http://schemas.openxmlformats.org/officeDocument/2006/relationships/hyperlink" Target="https://b2beez.ru/images/detailed/158/orig_41xe-dq.jpg" TargetMode="External"/><Relationship Id="rId_hyperlink_328" Type="http://schemas.openxmlformats.org/officeDocument/2006/relationships/hyperlink" Target="https://b2beez.ru/images/detailed/158/orig_0xxr-b6.jpg" TargetMode="External"/><Relationship Id="rId_hyperlink_329" Type="http://schemas.openxmlformats.org/officeDocument/2006/relationships/hyperlink" Target="https://b2beez.ru/images/detailed/158/orig_i6q2-e6.jpg" TargetMode="External"/><Relationship Id="rId_hyperlink_330" Type="http://schemas.openxmlformats.org/officeDocument/2006/relationships/hyperlink" Target="https://b2beez.ru/images/detailed/158/6259141043.jpg" TargetMode="External"/><Relationship Id="rId_hyperlink_331" Type="http://schemas.openxmlformats.org/officeDocument/2006/relationships/hyperlink" Target="https://b2beez.ru/images/detailed/158/orig_lek4-y9.jpg" TargetMode="External"/><Relationship Id="rId_hyperlink_332" Type="http://schemas.openxmlformats.org/officeDocument/2006/relationships/hyperlink" Target="https://b2beez.ru/images/detailed/204/D-3274.jpg" TargetMode="External"/><Relationship Id="rId_hyperlink_333" Type="http://schemas.openxmlformats.org/officeDocument/2006/relationships/hyperlink" Target="https://b2beez.ru/images/detailed/158/orig_09l0-hx.jpg" TargetMode="External"/><Relationship Id="rId_hyperlink_334" Type="http://schemas.openxmlformats.org/officeDocument/2006/relationships/hyperlink" Target="https://b2beez.ru/images/detailed/158/orig_mo3o-ht.jpg" TargetMode="External"/><Relationship Id="rId_hyperlink_335" Type="http://schemas.openxmlformats.org/officeDocument/2006/relationships/hyperlink" Target="https://b2beez.ru/images/detailed/158/orig_a5zk-by.jpg" TargetMode="External"/><Relationship Id="rId_hyperlink_336" Type="http://schemas.openxmlformats.org/officeDocument/2006/relationships/hyperlink" Target="https://b2beez.ru/images/detailed/158/orig_kb5i-go.jpg" TargetMode="External"/><Relationship Id="rId_hyperlink_337" Type="http://schemas.openxmlformats.org/officeDocument/2006/relationships/hyperlink" Target="https://b2beez.ru/images/detailed/158/orig_jwzk-ee.jpg" TargetMode="External"/><Relationship Id="rId_hyperlink_338" Type="http://schemas.openxmlformats.org/officeDocument/2006/relationships/hyperlink" Target="https://b2beez.ru/images/detailed/158/orig_yoeu-d5.jpg" TargetMode="External"/><Relationship Id="rId_hyperlink_339" Type="http://schemas.openxmlformats.org/officeDocument/2006/relationships/hyperlink" Target="https://b2beez.ru/images/detailed/158/orig_r0ia-1g.jpg" TargetMode="External"/><Relationship Id="rId_hyperlink_340" Type="http://schemas.openxmlformats.org/officeDocument/2006/relationships/hyperlink" Target="https://b2beez.ru/images/detailed/158/orig_vilx-l5.jpg" TargetMode="External"/><Relationship Id="rId_hyperlink_341" Type="http://schemas.openxmlformats.org/officeDocument/2006/relationships/hyperlink" Target="https://b2beez.ru/images/detailed/158/orig_mjd6-tx.jpg" TargetMode="External"/><Relationship Id="rId_hyperlink_342" Type="http://schemas.openxmlformats.org/officeDocument/2006/relationships/hyperlink" Target="https://b2beez.ru/images/detailed/159/orig.jpg" TargetMode="External"/><Relationship Id="rId_hyperlink_343" Type="http://schemas.openxmlformats.org/officeDocument/2006/relationships/hyperlink" Target="https://b2beez.ru/images/detailed/159/orig_xpfv-6r.jpg" TargetMode="External"/><Relationship Id="rId_hyperlink_344" Type="http://schemas.openxmlformats.org/officeDocument/2006/relationships/hyperlink" Target="https://b2beez.ru/images/detailed/159/orig_54v4-wb.jpg" TargetMode="External"/><Relationship Id="rId_hyperlink_345" Type="http://schemas.openxmlformats.org/officeDocument/2006/relationships/hyperlink" Target="https://b2beez.ru/images/detailed/161/orig_b56o-0h.jpg" TargetMode="External"/><Relationship Id="rId_hyperlink_346" Type="http://schemas.openxmlformats.org/officeDocument/2006/relationships/hyperlink" Target="https://b2beez.ru/images/detailed/161/orig_oj05-z5.jpg" TargetMode="External"/><Relationship Id="rId_hyperlink_347" Type="http://schemas.openxmlformats.org/officeDocument/2006/relationships/hyperlink" Target="https://b2beez.ru/images/detailed/161/6141443259.jpg" TargetMode="External"/><Relationship Id="rId_hyperlink_348" Type="http://schemas.openxmlformats.org/officeDocument/2006/relationships/hyperlink" Target="https://b2beez.ru/images/detailed/161/orig_gvh1-hf.jpg" TargetMode="External"/><Relationship Id="rId_hyperlink_349" Type="http://schemas.openxmlformats.org/officeDocument/2006/relationships/hyperlink" Target="https://b2beez.ru/images/detailed/161/orig_m0w2-9d.jpg" TargetMode="External"/><Relationship Id="rId_hyperlink_350" Type="http://schemas.openxmlformats.org/officeDocument/2006/relationships/hyperlink" Target="https://b2beez.ru/images/detailed/161/orig_kk81-an.jpg" TargetMode="External"/><Relationship Id="rId_hyperlink_351" Type="http://schemas.openxmlformats.org/officeDocument/2006/relationships/hyperlink" Target="https://b2beez.ru/images/detailed/161/orig_cwsr-of.jpg" TargetMode="External"/><Relationship Id="rId_hyperlink_352" Type="http://schemas.openxmlformats.org/officeDocument/2006/relationships/hyperlink" Target="https://b2beez.ru/images/detailed/161/6141443388.jpg" TargetMode="External"/><Relationship Id="rId_hyperlink_353" Type="http://schemas.openxmlformats.org/officeDocument/2006/relationships/hyperlink" Target="https://b2beez.ru/images/detailed/161/orig_c2em-ka.jpg" TargetMode="External"/><Relationship Id="rId_hyperlink_354" Type="http://schemas.openxmlformats.org/officeDocument/2006/relationships/hyperlink" Target="https://b2beez.ru/images/detailed/161/6337791039.jpg" TargetMode="External"/><Relationship Id="rId_hyperlink_355" Type="http://schemas.openxmlformats.org/officeDocument/2006/relationships/hyperlink" Target="https://b2beez.ru/images/detailed/161/orig_abl2-n3.jpg" TargetMode="External"/><Relationship Id="rId_hyperlink_356" Type="http://schemas.openxmlformats.org/officeDocument/2006/relationships/hyperlink" Target="https://b2beez.ru/images/detailed/161/6141443314.jpg" TargetMode="External"/><Relationship Id="rId_hyperlink_357" Type="http://schemas.openxmlformats.org/officeDocument/2006/relationships/hyperlink" Target="https://b2beez.ru/images/detailed/161/orig_gmhj-7i.jpg" TargetMode="External"/><Relationship Id="rId_hyperlink_358" Type="http://schemas.openxmlformats.org/officeDocument/2006/relationships/hyperlink" Target="https://b2beez.ru/images/detailed/161/orig_ev8p-rx.jpg" TargetMode="External"/><Relationship Id="rId_hyperlink_359" Type="http://schemas.openxmlformats.org/officeDocument/2006/relationships/hyperlink" Target="https://b2beez.ru/images/detailed/161/orig_r94w-e5.jpg" TargetMode="External"/><Relationship Id="rId_hyperlink_360" Type="http://schemas.openxmlformats.org/officeDocument/2006/relationships/hyperlink" Target="https://b2beez.ru/images/detailed/161/6259140780.jpg" TargetMode="External"/><Relationship Id="rId_hyperlink_361" Type="http://schemas.openxmlformats.org/officeDocument/2006/relationships/hyperlink" Target="https://b2beez.ru/images/detailed/161/6259140737.jpg" TargetMode="External"/><Relationship Id="rId_hyperlink_362" Type="http://schemas.openxmlformats.org/officeDocument/2006/relationships/hyperlink" Target="https://b2beez.ru/images/detailed/161/orig_eyjy-qr.jpg" TargetMode="External"/><Relationship Id="rId_hyperlink_363" Type="http://schemas.openxmlformats.org/officeDocument/2006/relationships/hyperlink" Target="https://b2beez.ru/images/detailed/161/orig_2ge7-d5.jpg" TargetMode="External"/><Relationship Id="rId_hyperlink_364" Type="http://schemas.openxmlformats.org/officeDocument/2006/relationships/hyperlink" Target="https://b2beez.ru/images/detailed/161/orig_nzeo-vg.jpg" TargetMode="External"/><Relationship Id="rId_hyperlink_365" Type="http://schemas.openxmlformats.org/officeDocument/2006/relationships/hyperlink" Target="https://b2beez.ru/images/detailed/161/orig_6f0b-za.jpg" TargetMode="External"/><Relationship Id="rId_hyperlink_366" Type="http://schemas.openxmlformats.org/officeDocument/2006/relationships/hyperlink" Target="https://b2beez.ru/images/detailed/161/orig_6q1c-ax.jpg" TargetMode="External"/><Relationship Id="rId_hyperlink_367" Type="http://schemas.openxmlformats.org/officeDocument/2006/relationships/hyperlink" Target="https://b2beez.ru/images/detailed/161/orig_abfx-im.jpg" TargetMode="External"/><Relationship Id="rId_hyperlink_368" Type="http://schemas.openxmlformats.org/officeDocument/2006/relationships/hyperlink" Target="https://b2beez.ru/images/detailed/161/orig_0bjg-ar.jpg" TargetMode="External"/><Relationship Id="rId_hyperlink_369" Type="http://schemas.openxmlformats.org/officeDocument/2006/relationships/hyperlink" Target="https://b2beez.ru/images/detailed/161/orig_7kjb-2w.jpg" TargetMode="External"/><Relationship Id="rId_hyperlink_370" Type="http://schemas.openxmlformats.org/officeDocument/2006/relationships/hyperlink" Target="https://b2beez.ru/images/detailed/161/orig_boec-u1.jpg" TargetMode="External"/><Relationship Id="rId_hyperlink_371" Type="http://schemas.openxmlformats.org/officeDocument/2006/relationships/hyperlink" Target="https://b2beez.ru/images/detailed/161/orig_0yvo-0m.jpg" TargetMode="External"/><Relationship Id="rId_hyperlink_372" Type="http://schemas.openxmlformats.org/officeDocument/2006/relationships/hyperlink" Target="https://b2beez.ru/images/detailed/161/orig_srui-m6.jpg" TargetMode="External"/><Relationship Id="rId_hyperlink_373" Type="http://schemas.openxmlformats.org/officeDocument/2006/relationships/hyperlink" Target="https://b2beez.ru/images/detailed/161/6259140805.jpg" TargetMode="External"/><Relationship Id="rId_hyperlink_374" Type="http://schemas.openxmlformats.org/officeDocument/2006/relationships/hyperlink" Target="https://b2beez.ru/images/detailed/161/6259140805_hz5z-h4.jpg" TargetMode="External"/><Relationship Id="rId_hyperlink_375" Type="http://schemas.openxmlformats.org/officeDocument/2006/relationships/hyperlink" Target="https://b2beez.ru/images/detailed/161/orig_da9l-bp.jpg" TargetMode="External"/><Relationship Id="rId_hyperlink_376" Type="http://schemas.openxmlformats.org/officeDocument/2006/relationships/hyperlink" Target="https://b2beez.ru/images/detailed/161/orig_tifp-co.jpg" TargetMode="External"/><Relationship Id="rId_hyperlink_377" Type="http://schemas.openxmlformats.org/officeDocument/2006/relationships/hyperlink" Target="https://b2beez.ru/images/detailed/161/orig_4nbs-0p.jpg" TargetMode="External"/><Relationship Id="rId_hyperlink_378" Type="http://schemas.openxmlformats.org/officeDocument/2006/relationships/hyperlink" Target="https://b2beez.ru/images/detailed/161/orig_p8pp-ju.jpg" TargetMode="External"/><Relationship Id="rId_hyperlink_379" Type="http://schemas.openxmlformats.org/officeDocument/2006/relationships/hyperlink" Target="https://b2beez.ru/images/detailed/161/orig_ufc3-fx.jpg" TargetMode="External"/><Relationship Id="rId_hyperlink_380" Type="http://schemas.openxmlformats.org/officeDocument/2006/relationships/hyperlink" Target="https://b2beez.ru/images/detailed/161/orig_g6l2-6h.jpg" TargetMode="External"/><Relationship Id="rId_hyperlink_381" Type="http://schemas.openxmlformats.org/officeDocument/2006/relationships/hyperlink" Target="https://b2beez.ru/images/detailed/162/6741734125.jpg" TargetMode="External"/><Relationship Id="rId_hyperlink_382" Type="http://schemas.openxmlformats.org/officeDocument/2006/relationships/hyperlink" Target="https://b2beez.ru/images/detailed/162/orig_d7lp-hq.jpg" TargetMode="External"/><Relationship Id="rId_hyperlink_383" Type="http://schemas.openxmlformats.org/officeDocument/2006/relationships/hyperlink" Target="https://b2beez.ru/images/detailed/162/6259140981.jpg" TargetMode="External"/><Relationship Id="rId_hyperlink_384" Type="http://schemas.openxmlformats.org/officeDocument/2006/relationships/hyperlink" Target="https://b2beez.ru/images/detailed/204/1_oa1k-8u.jpg" TargetMode="External"/><Relationship Id="rId_hyperlink_385" Type="http://schemas.openxmlformats.org/officeDocument/2006/relationships/hyperlink" Target="https://b2beez.ru/images/detailed/162/orig_o6hg-x6.jpg" TargetMode="External"/><Relationship Id="rId_hyperlink_386" Type="http://schemas.openxmlformats.org/officeDocument/2006/relationships/hyperlink" Target="https://b2beez.ru/images/detailed/162/orig_xa8g-o4.jpg" TargetMode="External"/><Relationship Id="rId_hyperlink_387" Type="http://schemas.openxmlformats.org/officeDocument/2006/relationships/hyperlink" Target="https://b2beez.ru/images/detailed/162/6455852073.jpg" TargetMode="External"/><Relationship Id="rId_hyperlink_388" Type="http://schemas.openxmlformats.org/officeDocument/2006/relationships/hyperlink" Target="https://b2beez.ru/images/detailed/162/orig_h8vr-u1.jpg" TargetMode="External"/><Relationship Id="rId_hyperlink_389" Type="http://schemas.openxmlformats.org/officeDocument/2006/relationships/hyperlink" Target="https://b2beez.ru/images/detailed/162/orig_rq32-33.jpg" TargetMode="External"/><Relationship Id="rId_hyperlink_390" Type="http://schemas.openxmlformats.org/officeDocument/2006/relationships/hyperlink" Target="https://b2beez.ru/images/detailed/162/6259140795.jpg" TargetMode="External"/><Relationship Id="rId_hyperlink_391" Type="http://schemas.openxmlformats.org/officeDocument/2006/relationships/hyperlink" Target="https://b2beez.ru/images/detailed/162/6259140746.jpg" TargetMode="External"/><Relationship Id="rId_hyperlink_392" Type="http://schemas.openxmlformats.org/officeDocument/2006/relationships/hyperlink" Target="https://b2beez.ru/images/detailed/205/1_c3co-cc.jpg" TargetMode="External"/><Relationship Id="rId_hyperlink_393" Type="http://schemas.openxmlformats.org/officeDocument/2006/relationships/hyperlink" Target="https://b2beez.ru/images/detailed/162/6141443301.jpg" TargetMode="External"/><Relationship Id="rId_hyperlink_394" Type="http://schemas.openxmlformats.org/officeDocument/2006/relationships/hyperlink" Target="https://b2beez.ru/images/detailed/162/orig_l8ry-gr.jpg" TargetMode="External"/><Relationship Id="rId_hyperlink_395" Type="http://schemas.openxmlformats.org/officeDocument/2006/relationships/hyperlink" Target="https://b2beez.ru/images/detailed/162/orig_c6ci-fo.jpg" TargetMode="External"/><Relationship Id="rId_hyperlink_396" Type="http://schemas.openxmlformats.org/officeDocument/2006/relationships/hyperlink" Target="https://b2beez.ru/images/detailed/162/6141443622.jpg" TargetMode="External"/><Relationship Id="rId_hyperlink_397" Type="http://schemas.openxmlformats.org/officeDocument/2006/relationships/hyperlink" Target="https://b2beez.ru/images/detailed/162/orig_f5dl-e8.jpg" TargetMode="External"/><Relationship Id="rId_hyperlink_398" Type="http://schemas.openxmlformats.org/officeDocument/2006/relationships/hyperlink" Target="https://b2beez.ru/images/detailed/162/6259140863.jpg" TargetMode="External"/><Relationship Id="rId_hyperlink_399" Type="http://schemas.openxmlformats.org/officeDocument/2006/relationships/hyperlink" Target="https://b2beez.ru/images/detailed/162/orig_mpfd-5z.jpg" TargetMode="External"/><Relationship Id="rId_hyperlink_400" Type="http://schemas.openxmlformats.org/officeDocument/2006/relationships/hyperlink" Target="https://b2beez.ru/images/detailed/162/orig_ns32-8f.jpg" TargetMode="External"/><Relationship Id="rId_hyperlink_401" Type="http://schemas.openxmlformats.org/officeDocument/2006/relationships/hyperlink" Target="https://b2beez.ru/images/detailed/162/orig_aj3p-n1.jpg" TargetMode="External"/><Relationship Id="rId_hyperlink_402" Type="http://schemas.openxmlformats.org/officeDocument/2006/relationships/hyperlink" Target="https://b2beez.ru/images/detailed/162/orig_8iwo-b1.jpg" TargetMode="External"/><Relationship Id="rId_hyperlink_403" Type="http://schemas.openxmlformats.org/officeDocument/2006/relationships/hyperlink" Target="https://b2beez.ru/images/detailed/162/orig_zwt0-88.jpg" TargetMode="External"/><Relationship Id="rId_hyperlink_404" Type="http://schemas.openxmlformats.org/officeDocument/2006/relationships/hyperlink" Target="https://b2beez.ru/images/detailed/162/orig_xt7x-4i.jpg" TargetMode="External"/><Relationship Id="rId_hyperlink_405" Type="http://schemas.openxmlformats.org/officeDocument/2006/relationships/hyperlink" Target="https://b2beez.ru/images/detailed/162/orig_6omi-wz.jpg" TargetMode="External"/><Relationship Id="rId_hyperlink_406" Type="http://schemas.openxmlformats.org/officeDocument/2006/relationships/hyperlink" Target="https://b2beez.ru/images/detailed/162/orig_ty3x-rl.jpg" TargetMode="External"/><Relationship Id="rId_hyperlink_407" Type="http://schemas.openxmlformats.org/officeDocument/2006/relationships/hyperlink" Target="https://b2beez.ru/images/detailed/162/orig_18xl-jb.jpg" TargetMode="External"/><Relationship Id="rId_hyperlink_408" Type="http://schemas.openxmlformats.org/officeDocument/2006/relationships/hyperlink" Target="https://b2beez.ru/images/detailed/162/orig_2xz9-6o.jpg" TargetMode="External"/><Relationship Id="rId_hyperlink_409" Type="http://schemas.openxmlformats.org/officeDocument/2006/relationships/hyperlink" Target="https://b2beez.ru/images/detailed/162/orig_0my3-7k.jpg" TargetMode="External"/><Relationship Id="rId_hyperlink_410" Type="http://schemas.openxmlformats.org/officeDocument/2006/relationships/hyperlink" Target="https://b2beez.ru/images/detailed/162/orig_fc69-wd.jpg" TargetMode="External"/><Relationship Id="rId_hyperlink_411" Type="http://schemas.openxmlformats.org/officeDocument/2006/relationships/hyperlink" Target="https://b2beez.ru/images/detailed/162/orig_qrj6-qk.jpg" TargetMode="External"/><Relationship Id="rId_hyperlink_412" Type="http://schemas.openxmlformats.org/officeDocument/2006/relationships/hyperlink" Target="https://b2beez.ru/images/detailed/205/1_jecb-oe.jpg" TargetMode="External"/><Relationship Id="rId_hyperlink_413" Type="http://schemas.openxmlformats.org/officeDocument/2006/relationships/hyperlink" Target="https://b2beez.ru/images/detailed/162/orig_q3jk-qx.jpg" TargetMode="External"/><Relationship Id="rId_hyperlink_414" Type="http://schemas.openxmlformats.org/officeDocument/2006/relationships/hyperlink" Target="https://b2beez.ru/images/detailed/162/orig_071b-hw.jpg" TargetMode="External"/><Relationship Id="rId_hyperlink_415" Type="http://schemas.openxmlformats.org/officeDocument/2006/relationships/hyperlink" Target="https://b2beez.ru/images/detailed/162/orig_qwzy-ce.jpg" TargetMode="External"/><Relationship Id="rId_hyperlink_416" Type="http://schemas.openxmlformats.org/officeDocument/2006/relationships/hyperlink" Target="https://b2beez.ru/images/detailed/162/orig_xgui-32.jpg" TargetMode="External"/><Relationship Id="rId_hyperlink_417" Type="http://schemas.openxmlformats.org/officeDocument/2006/relationships/hyperlink" Target="https://b2beez.ru/images/detailed/162/6259140854.jpg" TargetMode="External"/><Relationship Id="rId_hyperlink_418" Type="http://schemas.openxmlformats.org/officeDocument/2006/relationships/hyperlink" Target="https://b2beez.ru/images/detailed/162/orig_ar8n-4j.jpg" TargetMode="External"/><Relationship Id="rId_hyperlink_419" Type="http://schemas.openxmlformats.org/officeDocument/2006/relationships/hyperlink" Target="https://b2beez.ru/images/detailed/162/orig_lyea-o0.jpg" TargetMode="External"/><Relationship Id="rId_hyperlink_420" Type="http://schemas.openxmlformats.org/officeDocument/2006/relationships/hyperlink" Target="https://b2beez.ru/images/detailed/162/orig_gc9b-4x.jpg" TargetMode="External"/><Relationship Id="rId_hyperlink_421" Type="http://schemas.openxmlformats.org/officeDocument/2006/relationships/hyperlink" Target="https://b2beez.ru/images/detailed/163/orig_xzjn-6l.jpg" TargetMode="External"/><Relationship Id="rId_hyperlink_422" Type="http://schemas.openxmlformats.org/officeDocument/2006/relationships/hyperlink" Target="https://b2beez.ru/images/detailed/163/orig_3llz-5l.jpg" TargetMode="External"/><Relationship Id="rId_hyperlink_423" Type="http://schemas.openxmlformats.org/officeDocument/2006/relationships/hyperlink" Target="https://b2beez.ru/images/detailed/163/6134789439.jpg" TargetMode="External"/><Relationship Id="rId_hyperlink_424" Type="http://schemas.openxmlformats.org/officeDocument/2006/relationships/hyperlink" Target="https://b2beez.ru/images/detailed/163/orig_zasq-z8.jpg" TargetMode="External"/><Relationship Id="rId_hyperlink_425" Type="http://schemas.openxmlformats.org/officeDocument/2006/relationships/hyperlink" Target="https://b2beez.ru/images/detailed/163/orig_k9sx-pa.jpg" TargetMode="External"/><Relationship Id="rId_hyperlink_426" Type="http://schemas.openxmlformats.org/officeDocument/2006/relationships/hyperlink" Target="https://b2beez.ru/images/detailed/163/6141443201.jpg" TargetMode="External"/><Relationship Id="rId_hyperlink_427" Type="http://schemas.openxmlformats.org/officeDocument/2006/relationships/hyperlink" Target="https://b2beez.ru/images/detailed/163/orig_dv1j-tm.jpg" TargetMode="External"/><Relationship Id="rId_hyperlink_428" Type="http://schemas.openxmlformats.org/officeDocument/2006/relationships/hyperlink" Target="https://b2beez.ru/images/detailed/163/orig_9j1r-au.jpg" TargetMode="External"/><Relationship Id="rId_hyperlink_429" Type="http://schemas.openxmlformats.org/officeDocument/2006/relationships/hyperlink" Target="https://b2beez.ru/images/detailed/163/orig_rc1v-7f.jpg" TargetMode="External"/><Relationship Id="rId_hyperlink_430" Type="http://schemas.openxmlformats.org/officeDocument/2006/relationships/hyperlink" Target="https://b2beez.ru/images/detailed/163/orig_qymx-gj.jpg" TargetMode="External"/><Relationship Id="rId_hyperlink_431" Type="http://schemas.openxmlformats.org/officeDocument/2006/relationships/hyperlink" Target="https://b2beez.ru/images/detailed/163/orig_2itc-xp.jpg" TargetMode="External"/><Relationship Id="rId_hyperlink_432" Type="http://schemas.openxmlformats.org/officeDocument/2006/relationships/hyperlink" Target="https://b2beez.ru/images/detailed/163/orig_9b9q-8w.jpg" TargetMode="External"/><Relationship Id="rId_hyperlink_433" Type="http://schemas.openxmlformats.org/officeDocument/2006/relationships/hyperlink" Target="https://b2beez.ru/images/detailed/163/orig_qhcd-ow.jpg" TargetMode="External"/><Relationship Id="rId_hyperlink_434" Type="http://schemas.openxmlformats.org/officeDocument/2006/relationships/hyperlink" Target="https://b2beez.ru/images/detailed/163/orig_xwub-df.jpg" TargetMode="External"/><Relationship Id="rId_hyperlink_435" Type="http://schemas.openxmlformats.org/officeDocument/2006/relationships/hyperlink" Target="https://b2beez.ru/images/detailed/163/orig_mkby-hx.jpg" TargetMode="External"/><Relationship Id="rId_hyperlink_436" Type="http://schemas.openxmlformats.org/officeDocument/2006/relationships/hyperlink" Target="https://b2beez.ru/images/detailed/163/6141443150.jpg" TargetMode="External"/><Relationship Id="rId_hyperlink_437" Type="http://schemas.openxmlformats.org/officeDocument/2006/relationships/hyperlink" Target="https://b2beez.ru/images/detailed/163/6259141044.jpg" TargetMode="External"/><Relationship Id="rId_hyperlink_438" Type="http://schemas.openxmlformats.org/officeDocument/2006/relationships/hyperlink" Target="https://b2beez.ru/images/detailed/163/orig_uji0-5t.jpg" TargetMode="External"/><Relationship Id="rId_hyperlink_439" Type="http://schemas.openxmlformats.org/officeDocument/2006/relationships/hyperlink" Target="https://b2beez.ru/images/detailed/163/orig_lvpk-2r.jpg" TargetMode="External"/><Relationship Id="rId_hyperlink_440" Type="http://schemas.openxmlformats.org/officeDocument/2006/relationships/hyperlink" Target="https://b2beez.ru/images/detailed/204/2_oatp-1u.jpg" TargetMode="External"/><Relationship Id="rId_hyperlink_441" Type="http://schemas.openxmlformats.org/officeDocument/2006/relationships/hyperlink" Target="https://b2beez.ru/images/detailed/163/6141443450.jpg" TargetMode="External"/><Relationship Id="rId_hyperlink_442" Type="http://schemas.openxmlformats.org/officeDocument/2006/relationships/hyperlink" Target="https://b2beez.ru/images/detailed/163/orig_ltv6-uk.jpg" TargetMode="External"/><Relationship Id="rId_hyperlink_443" Type="http://schemas.openxmlformats.org/officeDocument/2006/relationships/hyperlink" Target="https://b2beez.ru/images/detailed/164/orig_fnee-mx.jpg" TargetMode="External"/><Relationship Id="rId_hyperlink_444" Type="http://schemas.openxmlformats.org/officeDocument/2006/relationships/hyperlink" Target="https://b2beez.ru/images/detailed/164/orig_z2vx-vj.jpg" TargetMode="External"/><Relationship Id="rId_hyperlink_445" Type="http://schemas.openxmlformats.org/officeDocument/2006/relationships/hyperlink" Target="https://b2beez.ru/images/detailed/164/orig_olvc-8x.jpg" TargetMode="External"/><Relationship Id="rId_hyperlink_446" Type="http://schemas.openxmlformats.org/officeDocument/2006/relationships/hyperlink" Target="https://b2beez.ru/images/detailed/164/orig_0oiu-hy.jpg" TargetMode="External"/><Relationship Id="rId_hyperlink_447" Type="http://schemas.openxmlformats.org/officeDocument/2006/relationships/hyperlink" Target="https://b2beez.ru/images/detailed/164/orig_dern-u3.jpg" TargetMode="External"/><Relationship Id="rId_hyperlink_448" Type="http://schemas.openxmlformats.org/officeDocument/2006/relationships/hyperlink" Target="https://b2beez.ru/images/detailed/164/6141443420.jpg" TargetMode="External"/><Relationship Id="rId_hyperlink_449" Type="http://schemas.openxmlformats.org/officeDocument/2006/relationships/hyperlink" Target="https://b2beez.ru/images/detailed/164/orig_l302-x9.jpg" TargetMode="External"/><Relationship Id="rId_hyperlink_450" Type="http://schemas.openxmlformats.org/officeDocument/2006/relationships/hyperlink" Target="https://b2beez.ru/images/detailed/164/orig_986e-5n.jpg" TargetMode="External"/><Relationship Id="rId_hyperlink_451" Type="http://schemas.openxmlformats.org/officeDocument/2006/relationships/hyperlink" Target="https://b2beez.ru/images/detailed/164/6141443421.jpg" TargetMode="External"/><Relationship Id="rId_hyperlink_452" Type="http://schemas.openxmlformats.org/officeDocument/2006/relationships/hyperlink" Target="https://b2beez.ru/images/detailed/164/6141443497.jpg" TargetMode="External"/><Relationship Id="rId_hyperlink_453" Type="http://schemas.openxmlformats.org/officeDocument/2006/relationships/hyperlink" Target="https://b2beez.ru/images/detailed/164/orig_v95m-v0.jpg" TargetMode="External"/><Relationship Id="rId_hyperlink_454" Type="http://schemas.openxmlformats.org/officeDocument/2006/relationships/hyperlink" Target="https://b2beez.ru/images/detailed/164/6259140788.jpg" TargetMode="External"/><Relationship Id="rId_hyperlink_455" Type="http://schemas.openxmlformats.org/officeDocument/2006/relationships/hyperlink" Target="https://b2beez.ru/images/detailed/164/orig_0ya8-cx.jpg" TargetMode="External"/><Relationship Id="rId_hyperlink_456" Type="http://schemas.openxmlformats.org/officeDocument/2006/relationships/hyperlink" Target="https://b2beez.ru/images/detailed/164/6259140788_aw4q-94.jpg" TargetMode="External"/><Relationship Id="rId_hyperlink_457" Type="http://schemas.openxmlformats.org/officeDocument/2006/relationships/hyperlink" Target="https://b2beez.ru/images/detailed/164/orig_if1s-jo.jpg" TargetMode="External"/><Relationship Id="rId_hyperlink_458" Type="http://schemas.openxmlformats.org/officeDocument/2006/relationships/hyperlink" Target="https://b2beez.ru/images/detailed/164/orig_wu5u-kn.jpg" TargetMode="External"/><Relationship Id="rId_hyperlink_459" Type="http://schemas.openxmlformats.org/officeDocument/2006/relationships/hyperlink" Target="https://b2beez.ru/images/detailed/164/orig_t085-mh.jpg" TargetMode="External"/><Relationship Id="rId_hyperlink_460" Type="http://schemas.openxmlformats.org/officeDocument/2006/relationships/hyperlink" Target="https://b2beez.ru/images/detailed/164/orig_fxdn-j1.jpg" TargetMode="External"/><Relationship Id="rId_hyperlink_461" Type="http://schemas.openxmlformats.org/officeDocument/2006/relationships/hyperlink" Target="https://b2beez.ru/images/detailed/204/H-370-2.jpg" TargetMode="External"/><Relationship Id="rId_hyperlink_462" Type="http://schemas.openxmlformats.org/officeDocument/2006/relationships/hyperlink" Target="https://b2beez.ru/images/detailed/164/orig.png" TargetMode="External"/><Relationship Id="rId_hyperlink_463" Type="http://schemas.openxmlformats.org/officeDocument/2006/relationships/hyperlink" Target="https://b2beez.ru/images/detailed/164/orig_wr6c-ni.jpg" TargetMode="External"/><Relationship Id="rId_hyperlink_464" Type="http://schemas.openxmlformats.org/officeDocument/2006/relationships/hyperlink" Target="https://b2beez.ru/images/detailed/164/orig_n8sl-gd.jpg" TargetMode="External"/><Relationship Id="rId_hyperlink_465" Type="http://schemas.openxmlformats.org/officeDocument/2006/relationships/hyperlink" Target="https://b2beez.ru/images/detailed/164/6259140941.jpg" TargetMode="External"/><Relationship Id="rId_hyperlink_466" Type="http://schemas.openxmlformats.org/officeDocument/2006/relationships/hyperlink" Target="https://b2beez.ru/images/detailed/164/orig_4p7v-3t.jpg" TargetMode="External"/><Relationship Id="rId_hyperlink_467" Type="http://schemas.openxmlformats.org/officeDocument/2006/relationships/hyperlink" Target="https://b2beez.ru/images/detailed/164/orig_wn7n-vd.jpg" TargetMode="External"/><Relationship Id="rId_hyperlink_468" Type="http://schemas.openxmlformats.org/officeDocument/2006/relationships/hyperlink" Target="https://b2beez.ru/images/detailed/164/orig_h5z2-z3.jpg" TargetMode="External"/><Relationship Id="rId_hyperlink_469" Type="http://schemas.openxmlformats.org/officeDocument/2006/relationships/hyperlink" Target="https://b2beez.ru/images/detailed/164/orig_euzu-xh.jpg" TargetMode="External"/><Relationship Id="rId_hyperlink_470" Type="http://schemas.openxmlformats.org/officeDocument/2006/relationships/hyperlink" Target="https://b2beez.ru/images/detailed/164/orig_opyi-sh.jpg" TargetMode="External"/><Relationship Id="rId_hyperlink_471" Type="http://schemas.openxmlformats.org/officeDocument/2006/relationships/hyperlink" Target="https://b2beez.ru/images/detailed/164/orig_436y-uj.jpg" TargetMode="External"/><Relationship Id="rId_hyperlink_472" Type="http://schemas.openxmlformats.org/officeDocument/2006/relationships/hyperlink" Target="https://b2beez.ru/images/detailed/0/" TargetMode="External"/><Relationship Id="rId_hyperlink_473" Type="http://schemas.openxmlformats.org/officeDocument/2006/relationships/hyperlink" Target="https://b2beez.ru/images/detailed/0/" TargetMode="External"/><Relationship Id="rId_hyperlink_474" Type="http://schemas.openxmlformats.org/officeDocument/2006/relationships/hyperlink" Target="https://b2beez.ru/images/detailed/164/orig_sbxa-u8.jpg" TargetMode="External"/><Relationship Id="rId_hyperlink_475" Type="http://schemas.openxmlformats.org/officeDocument/2006/relationships/hyperlink" Target="https://b2beez.ru/images/detailed/164/orig_bwc5-cw.jpg" TargetMode="External"/><Relationship Id="rId_hyperlink_476" Type="http://schemas.openxmlformats.org/officeDocument/2006/relationships/hyperlink" Target="https://b2beez.ru/images/detailed/164/orig_3tpi-lk.jpg" TargetMode="External"/><Relationship Id="rId_hyperlink_477" Type="http://schemas.openxmlformats.org/officeDocument/2006/relationships/hyperlink" Target="https://b2beez.ru/images/detailed/164/orig_hb3m-yb.jpg" TargetMode="External"/><Relationship Id="rId_hyperlink_478" Type="http://schemas.openxmlformats.org/officeDocument/2006/relationships/hyperlink" Target="https://b2beez.ru/images/detailed/164/orig_j1ji-xc.jpg" TargetMode="External"/><Relationship Id="rId_hyperlink_479" Type="http://schemas.openxmlformats.org/officeDocument/2006/relationships/hyperlink" Target="https://b2beez.ru/images/detailed/164/orig_2z3p-0u.jpg" TargetMode="External"/><Relationship Id="rId_hyperlink_480" Type="http://schemas.openxmlformats.org/officeDocument/2006/relationships/hyperlink" Target="https://b2beez.ru/images/detailed/164/orig_422k-kl.jpg" TargetMode="External"/><Relationship Id="rId_hyperlink_481" Type="http://schemas.openxmlformats.org/officeDocument/2006/relationships/hyperlink" Target="https://b2beez.ru/images/detailed/164/orig_2oyo-7s.jpg" TargetMode="External"/><Relationship Id="rId_hyperlink_482" Type="http://schemas.openxmlformats.org/officeDocument/2006/relationships/hyperlink" Target="https://b2beez.ru/images/detailed/164/orig_hzx2-h2.jpg" TargetMode="External"/><Relationship Id="rId_hyperlink_483" Type="http://schemas.openxmlformats.org/officeDocument/2006/relationships/hyperlink" Target="https://b2beez.ru/images/detailed/164/6259140808.jpg" TargetMode="External"/><Relationship Id="rId_hyperlink_484" Type="http://schemas.openxmlformats.org/officeDocument/2006/relationships/hyperlink" Target="https://b2beez.ru/images/detailed/164/6286958858.jpg" TargetMode="External"/><Relationship Id="rId_hyperlink_485" Type="http://schemas.openxmlformats.org/officeDocument/2006/relationships/hyperlink" Target="https://b2beez.ru/images/detailed/164/7175041762.jpg" TargetMode="External"/><Relationship Id="rId_hyperlink_486" Type="http://schemas.openxmlformats.org/officeDocument/2006/relationships/hyperlink" Target="https://b2beez.ru/images/detailed/164/6259140880.jpg" TargetMode="External"/><Relationship Id="rId_hyperlink_487" Type="http://schemas.openxmlformats.org/officeDocument/2006/relationships/hyperlink" Target="https://b2beez.ru/images/detailed/164/orig_q475-ow.jpg" TargetMode="External"/><Relationship Id="rId_hyperlink_488" Type="http://schemas.openxmlformats.org/officeDocument/2006/relationships/hyperlink" Target="https://b2beez.ru/images/detailed/204/1_9bin-hl.jpg" TargetMode="External"/><Relationship Id="rId_hyperlink_489" Type="http://schemas.openxmlformats.org/officeDocument/2006/relationships/hyperlink" Target="https://b2beez.ru/images/detailed/164/6134794783.jpg" TargetMode="External"/><Relationship Id="rId_hyperlink_490" Type="http://schemas.openxmlformats.org/officeDocument/2006/relationships/hyperlink" Target="https://b2beez.ru/images/detailed/164/orig_hly8-6r.jpg" TargetMode="External"/><Relationship Id="rId_hyperlink_491" Type="http://schemas.openxmlformats.org/officeDocument/2006/relationships/hyperlink" Target="https://b2beez.ru/images/detailed/164/orig_f3lt-k6.jpg" TargetMode="External"/><Relationship Id="rId_hyperlink_492" Type="http://schemas.openxmlformats.org/officeDocument/2006/relationships/hyperlink" Target="https://b2beez.ru/images/detailed/164/6286958870.jpg" TargetMode="External"/><Relationship Id="rId_hyperlink_493" Type="http://schemas.openxmlformats.org/officeDocument/2006/relationships/hyperlink" Target="https://b2beez.ru/images/detailed/164/orig_3k8b-c4.jpg" TargetMode="External"/><Relationship Id="rId_hyperlink_494" Type="http://schemas.openxmlformats.org/officeDocument/2006/relationships/hyperlink" Target="https://b2beez.ru/images/detailed/164/orig_wj6h-1p.jpg" TargetMode="External"/><Relationship Id="rId_hyperlink_495" Type="http://schemas.openxmlformats.org/officeDocument/2006/relationships/hyperlink" Target="https://b2beez.ru/images/detailed/164/orig_0k7t-5e.jpg" TargetMode="External"/><Relationship Id="rId_hyperlink_496" Type="http://schemas.openxmlformats.org/officeDocument/2006/relationships/hyperlink" Target="https://b2beez.ru/images/detailed/164/orig_hgit-ie.jpg" TargetMode="External"/><Relationship Id="rId_hyperlink_497" Type="http://schemas.openxmlformats.org/officeDocument/2006/relationships/hyperlink" Target="https://b2beez.ru/images/detailed/164/orig_yfsc-g1.jpg" TargetMode="External"/><Relationship Id="rId_hyperlink_498" Type="http://schemas.openxmlformats.org/officeDocument/2006/relationships/hyperlink" Target="https://b2beez.ru/images/detailed/164/orig_dje8-fx.jpg" TargetMode="External"/><Relationship Id="rId_hyperlink_499" Type="http://schemas.openxmlformats.org/officeDocument/2006/relationships/hyperlink" Target="https://b2beez.ru/images/detailed/165/6141443248.jpg" TargetMode="External"/><Relationship Id="rId_hyperlink_500" Type="http://schemas.openxmlformats.org/officeDocument/2006/relationships/hyperlink" Target="https://b2beez.ru/images/detailed/165/6141443248_jf3c-nu.jpg" TargetMode="External"/><Relationship Id="rId_hyperlink_501" Type="http://schemas.openxmlformats.org/officeDocument/2006/relationships/hyperlink" Target="https://b2beez.ru/images/detailed/165/6141443248_ga3q-gd.jpg" TargetMode="External"/><Relationship Id="rId_hyperlink_502" Type="http://schemas.openxmlformats.org/officeDocument/2006/relationships/hyperlink" Target="https://b2beez.ru/images/detailed/204/1_29p9-nm.jpg" TargetMode="External"/><Relationship Id="rId_hyperlink_503" Type="http://schemas.openxmlformats.org/officeDocument/2006/relationships/hyperlink" Target="https://b2beez.ru/images/detailed/170/orig_wuvv-6d.jpg" TargetMode="External"/><Relationship Id="rId_hyperlink_504" Type="http://schemas.openxmlformats.org/officeDocument/2006/relationships/hyperlink" Target="https://b2beez.ru/images/detailed/170/orig.png" TargetMode="External"/><Relationship Id="rId_hyperlink_505" Type="http://schemas.openxmlformats.org/officeDocument/2006/relationships/hyperlink" Target="https://b2beez.ru/images/detailed/170/6141443096.jpg" TargetMode="External"/><Relationship Id="rId_hyperlink_506" Type="http://schemas.openxmlformats.org/officeDocument/2006/relationships/hyperlink" Target="https://b2beez.ru/images/detailed/170/7062957666.jpg" TargetMode="External"/><Relationship Id="rId_hyperlink_507" Type="http://schemas.openxmlformats.org/officeDocument/2006/relationships/hyperlink" Target="https://b2beez.ru/images/detailed/170/orig_n996-rh.jpg" TargetMode="External"/><Relationship Id="rId_hyperlink_508" Type="http://schemas.openxmlformats.org/officeDocument/2006/relationships/hyperlink" Target="https://b2beez.ru/images/detailed/172/6141443331.jpg" TargetMode="External"/><Relationship Id="rId_hyperlink_509" Type="http://schemas.openxmlformats.org/officeDocument/2006/relationships/hyperlink" Target="https://b2beez.ru/images/detailed/172/orig_ag70-o4.jpg" TargetMode="External"/><Relationship Id="rId_hyperlink_510" Type="http://schemas.openxmlformats.org/officeDocument/2006/relationships/hyperlink" Target="https://b2beez.ru/images/detailed/173/6141443613.jpg" TargetMode="External"/><Relationship Id="rId_hyperlink_511" Type="http://schemas.openxmlformats.org/officeDocument/2006/relationships/hyperlink" Target="https://b2beez.ru/images/detailed/173/orig_iz07-go.jpg" TargetMode="External"/><Relationship Id="rId_hyperlink_512" Type="http://schemas.openxmlformats.org/officeDocument/2006/relationships/hyperlink" Target="https://b2beez.ru/images/detailed/173/orig_ewke-kl.jpg" TargetMode="External"/><Relationship Id="rId_hyperlink_513" Type="http://schemas.openxmlformats.org/officeDocument/2006/relationships/hyperlink" Target="https://b2beez.ru/images/detailed/173/orig_pwlv-0z.jpg" TargetMode="External"/><Relationship Id="rId_hyperlink_514" Type="http://schemas.openxmlformats.org/officeDocument/2006/relationships/hyperlink" Target="https://b2beez.ru/images/detailed/173/orig_v4ec-jk.jpg" TargetMode="External"/><Relationship Id="rId_hyperlink_515" Type="http://schemas.openxmlformats.org/officeDocument/2006/relationships/hyperlink" Target="https://b2beez.ru/images/detailed/173/orig_b3fq-l0.jpg" TargetMode="External"/><Relationship Id="rId_hyperlink_516" Type="http://schemas.openxmlformats.org/officeDocument/2006/relationships/hyperlink" Target="https://b2beez.ru/images/detailed/173/6259140780.jpg" TargetMode="External"/><Relationship Id="rId_hyperlink_517" Type="http://schemas.openxmlformats.org/officeDocument/2006/relationships/hyperlink" Target="https://b2beez.ru/images/detailed/0/" TargetMode="External"/><Relationship Id="rId_hyperlink_518" Type="http://schemas.openxmlformats.org/officeDocument/2006/relationships/hyperlink" Target="https://b2beez.ru/images/detailed/174/orig_u9r2-nw.jpg" TargetMode="External"/><Relationship Id="rId_hyperlink_519" Type="http://schemas.openxmlformats.org/officeDocument/2006/relationships/hyperlink" Target="https://b2beez.ru/images/detailed/174/orig_58tn-i6.jpg" TargetMode="External"/><Relationship Id="rId_hyperlink_520" Type="http://schemas.openxmlformats.org/officeDocument/2006/relationships/hyperlink" Target="https://b2beez.ru/images/detailed/174/6141443404.jpg" TargetMode="External"/><Relationship Id="rId_hyperlink_521" Type="http://schemas.openxmlformats.org/officeDocument/2006/relationships/hyperlink" Target="https://b2beez.ru/images/detailed/175/orig_oc5o-1u.jpg" TargetMode="External"/><Relationship Id="rId_hyperlink_522" Type="http://schemas.openxmlformats.org/officeDocument/2006/relationships/hyperlink" Target="https://b2beez.ru/images/detailed/175/6286958888.jpg" TargetMode="External"/><Relationship Id="rId_hyperlink_523" Type="http://schemas.openxmlformats.org/officeDocument/2006/relationships/hyperlink" Target="https://b2beez.ru/images/detailed/175/6286958861.jpg" TargetMode="External"/><Relationship Id="rId_hyperlink_524" Type="http://schemas.openxmlformats.org/officeDocument/2006/relationships/hyperlink" Target="https://b2beez.ru/images/detailed/175/orig_ey3i-mw.jpg" TargetMode="External"/><Relationship Id="rId_hyperlink_525" Type="http://schemas.openxmlformats.org/officeDocument/2006/relationships/hyperlink" Target="https://b2beez.ru/images/detailed/175/orig_b2kb-mn.jpg" TargetMode="External"/><Relationship Id="rId_hyperlink_526" Type="http://schemas.openxmlformats.org/officeDocument/2006/relationships/hyperlink" Target="https://b2beez.ru/images/detailed/175/6287912769.jpg" TargetMode="External"/><Relationship Id="rId_hyperlink_527" Type="http://schemas.openxmlformats.org/officeDocument/2006/relationships/hyperlink" Target="https://b2beez.ru/images/detailed/175/orig_nfsj-5r.jpg" TargetMode="External"/><Relationship Id="rId_hyperlink_528" Type="http://schemas.openxmlformats.org/officeDocument/2006/relationships/hyperlink" Target="https://b2beez.ru/images/detailed/175/orig_vec5-8d.jpg" TargetMode="External"/><Relationship Id="rId_hyperlink_529" Type="http://schemas.openxmlformats.org/officeDocument/2006/relationships/hyperlink" Target="https://b2beez.ru/images/detailed/178/orig_tdgj-mh.jpg" TargetMode="External"/><Relationship Id="rId_hyperlink_530" Type="http://schemas.openxmlformats.org/officeDocument/2006/relationships/hyperlink" Target="https://b2beez.ru/images/detailed/178/orig_krq5-8c.jpg" TargetMode="External"/><Relationship Id="rId_hyperlink_531" Type="http://schemas.openxmlformats.org/officeDocument/2006/relationships/hyperlink" Target="https://b2beez.ru/images/detailed/178/6141583793.jpg" TargetMode="External"/><Relationship Id="rId_hyperlink_532" Type="http://schemas.openxmlformats.org/officeDocument/2006/relationships/hyperlink" Target="https://b2beez.ru/images/detailed/178/orig_5t28-e2.jpg" TargetMode="External"/><Relationship Id="rId_hyperlink_533" Type="http://schemas.openxmlformats.org/officeDocument/2006/relationships/hyperlink" Target="https://b2beez.ru/images/detailed/178/orig_969r-dt.jpg" TargetMode="External"/><Relationship Id="rId_hyperlink_534" Type="http://schemas.openxmlformats.org/officeDocument/2006/relationships/hyperlink" Target="https://b2beez.ru/images/detailed/178/orig_kb8t-cq.jpg" TargetMode="External"/><Relationship Id="rId_hyperlink_535" Type="http://schemas.openxmlformats.org/officeDocument/2006/relationships/hyperlink" Target="https://b2beez.ru/images/detailed/178/6141443263_fgzv-25.jpg" TargetMode="External"/><Relationship Id="rId_hyperlink_536" Type="http://schemas.openxmlformats.org/officeDocument/2006/relationships/hyperlink" Target="https://b2beez.ru/images/detailed/178/6141443263_firc-87.jpg" TargetMode="External"/><Relationship Id="rId_hyperlink_537" Type="http://schemas.openxmlformats.org/officeDocument/2006/relationships/hyperlink" Target="https://b2beez.ru/images/detailed/178/orig_qmj9-e8.jpg" TargetMode="External"/><Relationship Id="rId_hyperlink_538" Type="http://schemas.openxmlformats.org/officeDocument/2006/relationships/hyperlink" Target="https://b2beez.ru/images/detailed/179/orig_42ll-0a.jpg" TargetMode="External"/><Relationship Id="rId_hyperlink_539" Type="http://schemas.openxmlformats.org/officeDocument/2006/relationships/hyperlink" Target="https://b2beez.ru/images/detailed/179/6141443431.jpg" TargetMode="External"/><Relationship Id="rId_hyperlink_540" Type="http://schemas.openxmlformats.org/officeDocument/2006/relationships/hyperlink" Target="https://b2beez.ru/images/detailed/179/orig_brrq-qq.jpg" TargetMode="External"/><Relationship Id="rId_hyperlink_541" Type="http://schemas.openxmlformats.org/officeDocument/2006/relationships/hyperlink" Target="https://b2beez.ru/images/detailed/179/orig_pwf0-lg.jpg" TargetMode="External"/><Relationship Id="rId_hyperlink_542" Type="http://schemas.openxmlformats.org/officeDocument/2006/relationships/hyperlink" Target="https://b2beez.ru/images/detailed/179/orig_rg2j-ys.jpg" TargetMode="External"/><Relationship Id="rId_hyperlink_543" Type="http://schemas.openxmlformats.org/officeDocument/2006/relationships/hyperlink" Target="https://b2beez.ru/images/detailed/179/orig_msak-d9.jpg" TargetMode="External"/><Relationship Id="rId_hyperlink_544" Type="http://schemas.openxmlformats.org/officeDocument/2006/relationships/hyperlink" Target="https://b2beez.ru/images/detailed/179/6141443430.jpg" TargetMode="External"/><Relationship Id="rId_hyperlink_545" Type="http://schemas.openxmlformats.org/officeDocument/2006/relationships/hyperlink" Target="https://b2beez.ru/images/detailed/179/orig_f9j0-em.jpg" TargetMode="External"/><Relationship Id="rId_hyperlink_546" Type="http://schemas.openxmlformats.org/officeDocument/2006/relationships/hyperlink" Target="https://b2beez.ru/images/detailed/179/orig_ycjt-jw.jpg" TargetMode="External"/><Relationship Id="rId_hyperlink_547" Type="http://schemas.openxmlformats.org/officeDocument/2006/relationships/hyperlink" Target="https://b2beez.ru/images/detailed/179/orig_9iwt-hy.jpg" TargetMode="External"/><Relationship Id="rId_hyperlink_548" Type="http://schemas.openxmlformats.org/officeDocument/2006/relationships/hyperlink" Target="https://b2beez.ru/images/detailed/179/orig_so3b-j1.jpg" TargetMode="External"/><Relationship Id="rId_hyperlink_549" Type="http://schemas.openxmlformats.org/officeDocument/2006/relationships/hyperlink" Target="https://b2beez.ru/images/detailed/179/orig_3vmb-um.jpg" TargetMode="External"/><Relationship Id="rId_hyperlink_550" Type="http://schemas.openxmlformats.org/officeDocument/2006/relationships/hyperlink" Target="https://b2beez.ru/images/detailed/179/orig_gktm-6a.jpg" TargetMode="External"/><Relationship Id="rId_hyperlink_551" Type="http://schemas.openxmlformats.org/officeDocument/2006/relationships/hyperlink" Target="https://b2beez.ru/images/detailed/179/6141443147.jpg" TargetMode="External"/><Relationship Id="rId_hyperlink_552" Type="http://schemas.openxmlformats.org/officeDocument/2006/relationships/hyperlink" Target="https://b2beez.ru/images/detailed/179/orig_88jq-31.jpg" TargetMode="External"/><Relationship Id="rId_hyperlink_553" Type="http://schemas.openxmlformats.org/officeDocument/2006/relationships/hyperlink" Target="https://b2beez.ru/images/detailed/179/orig_4jo3-61.jpg" TargetMode="External"/><Relationship Id="rId_hyperlink_554" Type="http://schemas.openxmlformats.org/officeDocument/2006/relationships/hyperlink" Target="https://b2beez.ru/images/detailed/204/1_e6yx-50.jpg" TargetMode="External"/><Relationship Id="rId_hyperlink_555" Type="http://schemas.openxmlformats.org/officeDocument/2006/relationships/hyperlink" Target="https://b2beez.ru/images/detailed/179/6141443289.jpg" TargetMode="External"/><Relationship Id="rId_hyperlink_556" Type="http://schemas.openxmlformats.org/officeDocument/2006/relationships/hyperlink" Target="https://b2beez.ru/images/detailed/179/6141443384.jpg" TargetMode="External"/><Relationship Id="rId_hyperlink_557" Type="http://schemas.openxmlformats.org/officeDocument/2006/relationships/hyperlink" Target="https://b2beez.ru/images/detailed/179/6141443656.jpg" TargetMode="External"/><Relationship Id="rId_hyperlink_558" Type="http://schemas.openxmlformats.org/officeDocument/2006/relationships/hyperlink" Target="https://b2beez.ru/images/detailed/179/6152135873_8dn8-pq.jpg" TargetMode="External"/><Relationship Id="rId_hyperlink_559" Type="http://schemas.openxmlformats.org/officeDocument/2006/relationships/hyperlink" Target="https://b2beez.ru/images/detailed/179/orig_hdoj-u5.jpg" TargetMode="External"/><Relationship Id="rId_hyperlink_560" Type="http://schemas.openxmlformats.org/officeDocument/2006/relationships/hyperlink" Target="https://b2beez.ru/images/detailed/179/orig_wpdj-ai.jpg" TargetMode="External"/><Relationship Id="rId_hyperlink_561" Type="http://schemas.openxmlformats.org/officeDocument/2006/relationships/hyperlink" Target="https://b2beez.ru/images/detailed/179/orig_os8l-wb.jpg" TargetMode="External"/><Relationship Id="rId_hyperlink_562" Type="http://schemas.openxmlformats.org/officeDocument/2006/relationships/hyperlink" Target="https://b2beez.ru/images/detailed/179/orig_l7cg-he.jpg" TargetMode="External"/><Relationship Id="rId_hyperlink_563" Type="http://schemas.openxmlformats.org/officeDocument/2006/relationships/hyperlink" Target="https://b2beez.ru/images/detailed/179/orig_5xkk-q9.jpg" TargetMode="External"/><Relationship Id="rId_hyperlink_564" Type="http://schemas.openxmlformats.org/officeDocument/2006/relationships/hyperlink" Target="https://b2beez.ru/images/detailed/179/orig_xuf6-lp.jpg" TargetMode="External"/><Relationship Id="rId_hyperlink_565" Type="http://schemas.openxmlformats.org/officeDocument/2006/relationships/hyperlink" Target="https://b2beez.ru/images/detailed/179/orig_8vt4-gv.jpg" TargetMode="External"/><Relationship Id="rId_hyperlink_566" Type="http://schemas.openxmlformats.org/officeDocument/2006/relationships/hyperlink" Target="https://b2beez.ru/images/detailed/179/6259140780.jpg" TargetMode="External"/><Relationship Id="rId_hyperlink_567" Type="http://schemas.openxmlformats.org/officeDocument/2006/relationships/hyperlink" Target="https://b2beez.ru/images/detailed/179/6259140780_40cy-xk.jpg" TargetMode="External"/><Relationship Id="rId_hyperlink_568" Type="http://schemas.openxmlformats.org/officeDocument/2006/relationships/hyperlink" Target="https://b2beez.ru/images/detailed/179/6259140780_zmik-46.jpg" TargetMode="External"/><Relationship Id="rId_hyperlink_569" Type="http://schemas.openxmlformats.org/officeDocument/2006/relationships/hyperlink" Target="https://b2beez.ru/images/detailed/179/6259140780_25mc-zd.jpg" TargetMode="External"/><Relationship Id="rId_hyperlink_570" Type="http://schemas.openxmlformats.org/officeDocument/2006/relationships/hyperlink" Target="https://b2beez.ru/images/detailed/179/6259140780_sx8c-u3.jpg" TargetMode="External"/><Relationship Id="rId_hyperlink_571" Type="http://schemas.openxmlformats.org/officeDocument/2006/relationships/hyperlink" Target="https://b2beez.ru/images/detailed/179/6259140780_hczm-yy.jpg" TargetMode="External"/><Relationship Id="rId_hyperlink_572" Type="http://schemas.openxmlformats.org/officeDocument/2006/relationships/hyperlink" Target="https://b2beez.ru/images/detailed/179/6259140780_ckwk-h0.jpg" TargetMode="External"/><Relationship Id="rId_hyperlink_573" Type="http://schemas.openxmlformats.org/officeDocument/2006/relationships/hyperlink" Target="https://b2beez.ru/images/detailed/180/6152135917.jpg" TargetMode="External"/><Relationship Id="rId_hyperlink_574" Type="http://schemas.openxmlformats.org/officeDocument/2006/relationships/hyperlink" Target="https://b2beez.ru/images/detailed/180/orig_dpu4-eh.jpg" TargetMode="External"/><Relationship Id="rId_hyperlink_575" Type="http://schemas.openxmlformats.org/officeDocument/2006/relationships/hyperlink" Target="https://b2beez.ru/images/detailed/180/orig_rwez-ap.jpg" TargetMode="External"/><Relationship Id="rId_hyperlink_576" Type="http://schemas.openxmlformats.org/officeDocument/2006/relationships/hyperlink" Target="https://b2beez.ru/images/detailed/180/orig_dviw-0y.jpg" TargetMode="External"/><Relationship Id="rId_hyperlink_577" Type="http://schemas.openxmlformats.org/officeDocument/2006/relationships/hyperlink" Target="https://b2beez.ru/images/detailed/180/orig_owrl-fp.jpg" TargetMode="External"/><Relationship Id="rId_hyperlink_578" Type="http://schemas.openxmlformats.org/officeDocument/2006/relationships/hyperlink" Target="https://b2beez.ru/images/detailed/180/orig_knhy-v4.jpg" TargetMode="External"/><Relationship Id="rId_hyperlink_579" Type="http://schemas.openxmlformats.org/officeDocument/2006/relationships/hyperlink" Target="https://b2beez.ru/images/detailed/180/orig_cer2-k6.jpg" TargetMode="External"/><Relationship Id="rId_hyperlink_580" Type="http://schemas.openxmlformats.org/officeDocument/2006/relationships/hyperlink" Target="https://b2beez.ru/images/detailed/180/orig_skug-0k.jpg" TargetMode="External"/><Relationship Id="rId_hyperlink_581" Type="http://schemas.openxmlformats.org/officeDocument/2006/relationships/hyperlink" Target="https://b2beez.ru/images/detailed/180/orig_x05t-9o.jpg" TargetMode="External"/><Relationship Id="rId_hyperlink_582" Type="http://schemas.openxmlformats.org/officeDocument/2006/relationships/hyperlink" Target="https://b2beez.ru/images/detailed/204/S-3263-2_91b5-h8.jpg" TargetMode="External"/><Relationship Id="rId_hyperlink_583" Type="http://schemas.openxmlformats.org/officeDocument/2006/relationships/hyperlink" Target="https://b2beez.ru/images/detailed/180/orig_r9jq-rf.jpg" TargetMode="External"/><Relationship Id="rId_hyperlink_584" Type="http://schemas.openxmlformats.org/officeDocument/2006/relationships/hyperlink" Target="https://b2beez.ru/images/detailed/180/orig_u0qw-q7.jpg" TargetMode="External"/><Relationship Id="rId_hyperlink_585" Type="http://schemas.openxmlformats.org/officeDocument/2006/relationships/hyperlink" Target="https://b2beez.ru/images/detailed/180/6141443189.jpg" TargetMode="External"/><Relationship Id="rId_hyperlink_586" Type="http://schemas.openxmlformats.org/officeDocument/2006/relationships/hyperlink" Target="https://b2beez.ru/images/detailed/180/orig_0gin-id.jpg" TargetMode="External"/><Relationship Id="rId_hyperlink_587" Type="http://schemas.openxmlformats.org/officeDocument/2006/relationships/hyperlink" Target="https://b2beez.ru/images/detailed/180/orig_8tyq-co.jpg" TargetMode="External"/><Relationship Id="rId_hyperlink_588" Type="http://schemas.openxmlformats.org/officeDocument/2006/relationships/hyperlink" Target="https://b2beez.ru/images/detailed/180/6141443678.jpg" TargetMode="External"/><Relationship Id="rId_hyperlink_589" Type="http://schemas.openxmlformats.org/officeDocument/2006/relationships/hyperlink" Target="https://b2beez.ru/images/detailed/180/orig_poq9-ms.jpg" TargetMode="External"/><Relationship Id="rId_hyperlink_590" Type="http://schemas.openxmlformats.org/officeDocument/2006/relationships/hyperlink" Target="https://b2beez.ru/images/detailed/180/orig_l9xu-cq.jpg" TargetMode="External"/><Relationship Id="rId_hyperlink_591" Type="http://schemas.openxmlformats.org/officeDocument/2006/relationships/hyperlink" Target="https://b2beez.ru/images/detailed/180/6141443777.jpg" TargetMode="External"/><Relationship Id="rId_hyperlink_592" Type="http://schemas.openxmlformats.org/officeDocument/2006/relationships/hyperlink" Target="https://b2beez.ru/images/detailed/180/orig_yjqs-r4.jpg" TargetMode="External"/><Relationship Id="rId_hyperlink_593" Type="http://schemas.openxmlformats.org/officeDocument/2006/relationships/hyperlink" Target="https://b2beez.ru/images/detailed/180/orig_adzg-x2.jpg" TargetMode="External"/><Relationship Id="rId_hyperlink_594" Type="http://schemas.openxmlformats.org/officeDocument/2006/relationships/hyperlink" Target="https://b2beez.ru/images/detailed/180/orig_27gt-xw.jpg" TargetMode="External"/><Relationship Id="rId_hyperlink_595" Type="http://schemas.openxmlformats.org/officeDocument/2006/relationships/hyperlink" Target="https://b2beez.ru/images/detailed/180/orig_p255-sd.jpg" TargetMode="External"/><Relationship Id="rId_hyperlink_596" Type="http://schemas.openxmlformats.org/officeDocument/2006/relationships/hyperlink" Target="https://b2beez.ru/images/detailed/180/orig_7sro-li.jpg" TargetMode="External"/><Relationship Id="rId_hyperlink_597" Type="http://schemas.openxmlformats.org/officeDocument/2006/relationships/hyperlink" Target="https://b2beez.ru/images/detailed/180/6141443338.jpg" TargetMode="External"/><Relationship Id="rId_hyperlink_598" Type="http://schemas.openxmlformats.org/officeDocument/2006/relationships/hyperlink" Target="https://b2beez.ru/images/detailed/180/6141443440.jpg" TargetMode="External"/><Relationship Id="rId_hyperlink_599" Type="http://schemas.openxmlformats.org/officeDocument/2006/relationships/hyperlink" Target="https://b2beez.ru/images/detailed/180/orig_812w-3h.jpg" TargetMode="External"/><Relationship Id="rId_hyperlink_600" Type="http://schemas.openxmlformats.org/officeDocument/2006/relationships/hyperlink" Target="https://b2beez.ru/images/detailed/180/orig_cs4j-0j.jpg" TargetMode="External"/><Relationship Id="rId_hyperlink_601" Type="http://schemas.openxmlformats.org/officeDocument/2006/relationships/hyperlink" Target="https://b2beez.ru/images/detailed/180/orig_uqhq-he.jpg" TargetMode="External"/><Relationship Id="rId_hyperlink_602" Type="http://schemas.openxmlformats.org/officeDocument/2006/relationships/hyperlink" Target="https://b2beez.ru/images/detailed/180/orig_v77y-pq.jpg" TargetMode="External"/><Relationship Id="rId_hyperlink_603" Type="http://schemas.openxmlformats.org/officeDocument/2006/relationships/hyperlink" Target="https://b2beez.ru/images/detailed/180/orig_hvrt-qu.jpg" TargetMode="External"/><Relationship Id="rId_hyperlink_604" Type="http://schemas.openxmlformats.org/officeDocument/2006/relationships/hyperlink" Target="https://b2beez.ru/images/detailed/180/orig_w1og-8w.jpg" TargetMode="External"/><Relationship Id="rId_hyperlink_605" Type="http://schemas.openxmlformats.org/officeDocument/2006/relationships/hyperlink" Target="https://b2beez.ru/images/detailed/180/6141443288.jpg" TargetMode="External"/><Relationship Id="rId_hyperlink_606" Type="http://schemas.openxmlformats.org/officeDocument/2006/relationships/hyperlink" Target="https://b2beez.ru/images/detailed/180/orig_qy16-xi.jpg" TargetMode="External"/><Relationship Id="rId_hyperlink_607" Type="http://schemas.openxmlformats.org/officeDocument/2006/relationships/hyperlink" Target="https://b2beez.ru/images/detailed/181/6259140839.jpg" TargetMode="External"/><Relationship Id="rId_hyperlink_608" Type="http://schemas.openxmlformats.org/officeDocument/2006/relationships/hyperlink" Target="https://b2beez.ru/images/detailed/181/6259140830.jpg" TargetMode="External"/><Relationship Id="rId_hyperlink_609" Type="http://schemas.openxmlformats.org/officeDocument/2006/relationships/hyperlink" Target="https://b2beez.ru/images/detailed/181/6259140830_noqg-z8.jpg" TargetMode="External"/><Relationship Id="rId_hyperlink_610" Type="http://schemas.openxmlformats.org/officeDocument/2006/relationships/hyperlink" Target="https://b2beez.ru/images/detailed/181/orig_l0es-0u.jpg" TargetMode="External"/><Relationship Id="rId_hyperlink_611" Type="http://schemas.openxmlformats.org/officeDocument/2006/relationships/hyperlink" Target="https://b2beez.ru/images/detailed/181/6259140938.jpg" TargetMode="External"/><Relationship Id="rId_hyperlink_612" Type="http://schemas.openxmlformats.org/officeDocument/2006/relationships/hyperlink" Target="https://b2beez.ru/images/detailed/181/orig_s86p-te.jpg" TargetMode="External"/><Relationship Id="rId_hyperlink_613" Type="http://schemas.openxmlformats.org/officeDocument/2006/relationships/hyperlink" Target="https://b2beez.ru/images/detailed/181/orig_b2bt-8r.jpg" TargetMode="External"/><Relationship Id="rId_hyperlink_614" Type="http://schemas.openxmlformats.org/officeDocument/2006/relationships/hyperlink" Target="https://b2beez.ru/images/detailed/181/orig_f8os-21.jpg" TargetMode="External"/><Relationship Id="rId_hyperlink_615" Type="http://schemas.openxmlformats.org/officeDocument/2006/relationships/hyperlink" Target="https://b2beez.ru/images/detailed/181/6316443871.jpg" TargetMode="External"/><Relationship Id="rId_hyperlink_616" Type="http://schemas.openxmlformats.org/officeDocument/2006/relationships/hyperlink" Target="https://b2beez.ru/images/detailed/181/orig_nakt-wp.jpg" TargetMode="External"/><Relationship Id="rId_hyperlink_617" Type="http://schemas.openxmlformats.org/officeDocument/2006/relationships/hyperlink" Target="https://b2beez.ru/images/detailed/181/7061786956.jpg" TargetMode="External"/><Relationship Id="rId_hyperlink_618" Type="http://schemas.openxmlformats.org/officeDocument/2006/relationships/hyperlink" Target="https://b2beez.ru/images/detailed/181/orig_r5n7-f5.jpg" TargetMode="External"/><Relationship Id="rId_hyperlink_619" Type="http://schemas.openxmlformats.org/officeDocument/2006/relationships/hyperlink" Target="https://b2beez.ru/images/detailed/181/orig_ddnj-7i.jpg" TargetMode="External"/><Relationship Id="rId_hyperlink_620" Type="http://schemas.openxmlformats.org/officeDocument/2006/relationships/hyperlink" Target="https://b2beez.ru/images/detailed/181/orig_ot4d-xl.jpg" TargetMode="External"/><Relationship Id="rId_hyperlink_621" Type="http://schemas.openxmlformats.org/officeDocument/2006/relationships/hyperlink" Target="https://b2beez.ru/images/detailed/181/orig_bglb-ug.jpg" TargetMode="External"/><Relationship Id="rId_hyperlink_622" Type="http://schemas.openxmlformats.org/officeDocument/2006/relationships/hyperlink" Target="https://b2beez.ru/images/detailed/181/orig_o4ll-tj.jpg" TargetMode="External"/><Relationship Id="rId_hyperlink_623" Type="http://schemas.openxmlformats.org/officeDocument/2006/relationships/hyperlink" Target="https://b2beez.ru/images/detailed/181/6286958905.jpg" TargetMode="External"/><Relationship Id="rId_hyperlink_624" Type="http://schemas.openxmlformats.org/officeDocument/2006/relationships/hyperlink" Target="https://b2beez.ru/images/detailed/181/orig_8r1v-ml.jpg" TargetMode="External"/><Relationship Id="rId_hyperlink_625" Type="http://schemas.openxmlformats.org/officeDocument/2006/relationships/hyperlink" Target="https://b2beez.ru/images/detailed/181/orig_4u9w-x7.jpg" TargetMode="External"/><Relationship Id="rId_hyperlink_626" Type="http://schemas.openxmlformats.org/officeDocument/2006/relationships/hyperlink" Target="https://b2beez.ru/images/detailed/181/orig_58b6-5n.jpg" TargetMode="External"/><Relationship Id="rId_hyperlink_627" Type="http://schemas.openxmlformats.org/officeDocument/2006/relationships/hyperlink" Target="https://b2beez.ru/images/detailed/181/orig_he4t-rc.jpg" TargetMode="External"/><Relationship Id="rId_hyperlink_628" Type="http://schemas.openxmlformats.org/officeDocument/2006/relationships/hyperlink" Target="https://b2beez.ru/images/detailed/181/6141443583.jpg" TargetMode="External"/><Relationship Id="rId_hyperlink_629" Type="http://schemas.openxmlformats.org/officeDocument/2006/relationships/hyperlink" Target="https://b2beez.ru/images/detailed/181/orig_yiq5-ln.jpg" TargetMode="External"/><Relationship Id="rId_hyperlink_630" Type="http://schemas.openxmlformats.org/officeDocument/2006/relationships/hyperlink" Target="https://b2beez.ru/images/detailed/181/orig_y3iu-al.jpg" TargetMode="External"/><Relationship Id="rId_hyperlink_631" Type="http://schemas.openxmlformats.org/officeDocument/2006/relationships/hyperlink" Target="https://b2beez.ru/images/detailed/181/orig_wp6f-0w.jpg" TargetMode="External"/><Relationship Id="rId_hyperlink_632" Type="http://schemas.openxmlformats.org/officeDocument/2006/relationships/hyperlink" Target="https://b2beez.ru/images/detailed/181/orig_ksbf-rx.jpg" TargetMode="External"/><Relationship Id="rId_hyperlink_633" Type="http://schemas.openxmlformats.org/officeDocument/2006/relationships/hyperlink" Target="https://b2beez.ru/images/detailed/181/orig_zgya-fe.jpg" TargetMode="External"/><Relationship Id="rId_hyperlink_634" Type="http://schemas.openxmlformats.org/officeDocument/2006/relationships/hyperlink" Target="https://b2beez.ru/images/detailed/181/6129909010.jpg" TargetMode="External"/><Relationship Id="rId_hyperlink_635" Type="http://schemas.openxmlformats.org/officeDocument/2006/relationships/hyperlink" Target="https://b2beez.ru/images/detailed/181/orig_1y6c-ca.jpg" TargetMode="External"/><Relationship Id="rId_hyperlink_636" Type="http://schemas.openxmlformats.org/officeDocument/2006/relationships/hyperlink" Target="https://b2beez.ru/images/detailed/181/orig_1xuf-oh.jpg" TargetMode="External"/><Relationship Id="rId_hyperlink_637" Type="http://schemas.openxmlformats.org/officeDocument/2006/relationships/hyperlink" Target="https://b2beez.ru/images/detailed/183/orig_8mx1-7i.jpg" TargetMode="External"/><Relationship Id="rId_hyperlink_638" Type="http://schemas.openxmlformats.org/officeDocument/2006/relationships/hyperlink" Target="https://b2beez.ru/images/detailed/0/" TargetMode="External"/><Relationship Id="rId_hyperlink_639" Type="http://schemas.openxmlformats.org/officeDocument/2006/relationships/hyperlink" Target="https://b2beez.ru/images/detailed/183/6152830442.jpg" TargetMode="External"/><Relationship Id="rId_hyperlink_640" Type="http://schemas.openxmlformats.org/officeDocument/2006/relationships/hyperlink" Target="https://b2beez.ru/images/detailed/183/orig_lm6z-rp.jpg" TargetMode="External"/><Relationship Id="rId_hyperlink_641" Type="http://schemas.openxmlformats.org/officeDocument/2006/relationships/hyperlink" Target="https://b2beez.ru/images/detailed/183/orig_0wqe-ge.jpg" TargetMode="External"/><Relationship Id="rId_hyperlink_642" Type="http://schemas.openxmlformats.org/officeDocument/2006/relationships/hyperlink" Target="https://b2beez.ru/images/detailed/183/orig_pkwb-7w.jpg" TargetMode="External"/><Relationship Id="rId_hyperlink_643" Type="http://schemas.openxmlformats.org/officeDocument/2006/relationships/hyperlink" Target="https://b2beez.ru/images/detailed/183/orig_5kgn-yl.jpg" TargetMode="External"/><Relationship Id="rId_hyperlink_644" Type="http://schemas.openxmlformats.org/officeDocument/2006/relationships/hyperlink" Target="https://b2beez.ru/images/detailed/184/orig.jpg" TargetMode="External"/><Relationship Id="rId_hyperlink_645" Type="http://schemas.openxmlformats.org/officeDocument/2006/relationships/hyperlink" Target="https://b2beez.ru/images/detailed/184/orig_hzl6-a3.jpg" TargetMode="External"/><Relationship Id="rId_hyperlink_646" Type="http://schemas.openxmlformats.org/officeDocument/2006/relationships/hyperlink" Target="https://b2beez.ru/images/detailed/184/orig_esu4-oe.jpg" TargetMode="External"/><Relationship Id="rId_hyperlink_647" Type="http://schemas.openxmlformats.org/officeDocument/2006/relationships/hyperlink" Target="https://b2beez.ru/images/detailed/184/6259144516.jpg" TargetMode="External"/><Relationship Id="rId_hyperlink_648" Type="http://schemas.openxmlformats.org/officeDocument/2006/relationships/hyperlink" Target="https://b2beez.ru/images/detailed/184/orig_6mvw-cx.jpg" TargetMode="External"/><Relationship Id="rId_hyperlink_649" Type="http://schemas.openxmlformats.org/officeDocument/2006/relationships/hyperlink" Target="https://b2beez.ru/images/detailed/184/orig_tyaw-fa.jpg" TargetMode="External"/><Relationship Id="rId_hyperlink_650" Type="http://schemas.openxmlformats.org/officeDocument/2006/relationships/hyperlink" Target="https://b2beez.ru/images/detailed/184/orig_0p22-7f.jpg" TargetMode="External"/><Relationship Id="rId_hyperlink_651" Type="http://schemas.openxmlformats.org/officeDocument/2006/relationships/hyperlink" Target="https://b2beez.ru/images/detailed/184/orig_rqof-mt.jpg" TargetMode="External"/><Relationship Id="rId_hyperlink_652" Type="http://schemas.openxmlformats.org/officeDocument/2006/relationships/hyperlink" Target="https://b2beez.ru/images/detailed/184/orig_y309-qe.jpg" TargetMode="External"/><Relationship Id="rId_hyperlink_653" Type="http://schemas.openxmlformats.org/officeDocument/2006/relationships/hyperlink" Target="https://b2beez.ru/images/detailed/184/orig_boub-ke.jpg" TargetMode="External"/><Relationship Id="rId_hyperlink_654" Type="http://schemas.openxmlformats.org/officeDocument/2006/relationships/hyperlink" Target="https://b2beez.ru/images/detailed/184/orig_eqxy-5r.jpg" TargetMode="External"/><Relationship Id="rId_hyperlink_655" Type="http://schemas.openxmlformats.org/officeDocument/2006/relationships/hyperlink" Target="https://b2beez.ru/images/detailed/184/orig_jc6v-m5.jpg" TargetMode="External"/><Relationship Id="rId_hyperlink_656" Type="http://schemas.openxmlformats.org/officeDocument/2006/relationships/hyperlink" Target="https://b2beez.ru/images/detailed/184/orig_bgq6-pn.jpg" TargetMode="External"/><Relationship Id="rId_hyperlink_657" Type="http://schemas.openxmlformats.org/officeDocument/2006/relationships/hyperlink" Target="https://b2beez.ru/images/detailed/184/orig_8k3n-zd.jpg" TargetMode="External"/><Relationship Id="rId_hyperlink_658" Type="http://schemas.openxmlformats.org/officeDocument/2006/relationships/hyperlink" Target="https://b2beez.ru/images/detailed/184/orig_ft6a-sq.jpg" TargetMode="External"/><Relationship Id="rId_hyperlink_659" Type="http://schemas.openxmlformats.org/officeDocument/2006/relationships/hyperlink" Target="https://b2beez.ru/images/detailed/184/orig_ilvg-4x.jpg" TargetMode="External"/><Relationship Id="rId_hyperlink_660" Type="http://schemas.openxmlformats.org/officeDocument/2006/relationships/hyperlink" Target="https://b2beez.ru/images/detailed/184/orig_e3ft-ih.jpg" TargetMode="External"/><Relationship Id="rId_hyperlink_661" Type="http://schemas.openxmlformats.org/officeDocument/2006/relationships/hyperlink" Target="https://b2beez.ru/images/detailed/184/orig_j1zc-ti.jpg" TargetMode="External"/><Relationship Id="rId_hyperlink_662" Type="http://schemas.openxmlformats.org/officeDocument/2006/relationships/hyperlink" Target="https://b2beez.ru/images/detailed/184/orig_g2lo-la.jpg" TargetMode="External"/><Relationship Id="rId_hyperlink_663" Type="http://schemas.openxmlformats.org/officeDocument/2006/relationships/hyperlink" Target="https://b2beez.ru/images/detailed/184/6259144507.jpg" TargetMode="External"/><Relationship Id="rId_hyperlink_664" Type="http://schemas.openxmlformats.org/officeDocument/2006/relationships/hyperlink" Target="https://b2beez.ru/images/detailed/184/orig_6208-4k.jpg" TargetMode="External"/><Relationship Id="rId_hyperlink_665" Type="http://schemas.openxmlformats.org/officeDocument/2006/relationships/hyperlink" Target="https://b2beez.ru/images/detailed/184/orig_f3fd-jm.jpg" TargetMode="External"/><Relationship Id="rId_hyperlink_666" Type="http://schemas.openxmlformats.org/officeDocument/2006/relationships/hyperlink" Target="https://b2beez.ru/images/detailed/184/orig_hrm3-jq.jpg" TargetMode="External"/><Relationship Id="rId_hyperlink_667" Type="http://schemas.openxmlformats.org/officeDocument/2006/relationships/hyperlink" Target="https://b2beez.ru/images/detailed/184/orig_vypo-pi.jpg" TargetMode="External"/><Relationship Id="rId_hyperlink_668" Type="http://schemas.openxmlformats.org/officeDocument/2006/relationships/hyperlink" Target="https://b2beez.ru/images/detailed/184/orig_8t4z-n1.jpg" TargetMode="External"/><Relationship Id="rId_hyperlink_669" Type="http://schemas.openxmlformats.org/officeDocument/2006/relationships/hyperlink" Target="https://b2beez.ru/images/detailed/184/orig_9r97-1v.jpg" TargetMode="External"/><Relationship Id="rId_hyperlink_670" Type="http://schemas.openxmlformats.org/officeDocument/2006/relationships/hyperlink" Target="https://b2beez.ru/images/detailed/184/orig_ni6r-c9.jpg" TargetMode="External"/><Relationship Id="rId_hyperlink_671" Type="http://schemas.openxmlformats.org/officeDocument/2006/relationships/hyperlink" Target="https://b2beez.ru/images/detailed/184/orig_sw7g-uu.jpg" TargetMode="External"/><Relationship Id="rId_hyperlink_672" Type="http://schemas.openxmlformats.org/officeDocument/2006/relationships/hyperlink" Target="https://b2beez.ru/images/detailed/184/orig_wmsv-8m.jpg" TargetMode="External"/><Relationship Id="rId_hyperlink_673" Type="http://schemas.openxmlformats.org/officeDocument/2006/relationships/hyperlink" Target="https://b2beez.ru/images/detailed/184/orig_i6sl-g8.jpg" TargetMode="External"/><Relationship Id="rId_hyperlink_674" Type="http://schemas.openxmlformats.org/officeDocument/2006/relationships/hyperlink" Target="https://b2beez.ru/images/detailed/184/orig_zqtp-m0.jpg" TargetMode="External"/><Relationship Id="rId_hyperlink_675" Type="http://schemas.openxmlformats.org/officeDocument/2006/relationships/hyperlink" Target="https://b2beez.ru/images/detailed/184/orig_j81n-dm.jpg" TargetMode="External"/><Relationship Id="rId_hyperlink_676" Type="http://schemas.openxmlformats.org/officeDocument/2006/relationships/hyperlink" Target="https://b2beez.ru/images/detailed/184/orig_zo7h-uq.jpg" TargetMode="External"/><Relationship Id="rId_hyperlink_677" Type="http://schemas.openxmlformats.org/officeDocument/2006/relationships/hyperlink" Target="https://b2beez.ru/images/detailed/184/orig_ad57-no.jpg" TargetMode="External"/><Relationship Id="rId_hyperlink_678" Type="http://schemas.openxmlformats.org/officeDocument/2006/relationships/hyperlink" Target="https://b2beez.ru/images/detailed/184/orig_em0y-1g.jpg" TargetMode="External"/><Relationship Id="rId_hyperlink_679" Type="http://schemas.openxmlformats.org/officeDocument/2006/relationships/hyperlink" Target="https://b2beez.ru/images/detailed/184/orig_lf3i-p5.jpg" TargetMode="External"/><Relationship Id="rId_hyperlink_680" Type="http://schemas.openxmlformats.org/officeDocument/2006/relationships/hyperlink" Target="https://b2beez.ru/images/detailed/184/orig_tnvh-me.jpg" TargetMode="External"/><Relationship Id="rId_hyperlink_681" Type="http://schemas.openxmlformats.org/officeDocument/2006/relationships/hyperlink" Target="https://b2beez.ru/images/detailed/184/orig_9v4q-6v.jpg" TargetMode="External"/><Relationship Id="rId_hyperlink_682" Type="http://schemas.openxmlformats.org/officeDocument/2006/relationships/hyperlink" Target="https://b2beez.ru/images/detailed/184/orig_18jw-2h.jpg" TargetMode="External"/><Relationship Id="rId_hyperlink_683" Type="http://schemas.openxmlformats.org/officeDocument/2006/relationships/hyperlink" Target="https://b2beez.ru/images/detailed/184/orig_q5ix-fd.jpg" TargetMode="External"/><Relationship Id="rId_hyperlink_684" Type="http://schemas.openxmlformats.org/officeDocument/2006/relationships/hyperlink" Target="https://b2beez.ru/images/detailed/184/orig_lgwi-cc.jpg" TargetMode="External"/><Relationship Id="rId_hyperlink_685" Type="http://schemas.openxmlformats.org/officeDocument/2006/relationships/hyperlink" Target="https://b2beez.ru/images/detailed/184/orig_uf0i-xr.jpg" TargetMode="External"/><Relationship Id="rId_hyperlink_686" Type="http://schemas.openxmlformats.org/officeDocument/2006/relationships/hyperlink" Target="https://b2beez.ru/images/detailed/184/orig_moo4-id.jpg" TargetMode="External"/><Relationship Id="rId_hyperlink_687" Type="http://schemas.openxmlformats.org/officeDocument/2006/relationships/hyperlink" Target="https://b2beez.ru/images/detailed/184/6141566385.jpg" TargetMode="External"/><Relationship Id="rId_hyperlink_688" Type="http://schemas.openxmlformats.org/officeDocument/2006/relationships/hyperlink" Target="https://b2beez.ru/images/detailed/184/orig_h0st-mp.jpg" TargetMode="External"/><Relationship Id="rId_hyperlink_689" Type="http://schemas.openxmlformats.org/officeDocument/2006/relationships/hyperlink" Target="https://b2beez.ru/images/detailed/204/C-484_nuvv-6r.jpg" TargetMode="External"/><Relationship Id="rId_hyperlink_690" Type="http://schemas.openxmlformats.org/officeDocument/2006/relationships/hyperlink" Target="https://b2beez.ru/images/detailed/156/orig_hcnp-o2.jpg" TargetMode="External"/><Relationship Id="rId_hyperlink_691" Type="http://schemas.openxmlformats.org/officeDocument/2006/relationships/hyperlink" Target="https://b2beez.ru/images/detailed/156/orig_iqqw-lo.jpg" TargetMode="External"/><Relationship Id="rId_hyperlink_692" Type="http://schemas.openxmlformats.org/officeDocument/2006/relationships/hyperlink" Target="https://b2beez.ru/images/detailed/156/6152135865.jpg" TargetMode="External"/><Relationship Id="rId_hyperlink_693" Type="http://schemas.openxmlformats.org/officeDocument/2006/relationships/hyperlink" Target="https://b2beez.ru/images/detailed/204/C-727.jpg" TargetMode="External"/><Relationship Id="rId_hyperlink_694" Type="http://schemas.openxmlformats.org/officeDocument/2006/relationships/hyperlink" Target="https://b2beez.ru/images/detailed/158/orig_hptv-o1.jpg" TargetMode="External"/><Relationship Id="rId_hyperlink_695" Type="http://schemas.openxmlformats.org/officeDocument/2006/relationships/hyperlink" Target="https://b2beez.ru/images/detailed/158/6259140758_b9yc-51.jpg" TargetMode="External"/><Relationship Id="rId_hyperlink_696" Type="http://schemas.openxmlformats.org/officeDocument/2006/relationships/hyperlink" Target="https://b2beez.ru/images/detailed/158/orig_himt-qu.jpg" TargetMode="External"/><Relationship Id="rId_hyperlink_697" Type="http://schemas.openxmlformats.org/officeDocument/2006/relationships/hyperlink" Target="https://b2beez.ru/images/detailed/158/6259140864.jpg" TargetMode="External"/><Relationship Id="rId_hyperlink_698" Type="http://schemas.openxmlformats.org/officeDocument/2006/relationships/hyperlink" Target="https://b2beez.ru/images/detailed/158/orig_rfzj-le.jpg" TargetMode="External"/><Relationship Id="rId_hyperlink_699" Type="http://schemas.openxmlformats.org/officeDocument/2006/relationships/hyperlink" Target="https://b2beez.ru/images/detailed/158/orig_l5hx-fq.jpg" TargetMode="External"/><Relationship Id="rId_hyperlink_700" Type="http://schemas.openxmlformats.org/officeDocument/2006/relationships/hyperlink" Target="https://b2beez.ru/images/detailed/158/orig_jd9o-6z.jpg" TargetMode="External"/><Relationship Id="rId_hyperlink_701" Type="http://schemas.openxmlformats.org/officeDocument/2006/relationships/hyperlink" Target="https://b2beez.ru/images/detailed/158/orig_67b6-5a.jpg" TargetMode="External"/><Relationship Id="rId_hyperlink_702" Type="http://schemas.openxmlformats.org/officeDocument/2006/relationships/hyperlink" Target="https://b2beez.ru/images/detailed/158/7062130103.jpg" TargetMode="External"/><Relationship Id="rId_hyperlink_703" Type="http://schemas.openxmlformats.org/officeDocument/2006/relationships/hyperlink" Target="https://b2beez.ru/images/detailed/159/6141443402.jpg" TargetMode="External"/><Relationship Id="rId_hyperlink_704" Type="http://schemas.openxmlformats.org/officeDocument/2006/relationships/hyperlink" Target="https://b2beez.ru/images/detailed/161/6259141004.jpg" TargetMode="External"/><Relationship Id="rId_hyperlink_705" Type="http://schemas.openxmlformats.org/officeDocument/2006/relationships/hyperlink" Target="https://b2beez.ru/images/detailed/161/orig_5g97-oe.jpg" TargetMode="External"/><Relationship Id="rId_hyperlink_706" Type="http://schemas.openxmlformats.org/officeDocument/2006/relationships/hyperlink" Target="https://b2beez.ru/images/detailed/161/orig_yv24-ve.jpg" TargetMode="External"/><Relationship Id="rId_hyperlink_707" Type="http://schemas.openxmlformats.org/officeDocument/2006/relationships/hyperlink" Target="https://b2beez.ru/images/detailed/161/orig_dcco-2e.jpg" TargetMode="External"/><Relationship Id="rId_hyperlink_708" Type="http://schemas.openxmlformats.org/officeDocument/2006/relationships/hyperlink" Target="https://b2beez.ru/images/detailed/161/orig_hude-h2.jpg" TargetMode="External"/><Relationship Id="rId_hyperlink_709" Type="http://schemas.openxmlformats.org/officeDocument/2006/relationships/hyperlink" Target="https://b2beez.ru/images/detailed/161/orig_e41j-2f.jpg" TargetMode="External"/><Relationship Id="rId_hyperlink_710" Type="http://schemas.openxmlformats.org/officeDocument/2006/relationships/hyperlink" Target="https://b2beez.ru/images/detailed/161/orig_2erk-ps.jpg" TargetMode="External"/><Relationship Id="rId_hyperlink_711" Type="http://schemas.openxmlformats.org/officeDocument/2006/relationships/hyperlink" Target="https://b2beez.ru/images/detailed/161/orig_iscw-0k.jpg" TargetMode="External"/><Relationship Id="rId_hyperlink_712" Type="http://schemas.openxmlformats.org/officeDocument/2006/relationships/hyperlink" Target="https://b2beez.ru/images/detailed/161/7099743088.jpg" TargetMode="External"/><Relationship Id="rId_hyperlink_713" Type="http://schemas.openxmlformats.org/officeDocument/2006/relationships/hyperlink" Target="https://b2beez.ru/images/detailed/204/G-2144-2_qxo3-u3.jpg" TargetMode="External"/><Relationship Id="rId_hyperlink_714" Type="http://schemas.openxmlformats.org/officeDocument/2006/relationships/hyperlink" Target="https://b2beez.ru/images/detailed/204/G-2421-2_zx8g-43.jpg" TargetMode="External"/><Relationship Id="rId_hyperlink_715" Type="http://schemas.openxmlformats.org/officeDocument/2006/relationships/hyperlink" Target="https://b2beez.ru/images/detailed/162/6141443360.jpg" TargetMode="External"/><Relationship Id="rId_hyperlink_716" Type="http://schemas.openxmlformats.org/officeDocument/2006/relationships/hyperlink" Target="https://b2beez.ru/images/detailed/162/orig_7ehq-9n.jpg" TargetMode="External"/><Relationship Id="rId_hyperlink_717" Type="http://schemas.openxmlformats.org/officeDocument/2006/relationships/hyperlink" Target="https://b2beez.ru/images/detailed/162/orig_9kr4-oq.jpg" TargetMode="External"/><Relationship Id="rId_hyperlink_718" Type="http://schemas.openxmlformats.org/officeDocument/2006/relationships/hyperlink" Target="https://b2beez.ru/images/detailed/162/6141443538.jpg" TargetMode="External"/><Relationship Id="rId_hyperlink_719" Type="http://schemas.openxmlformats.org/officeDocument/2006/relationships/hyperlink" Target="https://b2beez.ru/images/detailed/162/orig_y511-gg.jpg" TargetMode="External"/><Relationship Id="rId_hyperlink_720" Type="http://schemas.openxmlformats.org/officeDocument/2006/relationships/hyperlink" Target="https://b2beez.ru/images/detailed/162/orig_mrse-r7.jpg" TargetMode="External"/><Relationship Id="rId_hyperlink_721" Type="http://schemas.openxmlformats.org/officeDocument/2006/relationships/hyperlink" Target="https://b2beez.ru/images/detailed/162/6141443265.jpg" TargetMode="External"/><Relationship Id="rId_hyperlink_722" Type="http://schemas.openxmlformats.org/officeDocument/2006/relationships/hyperlink" Target="https://b2beez.ru/images/detailed/162/orig_7b0d-w8.jpg" TargetMode="External"/><Relationship Id="rId_hyperlink_723" Type="http://schemas.openxmlformats.org/officeDocument/2006/relationships/hyperlink" Target="https://b2beez.ru/images/detailed/162/6141443362.jpg" TargetMode="External"/><Relationship Id="rId_hyperlink_724" Type="http://schemas.openxmlformats.org/officeDocument/2006/relationships/hyperlink" Target="https://b2beez.ru/images/detailed/163/orig_zgl9-6g.jpg" TargetMode="External"/><Relationship Id="rId_hyperlink_725" Type="http://schemas.openxmlformats.org/officeDocument/2006/relationships/hyperlink" Target="https://b2beez.ru/images/detailed/163/orig_2iru-lx.jpg" TargetMode="External"/><Relationship Id="rId_hyperlink_726" Type="http://schemas.openxmlformats.org/officeDocument/2006/relationships/hyperlink" Target="https://b2beez.ru/images/detailed/163/orig_0kzf-pk.jpg" TargetMode="External"/><Relationship Id="rId_hyperlink_727" Type="http://schemas.openxmlformats.org/officeDocument/2006/relationships/hyperlink" Target="https://b2beez.ru/images/detailed/163/6259140763.jpg" TargetMode="External"/><Relationship Id="rId_hyperlink_728" Type="http://schemas.openxmlformats.org/officeDocument/2006/relationships/hyperlink" Target="https://b2beez.ru/images/detailed/163/6259141064.jpg" TargetMode="External"/><Relationship Id="rId_hyperlink_729" Type="http://schemas.openxmlformats.org/officeDocument/2006/relationships/hyperlink" Target="https://b2beez.ru/images/detailed/163/orig_gurc-i5.jpg" TargetMode="External"/><Relationship Id="rId_hyperlink_730" Type="http://schemas.openxmlformats.org/officeDocument/2006/relationships/hyperlink" Target="https://b2beez.ru/images/detailed/163/orig_qtf8-c2.jpg" TargetMode="External"/><Relationship Id="rId_hyperlink_731" Type="http://schemas.openxmlformats.org/officeDocument/2006/relationships/hyperlink" Target="https://b2beez.ru/images/detailed/163/orig_6q6m-tf.jpg" TargetMode="External"/><Relationship Id="rId_hyperlink_732" Type="http://schemas.openxmlformats.org/officeDocument/2006/relationships/hyperlink" Target="https://b2beez.ru/images/detailed/163/orig_csal-bg.jpg" TargetMode="External"/><Relationship Id="rId_hyperlink_733" Type="http://schemas.openxmlformats.org/officeDocument/2006/relationships/hyperlink" Target="https://b2beez.ru/images/detailed/163/orig_dkz3-7c.jpg" TargetMode="External"/><Relationship Id="rId_hyperlink_734" Type="http://schemas.openxmlformats.org/officeDocument/2006/relationships/hyperlink" Target="https://b2beez.ru/images/detailed/0/" TargetMode="External"/><Relationship Id="rId_hyperlink_735" Type="http://schemas.openxmlformats.org/officeDocument/2006/relationships/hyperlink" Target="https://b2beez.ru/images/detailed/163/6141443234.jpg" TargetMode="External"/><Relationship Id="rId_hyperlink_736" Type="http://schemas.openxmlformats.org/officeDocument/2006/relationships/hyperlink" Target="https://b2beez.ru/images/detailed/164/orig_1ak8-a3.jpg" TargetMode="External"/><Relationship Id="rId_hyperlink_737" Type="http://schemas.openxmlformats.org/officeDocument/2006/relationships/hyperlink" Target="https://b2beez.ru/images/detailed/164/orig_shb3-dp.jpg" TargetMode="External"/><Relationship Id="rId_hyperlink_738" Type="http://schemas.openxmlformats.org/officeDocument/2006/relationships/hyperlink" Target="https://b2beez.ru/images/detailed/164/orig_cwbg-ll.jpg" TargetMode="External"/><Relationship Id="rId_hyperlink_739" Type="http://schemas.openxmlformats.org/officeDocument/2006/relationships/hyperlink" Target="https://b2beez.ru/images/detailed/164/orig_9wyd-1f.jpg" TargetMode="External"/><Relationship Id="rId_hyperlink_740" Type="http://schemas.openxmlformats.org/officeDocument/2006/relationships/hyperlink" Target="https://b2beez.ru/images/detailed/164/6741730371.jpg" TargetMode="External"/><Relationship Id="rId_hyperlink_741" Type="http://schemas.openxmlformats.org/officeDocument/2006/relationships/hyperlink" Target="https://b2beez.ru/images/detailed/164/orig_1phx-at.jpg" TargetMode="External"/><Relationship Id="rId_hyperlink_742" Type="http://schemas.openxmlformats.org/officeDocument/2006/relationships/hyperlink" Target="https://b2beez.ru/images/detailed/164/6141443310_tvau-bv.jpg" TargetMode="External"/><Relationship Id="rId_hyperlink_743" Type="http://schemas.openxmlformats.org/officeDocument/2006/relationships/hyperlink" Target="https://b2beez.ru/images/detailed/164/orig_axwc-6o.jpg" TargetMode="External"/><Relationship Id="rId_hyperlink_744" Type="http://schemas.openxmlformats.org/officeDocument/2006/relationships/hyperlink" Target="https://b2beez.ru/images/detailed/164/orig_b8a7-vc.jpg" TargetMode="External"/><Relationship Id="rId_hyperlink_745" Type="http://schemas.openxmlformats.org/officeDocument/2006/relationships/hyperlink" Target="https://b2beez.ru/images/detailed/164/6770325767.jpg" TargetMode="External"/><Relationship Id="rId_hyperlink_746" Type="http://schemas.openxmlformats.org/officeDocument/2006/relationships/hyperlink" Target="https://b2beez.ru/images/detailed/204/1_fumo-rl.jpg" TargetMode="External"/><Relationship Id="rId_hyperlink_747" Type="http://schemas.openxmlformats.org/officeDocument/2006/relationships/hyperlink" Target="https://b2beez.ru/images/detailed/164/orig_r3i9-e6.jpg" TargetMode="External"/><Relationship Id="rId_hyperlink_748" Type="http://schemas.openxmlformats.org/officeDocument/2006/relationships/hyperlink" Target="https://b2beez.ru/images/detailed/164/orig_w82g-cx.jpg" TargetMode="External"/><Relationship Id="rId_hyperlink_749" Type="http://schemas.openxmlformats.org/officeDocument/2006/relationships/hyperlink" Target="https://b2beez.ru/images/detailed/164/orig_o1z4-92.jpg" TargetMode="External"/><Relationship Id="rId_hyperlink_750" Type="http://schemas.openxmlformats.org/officeDocument/2006/relationships/hyperlink" Target="https://b2beez.ru/images/detailed/164/6259140905.jpg" TargetMode="External"/><Relationship Id="rId_hyperlink_751" Type="http://schemas.openxmlformats.org/officeDocument/2006/relationships/hyperlink" Target="https://b2beez.ru/images/detailed/165/orig_zy21-d6.jpg" TargetMode="External"/><Relationship Id="rId_hyperlink_752" Type="http://schemas.openxmlformats.org/officeDocument/2006/relationships/hyperlink" Target="https://b2beez.ru/images/detailed/173/orig_yaif-kv.jpg" TargetMode="External"/><Relationship Id="rId_hyperlink_753" Type="http://schemas.openxmlformats.org/officeDocument/2006/relationships/hyperlink" Target="https://b2beez.ru/images/detailed/173/orig_lcq1-75.jpg" TargetMode="External"/><Relationship Id="rId_hyperlink_754" Type="http://schemas.openxmlformats.org/officeDocument/2006/relationships/hyperlink" Target="https://b2beez.ru/images/detailed/173/orig_mm05-u0.jpg" TargetMode="External"/><Relationship Id="rId_hyperlink_755" Type="http://schemas.openxmlformats.org/officeDocument/2006/relationships/hyperlink" Target="https://b2beez.ru/images/detailed/173/orig_5gbj-tg.jpg" TargetMode="External"/><Relationship Id="rId_hyperlink_756" Type="http://schemas.openxmlformats.org/officeDocument/2006/relationships/hyperlink" Target="https://b2beez.ru/images/detailed/174/orig_4veq-q9.jpg" TargetMode="External"/><Relationship Id="rId_hyperlink_757" Type="http://schemas.openxmlformats.org/officeDocument/2006/relationships/hyperlink" Target="https://b2beez.ru/images/detailed/174/orig_zzdp-cb.jpg" TargetMode="External"/><Relationship Id="rId_hyperlink_758" Type="http://schemas.openxmlformats.org/officeDocument/2006/relationships/hyperlink" Target="https://b2beez.ru/images/detailed/175/orig_eab8-dn.jpg" TargetMode="External"/><Relationship Id="rId_hyperlink_759" Type="http://schemas.openxmlformats.org/officeDocument/2006/relationships/hyperlink" Target="https://b2beez.ru/images/detailed/175/orig_iet7-ia.jpg" TargetMode="External"/><Relationship Id="rId_hyperlink_760" Type="http://schemas.openxmlformats.org/officeDocument/2006/relationships/hyperlink" Target="https://b2beez.ru/images/detailed/175/orig_j6q2-6z.jpg" TargetMode="External"/><Relationship Id="rId_hyperlink_761" Type="http://schemas.openxmlformats.org/officeDocument/2006/relationships/hyperlink" Target="https://b2beez.ru/images/detailed/175/orig_jk3m-63.jpg" TargetMode="External"/><Relationship Id="rId_hyperlink_762" Type="http://schemas.openxmlformats.org/officeDocument/2006/relationships/hyperlink" Target="https://b2beez.ru/images/detailed/175/orig_ybf8-u7.jpg" TargetMode="External"/><Relationship Id="rId_hyperlink_763" Type="http://schemas.openxmlformats.org/officeDocument/2006/relationships/hyperlink" Target="https://b2beez.ru/images/detailed/175/orig_pubg-4l.jpg" TargetMode="External"/><Relationship Id="rId_hyperlink_764" Type="http://schemas.openxmlformats.org/officeDocument/2006/relationships/hyperlink" Target="https://b2beez.ru/images/detailed/178/6417447510.jpg" TargetMode="External"/><Relationship Id="rId_hyperlink_765" Type="http://schemas.openxmlformats.org/officeDocument/2006/relationships/hyperlink" Target="https://b2beez.ru/images/detailed/178/orig_o5r0-n2.jpg" TargetMode="External"/><Relationship Id="rId_hyperlink_766" Type="http://schemas.openxmlformats.org/officeDocument/2006/relationships/hyperlink" Target="https://b2beez.ru/images/detailed/0/" TargetMode="External"/><Relationship Id="rId_hyperlink_767" Type="http://schemas.openxmlformats.org/officeDocument/2006/relationships/hyperlink" Target="https://b2beez.ru/images/detailed/178/6141443263.jpg" TargetMode="External"/><Relationship Id="rId_hyperlink_768" Type="http://schemas.openxmlformats.org/officeDocument/2006/relationships/hyperlink" Target="https://b2beez.ru/images/detailed/178/6141443263_re9v-n9.jpg" TargetMode="External"/><Relationship Id="rId_hyperlink_769" Type="http://schemas.openxmlformats.org/officeDocument/2006/relationships/hyperlink" Target="https://b2beez.ru/images/detailed/178/6141443085.jpg" TargetMode="External"/><Relationship Id="rId_hyperlink_770" Type="http://schemas.openxmlformats.org/officeDocument/2006/relationships/hyperlink" Target="https://b2beez.ru/images/detailed/179/orig_1ufx-0h.jpg" TargetMode="External"/><Relationship Id="rId_hyperlink_771" Type="http://schemas.openxmlformats.org/officeDocument/2006/relationships/hyperlink" Target="https://b2beez.ru/images/detailed/179/orig_01j6-8s.jpg" TargetMode="External"/><Relationship Id="rId_hyperlink_772" Type="http://schemas.openxmlformats.org/officeDocument/2006/relationships/hyperlink" Target="https://b2beez.ru/images/detailed/179/orig_4h9b-u2.jpg" TargetMode="External"/><Relationship Id="rId_hyperlink_773" Type="http://schemas.openxmlformats.org/officeDocument/2006/relationships/hyperlink" Target="https://b2beez.ru/images/detailed/179/orig_dqc9-kz.jpg" TargetMode="External"/><Relationship Id="rId_hyperlink_774" Type="http://schemas.openxmlformats.org/officeDocument/2006/relationships/hyperlink" Target="https://b2beez.ru/images/detailed/179/orig_6zw0-c5.jpg" TargetMode="External"/><Relationship Id="rId_hyperlink_775" Type="http://schemas.openxmlformats.org/officeDocument/2006/relationships/hyperlink" Target="https://b2beez.ru/images/detailed/179/orig_bgi7-31.jpg" TargetMode="External"/><Relationship Id="rId_hyperlink_776" Type="http://schemas.openxmlformats.org/officeDocument/2006/relationships/hyperlink" Target="https://b2beez.ru/images/detailed/179/6152135870.jpg" TargetMode="External"/><Relationship Id="rId_hyperlink_777" Type="http://schemas.openxmlformats.org/officeDocument/2006/relationships/hyperlink" Target="https://b2beez.ru/images/detailed/179/orig_mt3g-kr.jpg" TargetMode="External"/><Relationship Id="rId_hyperlink_778" Type="http://schemas.openxmlformats.org/officeDocument/2006/relationships/hyperlink" Target="https://b2beez.ru/images/detailed/179/orig_xx8l-nt.jpg" TargetMode="External"/><Relationship Id="rId_hyperlink_779" Type="http://schemas.openxmlformats.org/officeDocument/2006/relationships/hyperlink" Target="https://b2beez.ru/images/detailed/180/6152339283.jpg" TargetMode="External"/><Relationship Id="rId_hyperlink_780" Type="http://schemas.openxmlformats.org/officeDocument/2006/relationships/hyperlink" Target="https://b2beez.ru/images/detailed/204/S-3264.jpg" TargetMode="External"/><Relationship Id="rId_hyperlink_781" Type="http://schemas.openxmlformats.org/officeDocument/2006/relationships/hyperlink" Target="https://b2beez.ru/images/detailed/180/orig_2q29-yo.jpg" TargetMode="External"/><Relationship Id="rId_hyperlink_782" Type="http://schemas.openxmlformats.org/officeDocument/2006/relationships/hyperlink" Target="https://b2beez.ru/images/detailed/180/orig_y4lo-dq.jpg" TargetMode="External"/><Relationship Id="rId_hyperlink_783" Type="http://schemas.openxmlformats.org/officeDocument/2006/relationships/hyperlink" Target="https://b2beez.ru/images/detailed/180/6141443423.jpg" TargetMode="External"/><Relationship Id="rId_hyperlink_784" Type="http://schemas.openxmlformats.org/officeDocument/2006/relationships/hyperlink" Target="https://b2beez.ru/images/detailed/180/6141443604_v4ca-u2.jpg" TargetMode="External"/><Relationship Id="rId_hyperlink_785" Type="http://schemas.openxmlformats.org/officeDocument/2006/relationships/hyperlink" Target="https://b2beez.ru/images/detailed/180/orig_1e0s-kj.jpg" TargetMode="External"/><Relationship Id="rId_hyperlink_786" Type="http://schemas.openxmlformats.org/officeDocument/2006/relationships/hyperlink" Target="https://b2beez.ru/images/detailed/180/orig_g9nm-1a.jpg" TargetMode="External"/><Relationship Id="rId_hyperlink_787" Type="http://schemas.openxmlformats.org/officeDocument/2006/relationships/hyperlink" Target="https://b2beez.ru/images/detailed/181/orig_xhn0-lz.jpg" TargetMode="External"/><Relationship Id="rId_hyperlink_788" Type="http://schemas.openxmlformats.org/officeDocument/2006/relationships/hyperlink" Target="https://b2beez.ru/images/detailed/181/orig_yxct-af.jpg" TargetMode="External"/><Relationship Id="rId_hyperlink_789" Type="http://schemas.openxmlformats.org/officeDocument/2006/relationships/hyperlink" Target="https://b2beez.ru/images/detailed/181/orig_xpjc-zv.jpg" TargetMode="External"/><Relationship Id="rId_hyperlink_790" Type="http://schemas.openxmlformats.org/officeDocument/2006/relationships/hyperlink" Target="https://b2beez.ru/images/detailed/181/6259140916.jpg" TargetMode="External"/><Relationship Id="rId_hyperlink_791" Type="http://schemas.openxmlformats.org/officeDocument/2006/relationships/hyperlink" Target="https://b2beez.ru/images/detailed/181/6259140967.jpg" TargetMode="External"/><Relationship Id="rId_hyperlink_792" Type="http://schemas.openxmlformats.org/officeDocument/2006/relationships/hyperlink" Target="https://b2beez.ru/images/detailed/181/6286958900.jpg" TargetMode="External"/><Relationship Id="rId_hyperlink_793" Type="http://schemas.openxmlformats.org/officeDocument/2006/relationships/hyperlink" Target="https://b2beez.ru/images/detailed/181/6259140980.jpg" TargetMode="External"/><Relationship Id="rId_hyperlink_794" Type="http://schemas.openxmlformats.org/officeDocument/2006/relationships/hyperlink" Target="https://b2beez.ru/images/detailed/183/orig_bmqz-eo.jpg" TargetMode="External"/><Relationship Id="rId_hyperlink_795" Type="http://schemas.openxmlformats.org/officeDocument/2006/relationships/hyperlink" Target="https://b2beez.ru/images/detailed/183/orig_tef0-ue.jpg" TargetMode="External"/><Relationship Id="rId_hyperlink_796" Type="http://schemas.openxmlformats.org/officeDocument/2006/relationships/hyperlink" Target="https://b2beez.ru/images/detailed/183/orig_0p0v-8o.jpg" TargetMode="External"/><Relationship Id="rId_hyperlink_797" Type="http://schemas.openxmlformats.org/officeDocument/2006/relationships/hyperlink" Target="https://b2beez.ru/images/detailed/183/orig_3j1n-p2.jpg" TargetMode="External"/><Relationship Id="rId_hyperlink_798" Type="http://schemas.openxmlformats.org/officeDocument/2006/relationships/hyperlink" Target="https://b2beez.ru/images/detailed/183/orig_f2kz-a7.jpg" TargetMode="External"/><Relationship Id="rId_hyperlink_799" Type="http://schemas.openxmlformats.org/officeDocument/2006/relationships/hyperlink" Target="https://b2beez.ru/images/detailed/183/orig_fdla-cv.jpg" TargetMode="External"/><Relationship Id="rId_hyperlink_800" Type="http://schemas.openxmlformats.org/officeDocument/2006/relationships/hyperlink" Target="https://b2beez.ru/images/detailed/183/orig_xuir-81.jpg" TargetMode="External"/><Relationship Id="rId_hyperlink_801" Type="http://schemas.openxmlformats.org/officeDocument/2006/relationships/hyperlink" Target="https://b2beez.ru/images/detailed/184/orig_0ig1-e9.jpg" TargetMode="External"/><Relationship Id="rId_hyperlink_802" Type="http://schemas.openxmlformats.org/officeDocument/2006/relationships/hyperlink" Target="https://b2beez.ru/images/detailed/184/orig_cnp3-5j.jpg" TargetMode="External"/><Relationship Id="rId_hyperlink_803" Type="http://schemas.openxmlformats.org/officeDocument/2006/relationships/hyperlink" Target="https://b2beez.ru/images/detailed/184/orig_775i-lj.jpg" TargetMode="External"/><Relationship Id="rId_hyperlink_804" Type="http://schemas.openxmlformats.org/officeDocument/2006/relationships/hyperlink" Target="https://b2beez.ru/images/detailed/184/orig_pn4u-wg.jpg" TargetMode="External"/><Relationship Id="rId_hyperlink_805" Type="http://schemas.openxmlformats.org/officeDocument/2006/relationships/hyperlink" Target="https://b2beez.ru/images/detailed/184/6141443224.jpg" TargetMode="External"/><Relationship Id="rId_hyperlink_806" Type="http://schemas.openxmlformats.org/officeDocument/2006/relationships/hyperlink" Target="https://b2beez.ru/images/detailed/184/orig_ygqw-rv.jpg" TargetMode="External"/><Relationship Id="rId_hyperlink_807" Type="http://schemas.openxmlformats.org/officeDocument/2006/relationships/hyperlink" Target="https://b2beez.ru/images/detailed/184/orig_znm3-kv.jpg" TargetMode="External"/><Relationship Id="rId_hyperlink_808" Type="http://schemas.openxmlformats.org/officeDocument/2006/relationships/hyperlink" Target="https://b2beez.ru/images/detailed/184/orig_laov-l4.jpg" TargetMode="External"/><Relationship Id="rId_hyperlink_809" Type="http://schemas.openxmlformats.org/officeDocument/2006/relationships/hyperlink" Target="https://b2beez.ru/images/detailed/179/6259140874.jpg" TargetMode="External"/><Relationship Id="rId_hyperlink_810" Type="http://schemas.openxmlformats.org/officeDocument/2006/relationships/hyperlink" Target="https://b2beez.ru/images/detailed/187/orig_5r8n-rg.jpg" TargetMode="External"/><Relationship Id="rId_hyperlink_811" Type="http://schemas.openxmlformats.org/officeDocument/2006/relationships/hyperlink" Target="https://b2beez.ru/images/detailed/162/orig_3tw4-gc.jpg" TargetMode="External"/><Relationship Id="rId_hyperlink_812" Type="http://schemas.openxmlformats.org/officeDocument/2006/relationships/hyperlink" Target="https://b2beez.ru/images/detailed/161/6141443101.jpg" TargetMode="External"/><Relationship Id="rId_hyperlink_813" Type="http://schemas.openxmlformats.org/officeDocument/2006/relationships/hyperlink" Target="https://b2beez.ru/images/detailed/162/6141443190.jpg" TargetMode="External"/><Relationship Id="rId_hyperlink_814" Type="http://schemas.openxmlformats.org/officeDocument/2006/relationships/hyperlink" Target="https://b2beez.ru/images/detailed/173/orig_e53c-pk.jpg" TargetMode="External"/><Relationship Id="rId_hyperlink_815" Type="http://schemas.openxmlformats.org/officeDocument/2006/relationships/hyperlink" Target="https://b2beez.ru/images/detailed/175/orig_r3q5-kr.jpg" TargetMode="External"/><Relationship Id="rId_hyperlink_816" Type="http://schemas.openxmlformats.org/officeDocument/2006/relationships/hyperlink" Target="https://b2beez.ru/images/detailed/175/orig_y3mf-qm.jpg" TargetMode="External"/><Relationship Id="rId_hyperlink_817" Type="http://schemas.openxmlformats.org/officeDocument/2006/relationships/hyperlink" Target="https://b2beez.ru/images/detailed/48/6157083867.jpg" TargetMode="External"/><Relationship Id="rId_hyperlink_818" Type="http://schemas.openxmlformats.org/officeDocument/2006/relationships/hyperlink" Target="https://b2beez.ru/images/detailed/175/orig_gn8s-au.jpg" TargetMode="External"/><Relationship Id="rId_hyperlink_819" Type="http://schemas.openxmlformats.org/officeDocument/2006/relationships/hyperlink" Target="https://b2beez.ru/images/detailed/160/orig_ngox-xw.jpg" TargetMode="External"/><Relationship Id="rId_hyperlink_820" Type="http://schemas.openxmlformats.org/officeDocument/2006/relationships/hyperlink" Target="https://b2beez.ru/images/detailed/160/orig_ul3n-1o.jpg" TargetMode="External"/><Relationship Id="rId_hyperlink_821" Type="http://schemas.openxmlformats.org/officeDocument/2006/relationships/hyperlink" Target="https://b2beez.ru/images/detailed/160/orig_rtt1-ea.jpg" TargetMode="External"/><Relationship Id="rId_hyperlink_822" Type="http://schemas.openxmlformats.org/officeDocument/2006/relationships/hyperlink" Target="https://b2beez.ru/images/detailed/47/orig_hy3w-7h.jpg" TargetMode="External"/><Relationship Id="rId_hyperlink_823" Type="http://schemas.openxmlformats.org/officeDocument/2006/relationships/hyperlink" Target="https://b2beez.ru/images/detailed/47/orig_4745-o1.jpg" TargetMode="External"/><Relationship Id="rId_hyperlink_824" Type="http://schemas.openxmlformats.org/officeDocument/2006/relationships/hyperlink" Target="https://b2beez.ru/images/detailed/47/orig_478t-c7.jpg" TargetMode="External"/><Relationship Id="rId_hyperlink_825" Type="http://schemas.openxmlformats.org/officeDocument/2006/relationships/hyperlink" Target="https://b2beez.ru/images/detailed/47/orig_6le1-6v.jpg" TargetMode="External"/><Relationship Id="rId_hyperlink_826" Type="http://schemas.openxmlformats.org/officeDocument/2006/relationships/hyperlink" Target="https://b2beez.ru/images/detailed/47/orig_vivj-q6.jpg" TargetMode="External"/><Relationship Id="rId_hyperlink_827" Type="http://schemas.openxmlformats.org/officeDocument/2006/relationships/hyperlink" Target="https://b2beez.ru/images/detailed/47/orig_xolf-jr.jpg" TargetMode="External"/><Relationship Id="rId_hyperlink_828" Type="http://schemas.openxmlformats.org/officeDocument/2006/relationships/hyperlink" Target="https://b2beez.ru/images/detailed/47/orig_1goy-jf.jpg" TargetMode="External"/><Relationship Id="rId_hyperlink_829" Type="http://schemas.openxmlformats.org/officeDocument/2006/relationships/hyperlink" Target="https://b2beez.ru/images/detailed/47/orig_ogbp-d0.jpg" TargetMode="External"/><Relationship Id="rId_hyperlink_830" Type="http://schemas.openxmlformats.org/officeDocument/2006/relationships/hyperlink" Target="https://b2beez.ru/images/detailed/47/orig_dkn1-e2.jpg" TargetMode="External"/><Relationship Id="rId_hyperlink_831" Type="http://schemas.openxmlformats.org/officeDocument/2006/relationships/hyperlink" Target="https://b2beez.ru/images/detailed/47/orig_oxjb-g1.jpg" TargetMode="External"/><Relationship Id="rId_hyperlink_832" Type="http://schemas.openxmlformats.org/officeDocument/2006/relationships/hyperlink" Target="https://b2beez.ru/images/detailed/161/orig_euhg-5o.jpg" TargetMode="External"/><Relationship Id="rId_hyperlink_833" Type="http://schemas.openxmlformats.org/officeDocument/2006/relationships/hyperlink" Target="https://b2beez.ru/images/detailed/156/orig_sefk-4h.jpg" TargetMode="External"/><Relationship Id="rId_hyperlink_834" Type="http://schemas.openxmlformats.org/officeDocument/2006/relationships/hyperlink" Target="https://b2beez.ru/images/detailed/164/orig_qt7l-2u.jpg" TargetMode="External"/><Relationship Id="rId_hyperlink_835" Type="http://schemas.openxmlformats.org/officeDocument/2006/relationships/hyperlink" Target="https://b2beez.ru/images/detailed/204/C-503.jpg" TargetMode="External"/><Relationship Id="rId_hyperlink_836" Type="http://schemas.openxmlformats.org/officeDocument/2006/relationships/hyperlink" Target="https://b2beez.ru/images/detailed/204/C-7171.jpg" TargetMode="External"/><Relationship Id="rId_hyperlink_837" Type="http://schemas.openxmlformats.org/officeDocument/2006/relationships/hyperlink" Target="https://b2beez.ru/images/detailed/187/7062119594.jpg" TargetMode="External"/><Relationship Id="rId_hyperlink_838" Type="http://schemas.openxmlformats.org/officeDocument/2006/relationships/hyperlink" Target="https://b2beez.ru/images/detailed/180/6259140755.jpg" TargetMode="External"/><Relationship Id="rId_hyperlink_839" Type="http://schemas.openxmlformats.org/officeDocument/2006/relationships/hyperlink" Target="https://b2beez.ru/images/detailed/181/orig_w4dr-p5.jpg" TargetMode="External"/><Relationship Id="rId_hyperlink_840" Type="http://schemas.openxmlformats.org/officeDocument/2006/relationships/hyperlink" Target="https://b2beez.ru/images/detailed/182/6141443438.jpg" TargetMode="External"/><Relationship Id="rId_hyperlink_841" Type="http://schemas.openxmlformats.org/officeDocument/2006/relationships/hyperlink" Target="https://b2beez.ru/images/detailed/170/orig_nchg-o1.jpg" TargetMode="External"/><Relationship Id="rId_hyperlink_842" Type="http://schemas.openxmlformats.org/officeDocument/2006/relationships/hyperlink" Target="https://b2beez.ru/images/detailed/177/orig_vu6m-15.jpg" TargetMode="External"/><Relationship Id="rId_hyperlink_843" Type="http://schemas.openxmlformats.org/officeDocument/2006/relationships/hyperlink" Target="https://b2beez.ru/images/detailed/171/6741723005.jpg" TargetMode="External"/><Relationship Id="rId_hyperlink_844" Type="http://schemas.openxmlformats.org/officeDocument/2006/relationships/hyperlink" Target="https://b2beez.ru/images/detailed/177/orig_tqrn-ku.jpg" TargetMode="External"/><Relationship Id="rId_hyperlink_845" Type="http://schemas.openxmlformats.org/officeDocument/2006/relationships/hyperlink" Target="https://b2beez.ru/images/detailed/177/orig_phpn-8x.jpg" TargetMode="External"/><Relationship Id="rId_hyperlink_846" Type="http://schemas.openxmlformats.org/officeDocument/2006/relationships/hyperlink" Target="https://b2beez.ru/images/detailed/177/orig_tkcb-ql.jpg" TargetMode="External"/><Relationship Id="rId_hyperlink_847" Type="http://schemas.openxmlformats.org/officeDocument/2006/relationships/hyperlink" Target="https://b2beez.ru/images/detailed/177/orig_ukrg-xc.jpg" TargetMode="External"/><Relationship Id="rId_hyperlink_848" Type="http://schemas.openxmlformats.org/officeDocument/2006/relationships/hyperlink" Target="https://b2beez.ru/images/detailed/177/orig_x193-u6.jpg" TargetMode="External"/><Relationship Id="rId_hyperlink_849" Type="http://schemas.openxmlformats.org/officeDocument/2006/relationships/hyperlink" Target="https://b2beez.ru/images/detailed/170/orig_238g-cd.jpg" TargetMode="External"/><Relationship Id="rId_hyperlink_850" Type="http://schemas.openxmlformats.org/officeDocument/2006/relationships/hyperlink" Target="https://b2beez.ru/images/detailed/204/Z-363_tbl5-uc.jpg" TargetMode="External"/><Relationship Id="rId_hyperlink_851" Type="http://schemas.openxmlformats.org/officeDocument/2006/relationships/hyperlink" Target="https://b2beez.ru/images/detailed/204/Z-362_tqqu-rv.jpg" TargetMode="External"/><Relationship Id="rId_hyperlink_852" Type="http://schemas.openxmlformats.org/officeDocument/2006/relationships/hyperlink" Target="https://b2beez.ru/images/detailed/204/Z-361-2_8l30-rb.jpg" TargetMode="External"/><Relationship Id="rId_hyperlink_853" Type="http://schemas.openxmlformats.org/officeDocument/2006/relationships/hyperlink" Target="https://b2beez.ru/images/detailed/170/orig_jo51-3w.jpg" TargetMode="External"/><Relationship Id="rId_hyperlink_854" Type="http://schemas.openxmlformats.org/officeDocument/2006/relationships/hyperlink" Target="https://b2beez.ru/images/detailed/159/6245210195.jpg" TargetMode="External"/><Relationship Id="rId_hyperlink_855" Type="http://schemas.openxmlformats.org/officeDocument/2006/relationships/hyperlink" Target="https://b2beez.ru/images/detailed/177/orig_cp8s-r4.jpg" TargetMode="External"/><Relationship Id="rId_hyperlink_856" Type="http://schemas.openxmlformats.org/officeDocument/2006/relationships/hyperlink" Target="https://b2beez.ru/images/detailed/168/orig_efod-5x.jpg" TargetMode="External"/><Relationship Id="rId_hyperlink_857" Type="http://schemas.openxmlformats.org/officeDocument/2006/relationships/hyperlink" Target="https://b2beez.ru/images/detailed/170/orig_zoim-1b.jpg" TargetMode="External"/><Relationship Id="rId_hyperlink_858" Type="http://schemas.openxmlformats.org/officeDocument/2006/relationships/hyperlink" Target="https://b2beez.ru/images/detailed/187/6423657702.jpg" TargetMode="External"/><Relationship Id="rId_hyperlink_859" Type="http://schemas.openxmlformats.org/officeDocument/2006/relationships/hyperlink" Target="https://b2beez.ru/images/detailed/158/orig_52qi-p1.jpg" TargetMode="External"/><Relationship Id="rId_hyperlink_860" Type="http://schemas.openxmlformats.org/officeDocument/2006/relationships/hyperlink" Target="https://b2beez.ru/images/detailed/176/orig_73cf-45.jpg" TargetMode="External"/><Relationship Id="rId_hyperlink_861" Type="http://schemas.openxmlformats.org/officeDocument/2006/relationships/hyperlink" Target="https://b2beez.ru/images/detailed/155/orig_lv5r-vi.jpg" TargetMode="External"/><Relationship Id="rId_hyperlink_862" Type="http://schemas.openxmlformats.org/officeDocument/2006/relationships/hyperlink" Target="https://b2beez.ru/images/detailed/174/orig_o9d3-ot.jpg" TargetMode="External"/><Relationship Id="rId_hyperlink_863" Type="http://schemas.openxmlformats.org/officeDocument/2006/relationships/hyperlink" Target="https://b2beez.ru/images/detailed/186/orig_8k2a-c4.jpg" TargetMode="External"/><Relationship Id="rId_hyperlink_864" Type="http://schemas.openxmlformats.org/officeDocument/2006/relationships/hyperlink" Target="https://b2beez.ru/images/detailed/174/orig.png" TargetMode="External"/><Relationship Id="rId_hyperlink_865" Type="http://schemas.openxmlformats.org/officeDocument/2006/relationships/hyperlink" Target="https://b2beez.ru/images/detailed/177/orig_39pw-3n.jpg" TargetMode="External"/><Relationship Id="rId_hyperlink_866" Type="http://schemas.openxmlformats.org/officeDocument/2006/relationships/hyperlink" Target="https://b2beez.ru/images/detailed/170/6246011363.jpg" TargetMode="External"/><Relationship Id="rId_hyperlink_867" Type="http://schemas.openxmlformats.org/officeDocument/2006/relationships/hyperlink" Target="https://b2beez.ru/images/detailed/177/orig_jg45-0p.jpg" TargetMode="External"/><Relationship Id="rId_hyperlink_868" Type="http://schemas.openxmlformats.org/officeDocument/2006/relationships/hyperlink" Target="https://b2beez.ru/images/detailed/179/6141534490_82ii-eg.jpg" TargetMode="External"/><Relationship Id="rId_hyperlink_869" Type="http://schemas.openxmlformats.org/officeDocument/2006/relationships/hyperlink" Target="https://b2beez.ru/images/detailed/0/" TargetMode="External"/><Relationship Id="rId_hyperlink_870" Type="http://schemas.openxmlformats.org/officeDocument/2006/relationships/hyperlink" Target="https://b2beez.ru/images/detailed/0/" TargetMode="External"/><Relationship Id="rId_hyperlink_871" Type="http://schemas.openxmlformats.org/officeDocument/2006/relationships/hyperlink" Target="https://b2beez.ru/images/detailed/171/orig_s3aj-rq.jpg" TargetMode="External"/><Relationship Id="rId_hyperlink_872" Type="http://schemas.openxmlformats.org/officeDocument/2006/relationships/hyperlink" Target="https://b2beez.ru/images/detailed/169/orig_jtxh-jo.jpg" TargetMode="External"/><Relationship Id="rId_hyperlink_873" Type="http://schemas.openxmlformats.org/officeDocument/2006/relationships/hyperlink" Target="https://b2beez.ru/images/detailed/169/orig_lu7t-52.jpg" TargetMode="External"/><Relationship Id="rId_hyperlink_874" Type="http://schemas.openxmlformats.org/officeDocument/2006/relationships/hyperlink" Target="https://b2beez.ru/images/detailed/169/orig_jo1h-r7.jpg" TargetMode="External"/><Relationship Id="rId_hyperlink_875" Type="http://schemas.openxmlformats.org/officeDocument/2006/relationships/hyperlink" Target="https://b2beez.ru/images/detailed/169/orig_0ki1-i6.jpg" TargetMode="External"/><Relationship Id="rId_hyperlink_876" Type="http://schemas.openxmlformats.org/officeDocument/2006/relationships/hyperlink" Target="https://b2beez.ru/images/detailed/177/orig_uc32-40.jpg" TargetMode="External"/><Relationship Id="rId_hyperlink_877" Type="http://schemas.openxmlformats.org/officeDocument/2006/relationships/hyperlink" Target="https://b2beez.ru/images/detailed/176/orig_8xvm-lv.jpg" TargetMode="External"/><Relationship Id="rId_hyperlink_878" Type="http://schemas.openxmlformats.org/officeDocument/2006/relationships/hyperlink" Target="https://b2beez.ru/images/detailed/48/6246011392.jpg" TargetMode="External"/><Relationship Id="rId_hyperlink_879" Type="http://schemas.openxmlformats.org/officeDocument/2006/relationships/hyperlink" Target="https://b2beez.ru/images/detailed/48/6246452661_nq7n-9f.jpg" TargetMode="External"/><Relationship Id="rId_hyperlink_880" Type="http://schemas.openxmlformats.org/officeDocument/2006/relationships/hyperlink" Target="https://b2beez.ru/images/detailed/48/orig_dco4-je.jpg" TargetMode="External"/><Relationship Id="rId_hyperlink_881" Type="http://schemas.openxmlformats.org/officeDocument/2006/relationships/hyperlink" Target="https://b2beez.ru/images/detailed/177/orig_vu22-rg.jpg" TargetMode="External"/><Relationship Id="rId_hyperlink_882" Type="http://schemas.openxmlformats.org/officeDocument/2006/relationships/hyperlink" Target="https://b2beez.ru/images/detailed/177/orig_awz4-m4.jpg" TargetMode="External"/><Relationship Id="rId_hyperlink_883" Type="http://schemas.openxmlformats.org/officeDocument/2006/relationships/hyperlink" Target="https://b2beez.ru/images/detailed/177/orig_r9ld-4w.jpg" TargetMode="External"/><Relationship Id="rId_hyperlink_884" Type="http://schemas.openxmlformats.org/officeDocument/2006/relationships/hyperlink" Target="https://b2beez.ru/images/detailed/177/orig_xfmk-xb.jpg" TargetMode="External"/><Relationship Id="rId_hyperlink_885" Type="http://schemas.openxmlformats.org/officeDocument/2006/relationships/hyperlink" Target="https://b2beez.ru/images/detailed/177/orig_i2vm-w6.jpg" TargetMode="External"/><Relationship Id="rId_hyperlink_886" Type="http://schemas.openxmlformats.org/officeDocument/2006/relationships/hyperlink" Target="https://b2beez.ru/images/detailed/177/orig_r74x-xa.jpg" TargetMode="External"/><Relationship Id="rId_hyperlink_887" Type="http://schemas.openxmlformats.org/officeDocument/2006/relationships/hyperlink" Target="https://b2beez.ru/images/detailed/158/orig_ftul-9l.jpg" TargetMode="External"/><Relationship Id="rId_hyperlink_888" Type="http://schemas.openxmlformats.org/officeDocument/2006/relationships/hyperlink" Target="https://b2beez.ru/images/detailed/204/Z-365-2.jpg" TargetMode="External"/><Relationship Id="rId_hyperlink_889" Type="http://schemas.openxmlformats.org/officeDocument/2006/relationships/hyperlink" Target="https://b2beez.ru/images/detailed/166/orig_iwdp-cw.jpg" TargetMode="External"/><Relationship Id="rId_hyperlink_890" Type="http://schemas.openxmlformats.org/officeDocument/2006/relationships/hyperlink" Target="https://b2beez.ru/images/detailed/172/orig_qcev-6y.jpg" TargetMode="External"/><Relationship Id="rId_hyperlink_891" Type="http://schemas.openxmlformats.org/officeDocument/2006/relationships/hyperlink" Target="https://b2beez.ru/images/detailed/180/orig_l3qc-ot.jpg" TargetMode="External"/><Relationship Id="rId_hyperlink_892" Type="http://schemas.openxmlformats.org/officeDocument/2006/relationships/hyperlink" Target="https://b2beez.ru/images/detailed/182/orig_q9c1-xw.jpg" TargetMode="External"/><Relationship Id="rId_hyperlink_893" Type="http://schemas.openxmlformats.org/officeDocument/2006/relationships/hyperlink" Target="https://b2beez.ru/images/detailed/154/orig_7m08-8o.jpg" TargetMode="External"/><Relationship Id="rId_hyperlink_894" Type="http://schemas.openxmlformats.org/officeDocument/2006/relationships/hyperlink" Target="https://b2beez.ru/images/detailed/155/orig_xohs-et.jpg" TargetMode="External"/><Relationship Id="rId_hyperlink_895" Type="http://schemas.openxmlformats.org/officeDocument/2006/relationships/hyperlink" Target="https://b2beez.ru/images/detailed/156/6245210250.jpg" TargetMode="External"/><Relationship Id="rId_hyperlink_896" Type="http://schemas.openxmlformats.org/officeDocument/2006/relationships/hyperlink" Target="https://b2beez.ru/images/detailed/157/orig_b7iu-qq.jpg" TargetMode="External"/><Relationship Id="rId_hyperlink_897" Type="http://schemas.openxmlformats.org/officeDocument/2006/relationships/hyperlink" Target="https://b2beez.ru/images/detailed/157/6741732615.jpg" TargetMode="External"/><Relationship Id="rId_hyperlink_898" Type="http://schemas.openxmlformats.org/officeDocument/2006/relationships/hyperlink" Target="https://b2beez.ru/images/detailed/157/6245209953.jpg" TargetMode="External"/><Relationship Id="rId_hyperlink_899" Type="http://schemas.openxmlformats.org/officeDocument/2006/relationships/hyperlink" Target="https://b2beez.ru/images/detailed/157/6248605361.jpg" TargetMode="External"/><Relationship Id="rId_hyperlink_900" Type="http://schemas.openxmlformats.org/officeDocument/2006/relationships/hyperlink" Target="https://b2beez.ru/images/detailed/158/orig_jwvl-l1.jpg" TargetMode="External"/><Relationship Id="rId_hyperlink_901" Type="http://schemas.openxmlformats.org/officeDocument/2006/relationships/hyperlink" Target="https://b2beez.ru/images/detailed/158/orig_35db-nc.jpg" TargetMode="External"/><Relationship Id="rId_hyperlink_902" Type="http://schemas.openxmlformats.org/officeDocument/2006/relationships/hyperlink" Target="https://b2beez.ru/images/detailed/158/orig_q8d7-eb.jpg" TargetMode="External"/><Relationship Id="rId_hyperlink_903" Type="http://schemas.openxmlformats.org/officeDocument/2006/relationships/hyperlink" Target="https://b2beez.ru/images/detailed/166/orig_d1u4-xs.jpg" TargetMode="External"/><Relationship Id="rId_hyperlink_904" Type="http://schemas.openxmlformats.org/officeDocument/2006/relationships/hyperlink" Target="https://b2beez.ru/images/detailed/166/orig_eqzv-9s.jpg" TargetMode="External"/><Relationship Id="rId_hyperlink_905" Type="http://schemas.openxmlformats.org/officeDocument/2006/relationships/hyperlink" Target="https://b2beez.ru/images/detailed/166/orig_r8xs-pp.jpg" TargetMode="External"/><Relationship Id="rId_hyperlink_906" Type="http://schemas.openxmlformats.org/officeDocument/2006/relationships/hyperlink" Target="https://b2beez.ru/images/detailed/166/orig_7xex-ht.jpg" TargetMode="External"/><Relationship Id="rId_hyperlink_907" Type="http://schemas.openxmlformats.org/officeDocument/2006/relationships/hyperlink" Target="https://b2beez.ru/images/detailed/166/6245210095.jpg" TargetMode="External"/><Relationship Id="rId_hyperlink_908" Type="http://schemas.openxmlformats.org/officeDocument/2006/relationships/hyperlink" Target="https://b2beez.ru/images/detailed/166/orig_1ryb-kg.jpg" TargetMode="External"/><Relationship Id="rId_hyperlink_909" Type="http://schemas.openxmlformats.org/officeDocument/2006/relationships/hyperlink" Target="https://b2beez.ru/images/detailed/166/orig_f5r0-6a.jpg" TargetMode="External"/><Relationship Id="rId_hyperlink_910" Type="http://schemas.openxmlformats.org/officeDocument/2006/relationships/hyperlink" Target="https://b2beez.ru/images/detailed/166/orig_xge8-yj.jpg" TargetMode="External"/><Relationship Id="rId_hyperlink_911" Type="http://schemas.openxmlformats.org/officeDocument/2006/relationships/hyperlink" Target="https://b2beez.ru/images/detailed/167/orig_ssf3-gs.jpg" TargetMode="External"/><Relationship Id="rId_hyperlink_912" Type="http://schemas.openxmlformats.org/officeDocument/2006/relationships/hyperlink" Target="https://b2beez.ru/images/detailed/167/6245210233.jpg" TargetMode="External"/><Relationship Id="rId_hyperlink_913" Type="http://schemas.openxmlformats.org/officeDocument/2006/relationships/hyperlink" Target="https://b2beez.ru/images/detailed/167/orig_8dfh-an.jpg" TargetMode="External"/><Relationship Id="rId_hyperlink_914" Type="http://schemas.openxmlformats.org/officeDocument/2006/relationships/hyperlink" Target="https://b2beez.ru/images/detailed/167/orig_azm8-di.jpg" TargetMode="External"/><Relationship Id="rId_hyperlink_915" Type="http://schemas.openxmlformats.org/officeDocument/2006/relationships/hyperlink" Target="https://b2beez.ru/images/detailed/167/orig_17ww-0m.jpg" TargetMode="External"/><Relationship Id="rId_hyperlink_916" Type="http://schemas.openxmlformats.org/officeDocument/2006/relationships/hyperlink" Target="https://b2beez.ru/images/detailed/167/orig_hybh-2i.jpg" TargetMode="External"/><Relationship Id="rId_hyperlink_917" Type="http://schemas.openxmlformats.org/officeDocument/2006/relationships/hyperlink" Target="https://b2beez.ru/images/detailed/167/6245209984.jpg" TargetMode="External"/><Relationship Id="rId_hyperlink_918" Type="http://schemas.openxmlformats.org/officeDocument/2006/relationships/hyperlink" Target="https://b2beez.ru/images/detailed/167/orig_wtoo-h1.jpg" TargetMode="External"/><Relationship Id="rId_hyperlink_919" Type="http://schemas.openxmlformats.org/officeDocument/2006/relationships/hyperlink" Target="https://b2beez.ru/images/detailed/167/orig_op27-zk.jpg" TargetMode="External"/><Relationship Id="rId_hyperlink_920" Type="http://schemas.openxmlformats.org/officeDocument/2006/relationships/hyperlink" Target="https://b2beez.ru/images/detailed/167/orig_30x9-li.jpg" TargetMode="External"/><Relationship Id="rId_hyperlink_921" Type="http://schemas.openxmlformats.org/officeDocument/2006/relationships/hyperlink" Target="https://b2beez.ru/images/detailed/168/7178313184.jpg" TargetMode="External"/><Relationship Id="rId_hyperlink_922" Type="http://schemas.openxmlformats.org/officeDocument/2006/relationships/hyperlink" Target="https://b2beez.ru/images/detailed/168/6245210073.jpg" TargetMode="External"/><Relationship Id="rId_hyperlink_923" Type="http://schemas.openxmlformats.org/officeDocument/2006/relationships/hyperlink" Target="https://b2beez.ru/images/detailed/168/orig_mcu2-0h.jpg" TargetMode="External"/><Relationship Id="rId_hyperlink_924" Type="http://schemas.openxmlformats.org/officeDocument/2006/relationships/hyperlink" Target="https://b2beez.ru/images/detailed/168/orig_lse2-sy.jpg" TargetMode="External"/><Relationship Id="rId_hyperlink_925" Type="http://schemas.openxmlformats.org/officeDocument/2006/relationships/hyperlink" Target="https://b2beez.ru/images/detailed/168/orig_rpjk-jn.jpg" TargetMode="External"/><Relationship Id="rId_hyperlink_926" Type="http://schemas.openxmlformats.org/officeDocument/2006/relationships/hyperlink" Target="https://b2beez.ru/images/detailed/168/6245209955.jpg" TargetMode="External"/><Relationship Id="rId_hyperlink_927" Type="http://schemas.openxmlformats.org/officeDocument/2006/relationships/hyperlink" Target="https://b2beez.ru/images/detailed/168/orig_en55-3j.jpg" TargetMode="External"/><Relationship Id="rId_hyperlink_928" Type="http://schemas.openxmlformats.org/officeDocument/2006/relationships/hyperlink" Target="https://b2beez.ru/images/detailed/168/orig_0m2e-4a.jpg" TargetMode="External"/><Relationship Id="rId_hyperlink_929" Type="http://schemas.openxmlformats.org/officeDocument/2006/relationships/hyperlink" Target="https://b2beez.ru/images/detailed/168/orig_1vdn-qz.jpg" TargetMode="External"/><Relationship Id="rId_hyperlink_930" Type="http://schemas.openxmlformats.org/officeDocument/2006/relationships/hyperlink" Target="https://b2beez.ru/images/detailed/168/orig_95h3-j1.jpg" TargetMode="External"/><Relationship Id="rId_hyperlink_931" Type="http://schemas.openxmlformats.org/officeDocument/2006/relationships/hyperlink" Target="https://b2beez.ru/images/detailed/168/orig_ittv-fm.jpg" TargetMode="External"/><Relationship Id="rId_hyperlink_932" Type="http://schemas.openxmlformats.org/officeDocument/2006/relationships/hyperlink" Target="https://b2beez.ru/images/detailed/170/6246481990.jpg" TargetMode="External"/><Relationship Id="rId_hyperlink_933" Type="http://schemas.openxmlformats.org/officeDocument/2006/relationships/hyperlink" Target="https://b2beez.ru/images/detailed/170/orig_k22c-ic.jpg" TargetMode="External"/><Relationship Id="rId_hyperlink_934" Type="http://schemas.openxmlformats.org/officeDocument/2006/relationships/hyperlink" Target="https://b2beez.ru/images/detailed/170/orig_1jvb-mf.jpg" TargetMode="External"/><Relationship Id="rId_hyperlink_935" Type="http://schemas.openxmlformats.org/officeDocument/2006/relationships/hyperlink" Target="https://b2beez.ru/images/detailed/170/orig_gp0a-mr.jpg" TargetMode="External"/><Relationship Id="rId_hyperlink_936" Type="http://schemas.openxmlformats.org/officeDocument/2006/relationships/hyperlink" Target="https://b2beez.ru/images/detailed/170/orig_gugr-94.jpg" TargetMode="External"/><Relationship Id="rId_hyperlink_937" Type="http://schemas.openxmlformats.org/officeDocument/2006/relationships/hyperlink" Target="https://b2beez.ru/images/detailed/170/orig_z3zh-vf.jpg" TargetMode="External"/><Relationship Id="rId_hyperlink_938" Type="http://schemas.openxmlformats.org/officeDocument/2006/relationships/hyperlink" Target="https://b2beez.ru/images/detailed/170/orig_deeg-a9.jpg" TargetMode="External"/><Relationship Id="rId_hyperlink_939" Type="http://schemas.openxmlformats.org/officeDocument/2006/relationships/hyperlink" Target="https://b2beez.ru/images/detailed/170/6245209976.jpg" TargetMode="External"/><Relationship Id="rId_hyperlink_940" Type="http://schemas.openxmlformats.org/officeDocument/2006/relationships/hyperlink" Target="https://b2beez.ru/images/detailed/170/orig_ktuv-uq.jpg" TargetMode="External"/><Relationship Id="rId_hyperlink_941" Type="http://schemas.openxmlformats.org/officeDocument/2006/relationships/hyperlink" Target="https://b2beez.ru/images/detailed/170/orig_1wfr-mj.jpg" TargetMode="External"/><Relationship Id="rId_hyperlink_942" Type="http://schemas.openxmlformats.org/officeDocument/2006/relationships/hyperlink" Target="https://b2beez.ru/images/detailed/170/orig_pzqk-h9.jpg" TargetMode="External"/><Relationship Id="rId_hyperlink_943" Type="http://schemas.openxmlformats.org/officeDocument/2006/relationships/hyperlink" Target="https://b2beez.ru/images/detailed/170/orig_l6lu-li.jpg" TargetMode="External"/><Relationship Id="rId_hyperlink_944" Type="http://schemas.openxmlformats.org/officeDocument/2006/relationships/hyperlink" Target="https://b2beez.ru/images/detailed/170/orig_ukgg-kh.jpg" TargetMode="External"/><Relationship Id="rId_hyperlink_945" Type="http://schemas.openxmlformats.org/officeDocument/2006/relationships/hyperlink" Target="https://b2beez.ru/images/detailed/170/orig_vo42-1z.jpg" TargetMode="External"/><Relationship Id="rId_hyperlink_946" Type="http://schemas.openxmlformats.org/officeDocument/2006/relationships/hyperlink" Target="https://b2beez.ru/images/detailed/170/orig_qusj-ln.jpg" TargetMode="External"/><Relationship Id="rId_hyperlink_947" Type="http://schemas.openxmlformats.org/officeDocument/2006/relationships/hyperlink" Target="https://b2beez.ru/images/detailed/170/6245210107.jpg" TargetMode="External"/><Relationship Id="rId_hyperlink_948" Type="http://schemas.openxmlformats.org/officeDocument/2006/relationships/hyperlink" Target="https://b2beez.ru/images/detailed/170/orig_d3f6-m8.jpg" TargetMode="External"/><Relationship Id="rId_hyperlink_949" Type="http://schemas.openxmlformats.org/officeDocument/2006/relationships/hyperlink" Target="https://b2beez.ru/images/detailed/170/orig_5gr2-q0.jpg" TargetMode="External"/><Relationship Id="rId_hyperlink_950" Type="http://schemas.openxmlformats.org/officeDocument/2006/relationships/hyperlink" Target="https://b2beez.ru/images/detailed/170/6245947954.jpg" TargetMode="External"/><Relationship Id="rId_hyperlink_951" Type="http://schemas.openxmlformats.org/officeDocument/2006/relationships/hyperlink" Target="https://b2beez.ru/images/detailed/170/6237615908.jpg" TargetMode="External"/><Relationship Id="rId_hyperlink_952" Type="http://schemas.openxmlformats.org/officeDocument/2006/relationships/hyperlink" Target="https://b2beez.ru/images/detailed/170/orig_gvwv-ul.jpg" TargetMode="External"/><Relationship Id="rId_hyperlink_953" Type="http://schemas.openxmlformats.org/officeDocument/2006/relationships/hyperlink" Target="https://b2beez.ru/images/detailed/170/orig_gxds-0g.jpg" TargetMode="External"/><Relationship Id="rId_hyperlink_954" Type="http://schemas.openxmlformats.org/officeDocument/2006/relationships/hyperlink" Target="https://b2beez.ru/images/detailed/170/orig_lgk6-km.jpg" TargetMode="External"/><Relationship Id="rId_hyperlink_955" Type="http://schemas.openxmlformats.org/officeDocument/2006/relationships/hyperlink" Target="https://b2beez.ru/images/detailed/170/orig_oo7m-us.jpg" TargetMode="External"/><Relationship Id="rId_hyperlink_956" Type="http://schemas.openxmlformats.org/officeDocument/2006/relationships/hyperlink" Target="https://b2beez.ru/images/detailed/170/6245938063.jpg" TargetMode="External"/><Relationship Id="rId_hyperlink_957" Type="http://schemas.openxmlformats.org/officeDocument/2006/relationships/hyperlink" Target="https://b2beez.ru/images/detailed/171/orig.jpg" TargetMode="External"/><Relationship Id="rId_hyperlink_958" Type="http://schemas.openxmlformats.org/officeDocument/2006/relationships/hyperlink" Target="https://b2beez.ru/images/detailed/171/orig_dr89-0h.jpg" TargetMode="External"/><Relationship Id="rId_hyperlink_959" Type="http://schemas.openxmlformats.org/officeDocument/2006/relationships/hyperlink" Target="https://b2beez.ru/images/detailed/171/6245209997.jpg" TargetMode="External"/><Relationship Id="rId_hyperlink_960" Type="http://schemas.openxmlformats.org/officeDocument/2006/relationships/hyperlink" Target="https://b2beez.ru/images/detailed/171/orig_np2x-pf.jpg" TargetMode="External"/><Relationship Id="rId_hyperlink_961" Type="http://schemas.openxmlformats.org/officeDocument/2006/relationships/hyperlink" Target="https://b2beez.ru/images/detailed/171/orig_k467-wk.jpg" TargetMode="External"/><Relationship Id="rId_hyperlink_962" Type="http://schemas.openxmlformats.org/officeDocument/2006/relationships/hyperlink" Target="https://b2beez.ru/images/detailed/171/orig_0oil-ul.jpg" TargetMode="External"/><Relationship Id="rId_hyperlink_963" Type="http://schemas.openxmlformats.org/officeDocument/2006/relationships/hyperlink" Target="https://b2beez.ru/images/detailed/171/orig_h0et-rv.jpg" TargetMode="External"/><Relationship Id="rId_hyperlink_964" Type="http://schemas.openxmlformats.org/officeDocument/2006/relationships/hyperlink" Target="https://b2beez.ru/images/detailed/171/6245210080.jpg" TargetMode="External"/><Relationship Id="rId_hyperlink_965" Type="http://schemas.openxmlformats.org/officeDocument/2006/relationships/hyperlink" Target="https://b2beez.ru/images/detailed/171/6456898647.jpg" TargetMode="External"/><Relationship Id="rId_hyperlink_966" Type="http://schemas.openxmlformats.org/officeDocument/2006/relationships/hyperlink" Target="https://b2beez.ru/images/detailed/171/6245210203.jpg" TargetMode="External"/><Relationship Id="rId_hyperlink_967" Type="http://schemas.openxmlformats.org/officeDocument/2006/relationships/hyperlink" Target="https://b2beez.ru/images/detailed/171/orig_zf8r-i8.jpg" TargetMode="External"/><Relationship Id="rId_hyperlink_968" Type="http://schemas.openxmlformats.org/officeDocument/2006/relationships/hyperlink" Target="https://b2beez.ru/images/detailed/171/orig_6p23-fk.jpg" TargetMode="External"/><Relationship Id="rId_hyperlink_969" Type="http://schemas.openxmlformats.org/officeDocument/2006/relationships/hyperlink" Target="https://b2beez.ru/images/detailed/171/orig_quv6-vy.jpg" TargetMode="External"/><Relationship Id="rId_hyperlink_970" Type="http://schemas.openxmlformats.org/officeDocument/2006/relationships/hyperlink" Target="https://b2beez.ru/images/detailed/171/6248477779.jpg" TargetMode="External"/><Relationship Id="rId_hyperlink_971" Type="http://schemas.openxmlformats.org/officeDocument/2006/relationships/hyperlink" Target="https://b2beez.ru/images/detailed/171/orig_95zb-s8.jpg" TargetMode="External"/><Relationship Id="rId_hyperlink_972" Type="http://schemas.openxmlformats.org/officeDocument/2006/relationships/hyperlink" Target="https://b2beez.ru/images/detailed/171/6245210120.jpg" TargetMode="External"/><Relationship Id="rId_hyperlink_973" Type="http://schemas.openxmlformats.org/officeDocument/2006/relationships/hyperlink" Target="https://b2beez.ru/images/detailed/171/orig_8o6d-qz.jpg" TargetMode="External"/><Relationship Id="rId_hyperlink_974" Type="http://schemas.openxmlformats.org/officeDocument/2006/relationships/hyperlink" Target="https://b2beez.ru/images/detailed/171/6245209961.jpg" TargetMode="External"/><Relationship Id="rId_hyperlink_975" Type="http://schemas.openxmlformats.org/officeDocument/2006/relationships/hyperlink" Target="https://b2beez.ru/images/detailed/171/orig_52m5-xo.jpg" TargetMode="External"/><Relationship Id="rId_hyperlink_976" Type="http://schemas.openxmlformats.org/officeDocument/2006/relationships/hyperlink" Target="https://b2beez.ru/images/detailed/171/6246011322.jpg" TargetMode="External"/><Relationship Id="rId_hyperlink_977" Type="http://schemas.openxmlformats.org/officeDocument/2006/relationships/hyperlink" Target="https://b2beez.ru/images/detailed/171/6246011428.jpg" TargetMode="External"/><Relationship Id="rId_hyperlink_978" Type="http://schemas.openxmlformats.org/officeDocument/2006/relationships/hyperlink" Target="https://b2beez.ru/images/detailed/171/6246011427.jpg" TargetMode="External"/><Relationship Id="rId_hyperlink_979" Type="http://schemas.openxmlformats.org/officeDocument/2006/relationships/hyperlink" Target="https://b2beez.ru/images/detailed/172/orig_9yx5-eq.jpg" TargetMode="External"/><Relationship Id="rId_hyperlink_980" Type="http://schemas.openxmlformats.org/officeDocument/2006/relationships/hyperlink" Target="https://b2beez.ru/images/detailed/173/orig_zqsu-vo.jpg" TargetMode="External"/><Relationship Id="rId_hyperlink_981" Type="http://schemas.openxmlformats.org/officeDocument/2006/relationships/hyperlink" Target="https://b2beez.ru/images/detailed/174/orig_7ien-ej.jpg" TargetMode="External"/><Relationship Id="rId_hyperlink_982" Type="http://schemas.openxmlformats.org/officeDocument/2006/relationships/hyperlink" Target="https://b2beez.ru/images/detailed/174/orig_o2xz-ia.jpg" TargetMode="External"/><Relationship Id="rId_hyperlink_983" Type="http://schemas.openxmlformats.org/officeDocument/2006/relationships/hyperlink" Target="https://b2beez.ru/images/detailed/174/orig_ocn1-ci.jpg" TargetMode="External"/><Relationship Id="rId_hyperlink_984" Type="http://schemas.openxmlformats.org/officeDocument/2006/relationships/hyperlink" Target="https://b2beez.ru/images/detailed/174/orig_yup6-2c.jpg" TargetMode="External"/><Relationship Id="rId_hyperlink_985" Type="http://schemas.openxmlformats.org/officeDocument/2006/relationships/hyperlink" Target="https://b2beez.ru/images/detailed/174/orig_olpr-u4.jpg" TargetMode="External"/><Relationship Id="rId_hyperlink_986" Type="http://schemas.openxmlformats.org/officeDocument/2006/relationships/hyperlink" Target="https://b2beez.ru/images/detailed/176/orig_ak9p-n2.jpg" TargetMode="External"/><Relationship Id="rId_hyperlink_987" Type="http://schemas.openxmlformats.org/officeDocument/2006/relationships/hyperlink" Target="https://b2beez.ru/images/detailed/176/orig_jjfp-9b.jpg" TargetMode="External"/><Relationship Id="rId_hyperlink_988" Type="http://schemas.openxmlformats.org/officeDocument/2006/relationships/hyperlink" Target="https://b2beez.ru/images/detailed/176/orig_73w0-mm.jpg" TargetMode="External"/><Relationship Id="rId_hyperlink_989" Type="http://schemas.openxmlformats.org/officeDocument/2006/relationships/hyperlink" Target="https://b2beez.ru/images/detailed/176/orig_zans-mw.jpg" TargetMode="External"/><Relationship Id="rId_hyperlink_990" Type="http://schemas.openxmlformats.org/officeDocument/2006/relationships/hyperlink" Target="https://b2beez.ru/images/detailed/176/orig_h07r-09.jpg" TargetMode="External"/><Relationship Id="rId_hyperlink_991" Type="http://schemas.openxmlformats.org/officeDocument/2006/relationships/hyperlink" Target="https://b2beez.ru/images/detailed/176/orig_p294-h5.jpg" TargetMode="External"/><Relationship Id="rId_hyperlink_992" Type="http://schemas.openxmlformats.org/officeDocument/2006/relationships/hyperlink" Target="https://b2beez.ru/images/detailed/176/orig_08fh-ug.jpg" TargetMode="External"/><Relationship Id="rId_hyperlink_993" Type="http://schemas.openxmlformats.org/officeDocument/2006/relationships/hyperlink" Target="https://b2beez.ru/images/detailed/176/orig_q1y7-om.jpg" TargetMode="External"/><Relationship Id="rId_hyperlink_994" Type="http://schemas.openxmlformats.org/officeDocument/2006/relationships/hyperlink" Target="https://b2beez.ru/images/detailed/176/orig_l6k2-8c.jpg" TargetMode="External"/><Relationship Id="rId_hyperlink_995" Type="http://schemas.openxmlformats.org/officeDocument/2006/relationships/hyperlink" Target="https://b2beez.ru/images/detailed/176/orig_k66w-g0.jpg" TargetMode="External"/><Relationship Id="rId_hyperlink_996" Type="http://schemas.openxmlformats.org/officeDocument/2006/relationships/hyperlink" Target="https://b2beez.ru/images/detailed/176/orig_0tw6-55.jpg" TargetMode="External"/><Relationship Id="rId_hyperlink_997" Type="http://schemas.openxmlformats.org/officeDocument/2006/relationships/hyperlink" Target="https://b2beez.ru/images/detailed/176/orig_zr0h-hs.jpg" TargetMode="External"/><Relationship Id="rId_hyperlink_998" Type="http://schemas.openxmlformats.org/officeDocument/2006/relationships/hyperlink" Target="https://b2beez.ru/images/detailed/176/orig_u9vd-pq.jpg" TargetMode="External"/><Relationship Id="rId_hyperlink_999" Type="http://schemas.openxmlformats.org/officeDocument/2006/relationships/hyperlink" Target="https://b2beez.ru/images/detailed/176/6245210126.jpg" TargetMode="External"/><Relationship Id="rId_hyperlink_1000" Type="http://schemas.openxmlformats.org/officeDocument/2006/relationships/hyperlink" Target="https://b2beez.ru/images/detailed/176/orig_xjh1-nv.jpg" TargetMode="External"/><Relationship Id="rId_hyperlink_1001" Type="http://schemas.openxmlformats.org/officeDocument/2006/relationships/hyperlink" Target="https://b2beez.ru/images/detailed/176/orig_zvk1-ec.jpg" TargetMode="External"/><Relationship Id="rId_hyperlink_1002" Type="http://schemas.openxmlformats.org/officeDocument/2006/relationships/hyperlink" Target="https://b2beez.ru/images/detailed/176/orig_4sgr-ri.jpg" TargetMode="External"/><Relationship Id="rId_hyperlink_1003" Type="http://schemas.openxmlformats.org/officeDocument/2006/relationships/hyperlink" Target="https://b2beez.ru/images/detailed/177/6246011451.jpg" TargetMode="External"/><Relationship Id="rId_hyperlink_1004" Type="http://schemas.openxmlformats.org/officeDocument/2006/relationships/hyperlink" Target="https://b2beez.ru/images/detailed/177/6246011315.jpg" TargetMode="External"/><Relationship Id="rId_hyperlink_1005" Type="http://schemas.openxmlformats.org/officeDocument/2006/relationships/hyperlink" Target="https://b2beez.ru/images/detailed/177/6246011316.jpg" TargetMode="External"/><Relationship Id="rId_hyperlink_1006" Type="http://schemas.openxmlformats.org/officeDocument/2006/relationships/hyperlink" Target="https://b2beez.ru/images/detailed/177/orig_p3cb-lm.jpg" TargetMode="External"/><Relationship Id="rId_hyperlink_1007" Type="http://schemas.openxmlformats.org/officeDocument/2006/relationships/hyperlink" Target="https://b2beez.ru/images/detailed/177/orig_ox32-uy.jpg" TargetMode="External"/><Relationship Id="rId_hyperlink_1008" Type="http://schemas.openxmlformats.org/officeDocument/2006/relationships/hyperlink" Target="https://b2beez.ru/images/detailed/177/orig_fdmh-65.jpg" TargetMode="External"/><Relationship Id="rId_hyperlink_1009" Type="http://schemas.openxmlformats.org/officeDocument/2006/relationships/hyperlink" Target="https://b2beez.ru/images/detailed/177/orig_1iwp-ha.jpg" TargetMode="External"/><Relationship Id="rId_hyperlink_1010" Type="http://schemas.openxmlformats.org/officeDocument/2006/relationships/hyperlink" Target="https://b2beez.ru/images/detailed/177/orig_12w6-b1.jpg" TargetMode="External"/><Relationship Id="rId_hyperlink_1011" Type="http://schemas.openxmlformats.org/officeDocument/2006/relationships/hyperlink" Target="https://b2beez.ru/images/detailed/177/orig_qeua-ov.jpg" TargetMode="External"/><Relationship Id="rId_hyperlink_1012" Type="http://schemas.openxmlformats.org/officeDocument/2006/relationships/hyperlink" Target="https://b2beez.ru/images/detailed/177/orig_b92d-ii.jpg" TargetMode="External"/><Relationship Id="rId_hyperlink_1013" Type="http://schemas.openxmlformats.org/officeDocument/2006/relationships/hyperlink" Target="https://b2beez.ru/images/detailed/177/orig_gyuq-j7.jpg" TargetMode="External"/><Relationship Id="rId_hyperlink_1014" Type="http://schemas.openxmlformats.org/officeDocument/2006/relationships/hyperlink" Target="https://b2beez.ru/images/detailed/177/orig_h6ks-m4.jpg" TargetMode="External"/><Relationship Id="rId_hyperlink_1015" Type="http://schemas.openxmlformats.org/officeDocument/2006/relationships/hyperlink" Target="https://b2beez.ru/images/detailed/177/orig_vmhz-ak.jpg" TargetMode="External"/><Relationship Id="rId_hyperlink_1016" Type="http://schemas.openxmlformats.org/officeDocument/2006/relationships/hyperlink" Target="https://b2beez.ru/images/detailed/177/orig_rbgd-nr.jpg" TargetMode="External"/><Relationship Id="rId_hyperlink_1017" Type="http://schemas.openxmlformats.org/officeDocument/2006/relationships/hyperlink" Target="https://b2beez.ru/images/detailed/177/orig_b4bn-i0.jpg" TargetMode="External"/><Relationship Id="rId_hyperlink_1018" Type="http://schemas.openxmlformats.org/officeDocument/2006/relationships/hyperlink" Target="https://b2beez.ru/images/detailed/177/orig_k38a-1g.jpg" TargetMode="External"/><Relationship Id="rId_hyperlink_1019" Type="http://schemas.openxmlformats.org/officeDocument/2006/relationships/hyperlink" Target="https://b2beez.ru/images/detailed/177/orig_av5r-9y.jpg" TargetMode="External"/><Relationship Id="rId_hyperlink_1020" Type="http://schemas.openxmlformats.org/officeDocument/2006/relationships/hyperlink" Target="https://b2beez.ru/images/detailed/177/orig_k2t4-4r.jpg" TargetMode="External"/><Relationship Id="rId_hyperlink_1021" Type="http://schemas.openxmlformats.org/officeDocument/2006/relationships/hyperlink" Target="https://b2beez.ru/images/detailed/177/orig_r5lw-lu.jpg" TargetMode="External"/><Relationship Id="rId_hyperlink_1022" Type="http://schemas.openxmlformats.org/officeDocument/2006/relationships/hyperlink" Target="https://b2beez.ru/images/detailed/177/orig_907q-t8.jpg" TargetMode="External"/><Relationship Id="rId_hyperlink_1023" Type="http://schemas.openxmlformats.org/officeDocument/2006/relationships/hyperlink" Target="https://b2beez.ru/images/detailed/177/orig_fvg1-79.jpg" TargetMode="External"/><Relationship Id="rId_hyperlink_1024" Type="http://schemas.openxmlformats.org/officeDocument/2006/relationships/hyperlink" Target="https://b2beez.ru/images/detailed/177/orig_7wc5-mv.jpg" TargetMode="External"/><Relationship Id="rId_hyperlink_1025" Type="http://schemas.openxmlformats.org/officeDocument/2006/relationships/hyperlink" Target="https://b2beez.ru/images/detailed/177/orig_juok-ue.jpg" TargetMode="External"/><Relationship Id="rId_hyperlink_1026" Type="http://schemas.openxmlformats.org/officeDocument/2006/relationships/hyperlink" Target="https://b2beez.ru/images/detailed/177/orig_ask0-jf.jpg" TargetMode="External"/><Relationship Id="rId_hyperlink_1027" Type="http://schemas.openxmlformats.org/officeDocument/2006/relationships/hyperlink" Target="https://b2beez.ru/images/detailed/177/orig_79ch-ht.jpg" TargetMode="External"/><Relationship Id="rId_hyperlink_1028" Type="http://schemas.openxmlformats.org/officeDocument/2006/relationships/hyperlink" Target="https://b2beez.ru/images/detailed/178/6245210141.jpg" TargetMode="External"/><Relationship Id="rId_hyperlink_1029" Type="http://schemas.openxmlformats.org/officeDocument/2006/relationships/hyperlink" Target="https://b2beez.ru/images/detailed/178/6248595784.jpg" TargetMode="External"/><Relationship Id="rId_hyperlink_1030" Type="http://schemas.openxmlformats.org/officeDocument/2006/relationships/hyperlink" Target="https://b2beez.ru/images/detailed/178/orig_a65k-lg.jpg" TargetMode="External"/><Relationship Id="rId_hyperlink_1031" Type="http://schemas.openxmlformats.org/officeDocument/2006/relationships/hyperlink" Target="https://b2beez.ru/images/detailed/178/orig_es01-y0.jpg" TargetMode="External"/><Relationship Id="rId_hyperlink_1032" Type="http://schemas.openxmlformats.org/officeDocument/2006/relationships/hyperlink" Target="https://b2beez.ru/images/detailed/178/orig_2pn9-35.jpg" TargetMode="External"/><Relationship Id="rId_hyperlink_1033" Type="http://schemas.openxmlformats.org/officeDocument/2006/relationships/hyperlink" Target="https://b2beez.ru/images/detailed/178/orig_gvy2-ir.jpg" TargetMode="External"/><Relationship Id="rId_hyperlink_1034" Type="http://schemas.openxmlformats.org/officeDocument/2006/relationships/hyperlink" Target="https://b2beez.ru/images/detailed/178/6246011341.jpg" TargetMode="External"/><Relationship Id="rId_hyperlink_1035" Type="http://schemas.openxmlformats.org/officeDocument/2006/relationships/hyperlink" Target="https://b2beez.ru/images/detailed/178/6245210245.jpg" TargetMode="External"/><Relationship Id="rId_hyperlink_1036" Type="http://schemas.openxmlformats.org/officeDocument/2006/relationships/hyperlink" Target="https://b2beez.ru/images/detailed/178/orig_rbgl-ow.jpg" TargetMode="External"/><Relationship Id="rId_hyperlink_1037" Type="http://schemas.openxmlformats.org/officeDocument/2006/relationships/hyperlink" Target="https://b2beez.ru/images/detailed/178/6245210129.jpg" TargetMode="External"/><Relationship Id="rId_hyperlink_1038" Type="http://schemas.openxmlformats.org/officeDocument/2006/relationships/hyperlink" Target="https://b2beez.ru/images/detailed/178/orig_th71-9m.jpg" TargetMode="External"/><Relationship Id="rId_hyperlink_1039" Type="http://schemas.openxmlformats.org/officeDocument/2006/relationships/hyperlink" Target="https://b2beez.ru/images/detailed/178/6245210256.jpg" TargetMode="External"/><Relationship Id="rId_hyperlink_1040" Type="http://schemas.openxmlformats.org/officeDocument/2006/relationships/hyperlink" Target="https://b2beez.ru/images/detailed/178/6245210239.jpg" TargetMode="External"/><Relationship Id="rId_hyperlink_1041" Type="http://schemas.openxmlformats.org/officeDocument/2006/relationships/hyperlink" Target="https://b2beez.ru/images/detailed/178/orig_23j5-w1.jpg" TargetMode="External"/><Relationship Id="rId_hyperlink_1042" Type="http://schemas.openxmlformats.org/officeDocument/2006/relationships/hyperlink" Target="https://b2beez.ru/images/detailed/178/orig_gzbk-b3.jpg" TargetMode="External"/><Relationship Id="rId_hyperlink_1043" Type="http://schemas.openxmlformats.org/officeDocument/2006/relationships/hyperlink" Target="https://b2beez.ru/images/detailed/179/6245210105.jpg" TargetMode="External"/><Relationship Id="rId_hyperlink_1044" Type="http://schemas.openxmlformats.org/officeDocument/2006/relationships/hyperlink" Target="https://b2beez.ru/images/detailed/179/orig_ew12-bv.jpg" TargetMode="External"/><Relationship Id="rId_hyperlink_1045" Type="http://schemas.openxmlformats.org/officeDocument/2006/relationships/hyperlink" Target="https://b2beez.ru/images/detailed/180/orig_1ry5-0g.jpg" TargetMode="External"/><Relationship Id="rId_hyperlink_1046" Type="http://schemas.openxmlformats.org/officeDocument/2006/relationships/hyperlink" Target="https://b2beez.ru/images/detailed/180/6245210249.jpg" TargetMode="External"/><Relationship Id="rId_hyperlink_1047" Type="http://schemas.openxmlformats.org/officeDocument/2006/relationships/hyperlink" Target="https://b2beez.ru/images/detailed/180/6245936178.jpg" TargetMode="External"/><Relationship Id="rId_hyperlink_1048" Type="http://schemas.openxmlformats.org/officeDocument/2006/relationships/hyperlink" Target="https://b2beez.ru/images/detailed/180/orig_sxsk-wy.jpg" TargetMode="External"/><Relationship Id="rId_hyperlink_1049" Type="http://schemas.openxmlformats.org/officeDocument/2006/relationships/hyperlink" Target="https://b2beez.ru/images/detailed/180/orig_hp0i-q7.jpg" TargetMode="External"/><Relationship Id="rId_hyperlink_1050" Type="http://schemas.openxmlformats.org/officeDocument/2006/relationships/hyperlink" Target="https://b2beez.ru/images/detailed/182/orig_7e8s-s1.jpg" TargetMode="External"/><Relationship Id="rId_hyperlink_1051" Type="http://schemas.openxmlformats.org/officeDocument/2006/relationships/hyperlink" Target="https://b2beez.ru/images/detailed/185/6245210056.jpg" TargetMode="External"/><Relationship Id="rId_hyperlink_1052" Type="http://schemas.openxmlformats.org/officeDocument/2006/relationships/hyperlink" Target="https://b2beez.ru/images/detailed/185/orig_bsm9-9w.jpg" TargetMode="External"/><Relationship Id="rId_hyperlink_1053" Type="http://schemas.openxmlformats.org/officeDocument/2006/relationships/hyperlink" Target="https://b2beez.ru/images/detailed/186/orig_19j9-5l.jpg" TargetMode="External"/><Relationship Id="rId_hyperlink_1054" Type="http://schemas.openxmlformats.org/officeDocument/2006/relationships/hyperlink" Target="https://b2beez.ru/images/detailed/186/orig_h2mc-pv.jpg" TargetMode="External"/><Relationship Id="rId_hyperlink_1055" Type="http://schemas.openxmlformats.org/officeDocument/2006/relationships/hyperlink" Target="https://b2beez.ru/images/detailed/186/orig_28el-1v.jpg" TargetMode="External"/><Relationship Id="rId_hyperlink_1056" Type="http://schemas.openxmlformats.org/officeDocument/2006/relationships/hyperlink" Target="https://b2beez.ru/images/detailed/187/orig_0vhi-7t.jpg" TargetMode="External"/><Relationship Id="rId_hyperlink_1057" Type="http://schemas.openxmlformats.org/officeDocument/2006/relationships/hyperlink" Target="https://b2beez.ru/images/detailed/187/6245210112.jpg" TargetMode="External"/><Relationship Id="rId_hyperlink_1058" Type="http://schemas.openxmlformats.org/officeDocument/2006/relationships/hyperlink" Target="https://b2beez.ru/images/detailed/187/orig_lhyb-lx.jpg" TargetMode="External"/><Relationship Id="rId_hyperlink_1059" Type="http://schemas.openxmlformats.org/officeDocument/2006/relationships/hyperlink" Target="https://b2beez.ru/images/detailed/187/orig_rdls-fe.jpg" TargetMode="External"/><Relationship Id="rId_hyperlink_1060" Type="http://schemas.openxmlformats.org/officeDocument/2006/relationships/hyperlink" Target="https://b2beez.ru/images/detailed/187/orig_5ki5-hi.jpg" TargetMode="External"/><Relationship Id="rId_hyperlink_1061" Type="http://schemas.openxmlformats.org/officeDocument/2006/relationships/hyperlink" Target="https://b2beez.ru/images/detailed/187/6245210211.jpg" TargetMode="External"/><Relationship Id="rId_hyperlink_1062" Type="http://schemas.openxmlformats.org/officeDocument/2006/relationships/hyperlink" Target="https://b2beez.ru/images/detailed/187/orig_ojz9-qp.jpg" TargetMode="External"/><Relationship Id="rId_hyperlink_1063" Type="http://schemas.openxmlformats.org/officeDocument/2006/relationships/hyperlink" Target="https://b2beez.ru/images/detailed/157/orig_y1bj-af.jpg" TargetMode="External"/><Relationship Id="rId_hyperlink_1064" Type="http://schemas.openxmlformats.org/officeDocument/2006/relationships/hyperlink" Target="https://b2beez.ru/images/detailed/157/orig_hpgu-8s.jpg" TargetMode="External"/><Relationship Id="rId_hyperlink_1065" Type="http://schemas.openxmlformats.org/officeDocument/2006/relationships/hyperlink" Target="https://b2beez.ru/images/detailed/157/orig_z5n3-ne.jpg" TargetMode="External"/><Relationship Id="rId_hyperlink_1066" Type="http://schemas.openxmlformats.org/officeDocument/2006/relationships/hyperlink" Target="https://b2beez.ru/images/detailed/157/orig_mv30-jk.jpg" TargetMode="External"/><Relationship Id="rId_hyperlink_1067" Type="http://schemas.openxmlformats.org/officeDocument/2006/relationships/hyperlink" Target="https://b2beez.ru/images/detailed/157/orig_hig0-39.jpg" TargetMode="External"/><Relationship Id="rId_hyperlink_1068" Type="http://schemas.openxmlformats.org/officeDocument/2006/relationships/hyperlink" Target="https://b2beez.ru/images/detailed/0/" TargetMode="External"/><Relationship Id="rId_hyperlink_1069" Type="http://schemas.openxmlformats.org/officeDocument/2006/relationships/hyperlink" Target="https://b2beez.ru/images/detailed/166/orig_9tkw-27.jpg" TargetMode="External"/><Relationship Id="rId_hyperlink_1070" Type="http://schemas.openxmlformats.org/officeDocument/2006/relationships/hyperlink" Target="https://b2beez.ru/images/detailed/166/orig_u0gb-yr.jpg" TargetMode="External"/><Relationship Id="rId_hyperlink_1071" Type="http://schemas.openxmlformats.org/officeDocument/2006/relationships/hyperlink" Target="https://b2beez.ru/images/detailed/166/orig_nd8c-em.jpg" TargetMode="External"/><Relationship Id="rId_hyperlink_1072" Type="http://schemas.openxmlformats.org/officeDocument/2006/relationships/hyperlink" Target="https://b2beez.ru/images/detailed/166/6247471884.jpg" TargetMode="External"/><Relationship Id="rId_hyperlink_1073" Type="http://schemas.openxmlformats.org/officeDocument/2006/relationships/hyperlink" Target="https://b2beez.ru/images/detailed/168/6423657739.jpg" TargetMode="External"/><Relationship Id="rId_hyperlink_1074" Type="http://schemas.openxmlformats.org/officeDocument/2006/relationships/hyperlink" Target="https://b2beez.ru/images/detailed/168/6245209994.jpg" TargetMode="External"/><Relationship Id="rId_hyperlink_1075" Type="http://schemas.openxmlformats.org/officeDocument/2006/relationships/hyperlink" Target="https://b2beez.ru/images/detailed/170/orig_cwfp-fs.jpg" TargetMode="External"/><Relationship Id="rId_hyperlink_1076" Type="http://schemas.openxmlformats.org/officeDocument/2006/relationships/hyperlink" Target="https://b2beez.ru/images/detailed/170/orig_lc90-cy.jpg" TargetMode="External"/><Relationship Id="rId_hyperlink_1077" Type="http://schemas.openxmlformats.org/officeDocument/2006/relationships/hyperlink" Target="https://b2beez.ru/images/detailed/170/6246481978.jpg" TargetMode="External"/><Relationship Id="rId_hyperlink_1078" Type="http://schemas.openxmlformats.org/officeDocument/2006/relationships/hyperlink" Target="https://b2beez.ru/images/detailed/170/orig_m2me-rp.jpg" TargetMode="External"/><Relationship Id="rId_hyperlink_1079" Type="http://schemas.openxmlformats.org/officeDocument/2006/relationships/hyperlink" Target="https://b2beez.ru/images/detailed/170/6245210176.jpg" TargetMode="External"/><Relationship Id="rId_hyperlink_1080" Type="http://schemas.openxmlformats.org/officeDocument/2006/relationships/hyperlink" Target="https://b2beez.ru/images/detailed/171/orig_wtzu-bx.jpg" TargetMode="External"/><Relationship Id="rId_hyperlink_1081" Type="http://schemas.openxmlformats.org/officeDocument/2006/relationships/hyperlink" Target="https://b2beez.ru/images/detailed/171/orig_swom-ju.jpg" TargetMode="External"/><Relationship Id="rId_hyperlink_1082" Type="http://schemas.openxmlformats.org/officeDocument/2006/relationships/hyperlink" Target="https://b2beez.ru/images/detailed/173/6245210058.jpg" TargetMode="External"/><Relationship Id="rId_hyperlink_1083" Type="http://schemas.openxmlformats.org/officeDocument/2006/relationships/hyperlink" Target="https://b2beez.ru/images/detailed/174/orig_xf2z-3t.jpg" TargetMode="External"/><Relationship Id="rId_hyperlink_1084" Type="http://schemas.openxmlformats.org/officeDocument/2006/relationships/hyperlink" Target="https://b2beez.ru/images/detailed/174/6245210103.jpg" TargetMode="External"/><Relationship Id="rId_hyperlink_1085" Type="http://schemas.openxmlformats.org/officeDocument/2006/relationships/hyperlink" Target="https://b2beez.ru/images/detailed/176/orig_dntk-fu.jpg" TargetMode="External"/><Relationship Id="rId_hyperlink_1086" Type="http://schemas.openxmlformats.org/officeDocument/2006/relationships/hyperlink" Target="https://b2beez.ru/images/detailed/176/orig_allf-hp.jpg" TargetMode="External"/><Relationship Id="rId_hyperlink_1087" Type="http://schemas.openxmlformats.org/officeDocument/2006/relationships/hyperlink" Target="https://b2beez.ru/images/detailed/176/orig_np1a-c1.jpg" TargetMode="External"/><Relationship Id="rId_hyperlink_1088" Type="http://schemas.openxmlformats.org/officeDocument/2006/relationships/hyperlink" Target="https://b2beez.ru/images/detailed/176/orig_ntb2-st.jpg" TargetMode="External"/><Relationship Id="rId_hyperlink_1089" Type="http://schemas.openxmlformats.org/officeDocument/2006/relationships/hyperlink" Target="https://b2beez.ru/images/detailed/176/orig_m37x-ww.jpg" TargetMode="External"/><Relationship Id="rId_hyperlink_1090" Type="http://schemas.openxmlformats.org/officeDocument/2006/relationships/hyperlink" Target="https://b2beez.ru/images/detailed/176/orig_lz0h-zc.jpg" TargetMode="External"/><Relationship Id="rId_hyperlink_1091" Type="http://schemas.openxmlformats.org/officeDocument/2006/relationships/hyperlink" Target="https://b2beez.ru/images/detailed/176/orig_l9ke-d8.jpg" TargetMode="External"/><Relationship Id="rId_hyperlink_1092" Type="http://schemas.openxmlformats.org/officeDocument/2006/relationships/hyperlink" Target="https://b2beez.ru/images/detailed/176/orig_cpnd-rp.jpg" TargetMode="External"/><Relationship Id="rId_hyperlink_1093" Type="http://schemas.openxmlformats.org/officeDocument/2006/relationships/hyperlink" Target="https://b2beez.ru/images/detailed/176/orig_koow-n8.jpg" TargetMode="External"/><Relationship Id="rId_hyperlink_1094" Type="http://schemas.openxmlformats.org/officeDocument/2006/relationships/hyperlink" Target="https://b2beez.ru/images/detailed/176/orig_elkk-49.jpg" TargetMode="External"/><Relationship Id="rId_hyperlink_1095" Type="http://schemas.openxmlformats.org/officeDocument/2006/relationships/hyperlink" Target="https://b2beez.ru/images/detailed/176/orig_9ox4-ff.jpg" TargetMode="External"/><Relationship Id="rId_hyperlink_1096" Type="http://schemas.openxmlformats.org/officeDocument/2006/relationships/hyperlink" Target="https://b2beez.ru/images/detailed/176/orig_3nez-ju.jpg" TargetMode="External"/><Relationship Id="rId_hyperlink_1097" Type="http://schemas.openxmlformats.org/officeDocument/2006/relationships/hyperlink" Target="https://b2beez.ru/images/detailed/176/orig_p8cc-xm.jpg" TargetMode="External"/><Relationship Id="rId_hyperlink_1098" Type="http://schemas.openxmlformats.org/officeDocument/2006/relationships/hyperlink" Target="https://b2beez.ru/images/detailed/176/orig_gyph-ew.jpg" TargetMode="External"/><Relationship Id="rId_hyperlink_1099" Type="http://schemas.openxmlformats.org/officeDocument/2006/relationships/hyperlink" Target="https://b2beez.ru/images/detailed/176/orig_ytxs-er.jpg" TargetMode="External"/><Relationship Id="rId_hyperlink_1100" Type="http://schemas.openxmlformats.org/officeDocument/2006/relationships/hyperlink" Target="https://b2beez.ru/images/detailed/176/orig_4yyb-48.jpg" TargetMode="External"/><Relationship Id="rId_hyperlink_1101" Type="http://schemas.openxmlformats.org/officeDocument/2006/relationships/hyperlink" Target="https://b2beez.ru/images/detailed/177/orig_s0h2-hh.jpg" TargetMode="External"/><Relationship Id="rId_hyperlink_1102" Type="http://schemas.openxmlformats.org/officeDocument/2006/relationships/hyperlink" Target="https://b2beez.ru/images/detailed/177/orig_62mj-y2.jpg" TargetMode="External"/><Relationship Id="rId_hyperlink_1103" Type="http://schemas.openxmlformats.org/officeDocument/2006/relationships/hyperlink" Target="https://b2beez.ru/images/detailed/177/orig_bb09-wj.jpg" TargetMode="External"/><Relationship Id="rId_hyperlink_1104" Type="http://schemas.openxmlformats.org/officeDocument/2006/relationships/hyperlink" Target="https://b2beez.ru/images/detailed/177/orig_fvtb-2q.jpg" TargetMode="External"/><Relationship Id="rId_hyperlink_1105" Type="http://schemas.openxmlformats.org/officeDocument/2006/relationships/hyperlink" Target="https://b2beez.ru/images/detailed/178/orig_j76n-nn.jpg" TargetMode="External"/><Relationship Id="rId_hyperlink_1106" Type="http://schemas.openxmlformats.org/officeDocument/2006/relationships/hyperlink" Target="https://b2beez.ru/images/detailed/178/6245210052.jpg" TargetMode="External"/><Relationship Id="rId_hyperlink_1107" Type="http://schemas.openxmlformats.org/officeDocument/2006/relationships/hyperlink" Target="https://b2beez.ru/images/detailed/178/orig_47kf-pp.jpg" TargetMode="External"/><Relationship Id="rId_hyperlink_1108" Type="http://schemas.openxmlformats.org/officeDocument/2006/relationships/hyperlink" Target="https://b2beez.ru/images/detailed/178/orig_iw8c-xc.jpg" TargetMode="External"/><Relationship Id="rId_hyperlink_1109" Type="http://schemas.openxmlformats.org/officeDocument/2006/relationships/hyperlink" Target="https://b2beez.ru/images/detailed/179/6141534490.jpg" TargetMode="External"/><Relationship Id="rId_hyperlink_1110" Type="http://schemas.openxmlformats.org/officeDocument/2006/relationships/hyperlink" Target="https://b2beez.ru/images/detailed/186/orig_3rb4-cr.jpg" TargetMode="External"/><Relationship Id="rId_hyperlink_1111" Type="http://schemas.openxmlformats.org/officeDocument/2006/relationships/hyperlink" Target="https://b2beez.ru/images/detailed/186/6245946689.jpg" TargetMode="External"/><Relationship Id="rId_hyperlink_1112" Type="http://schemas.openxmlformats.org/officeDocument/2006/relationships/hyperlink" Target="https://b2beez.ru/images/detailed/187/orig_1ci0-dm.jpg" TargetMode="External"/><Relationship Id="rId_hyperlink_1113" Type="http://schemas.openxmlformats.org/officeDocument/2006/relationships/hyperlink" Target="https://b2beez.ru/images/detailed/171/orig_ggbf-qz.jpg" TargetMode="External"/><Relationship Id="rId_hyperlink_1114" Type="http://schemas.openxmlformats.org/officeDocument/2006/relationships/hyperlink" Target="https://b2beez.ru/images/detailed/172/orig_hsnb-xm.jpg" TargetMode="External"/><Relationship Id="rId_hyperlink_1115" Type="http://schemas.openxmlformats.org/officeDocument/2006/relationships/hyperlink" Target="https://b2beez.ru/images/detailed/165/6246011316.jpg" TargetMode="External"/><Relationship Id="rId_hyperlink_1116" Type="http://schemas.openxmlformats.org/officeDocument/2006/relationships/hyperlink" Target="https://b2beez.ru/images/detailed/163/orig_az46-m9.jpg" TargetMode="External"/><Relationship Id="rId_hyperlink_1117" Type="http://schemas.openxmlformats.org/officeDocument/2006/relationships/hyperlink" Target="https://b2beez.ru/images/detailed/164/6246011447.jpg" TargetMode="External"/><Relationship Id="rId_hyperlink_1118" Type="http://schemas.openxmlformats.org/officeDocument/2006/relationships/hyperlink" Target="https://b2beez.ru/images/detailed/204/H-9434.jpg" TargetMode="External"/><Relationship Id="rId_hyperlink_1119" Type="http://schemas.openxmlformats.org/officeDocument/2006/relationships/hyperlink" Target="https://b2beez.ru/images/detailed/170/orig_bfvf-kd.jpg" TargetMode="External"/><Relationship Id="rId_hyperlink_1120" Type="http://schemas.openxmlformats.org/officeDocument/2006/relationships/hyperlink" Target="https://b2beez.ru/images/detailed/170/orig_cbd3-nu.jpg" TargetMode="External"/><Relationship Id="rId_hyperlink_1121" Type="http://schemas.openxmlformats.org/officeDocument/2006/relationships/hyperlink" Target="https://b2beez.ru/images/detailed/166/orig_7fbk-ma.jpg" TargetMode="External"/><Relationship Id="rId_hyperlink_1122" Type="http://schemas.openxmlformats.org/officeDocument/2006/relationships/hyperlink" Target="https://b2beez.ru/images/detailed/166/orig_rvw0-jm.jpg" TargetMode="External"/><Relationship Id="rId_hyperlink_1123" Type="http://schemas.openxmlformats.org/officeDocument/2006/relationships/hyperlink" Target="https://b2beez.ru/images/detailed/166/orig_ril5-0a.jpg" TargetMode="External"/><Relationship Id="rId_hyperlink_1124" Type="http://schemas.openxmlformats.org/officeDocument/2006/relationships/hyperlink" Target="https://b2beez.ru/images/detailed/166/orig_l0lg-y8.jpg" TargetMode="External"/><Relationship Id="rId_hyperlink_1125" Type="http://schemas.openxmlformats.org/officeDocument/2006/relationships/hyperlink" Target="https://b2beez.ru/images/detailed/167/orig_nz41-vy.jpg" TargetMode="External"/><Relationship Id="rId_hyperlink_1126" Type="http://schemas.openxmlformats.org/officeDocument/2006/relationships/hyperlink" Target="https://b2beez.ru/images/detailed/166/orig_96y7-l8.jpg" TargetMode="External"/><Relationship Id="rId_hyperlink_1127" Type="http://schemas.openxmlformats.org/officeDocument/2006/relationships/hyperlink" Target="https://b2beez.ru/images/detailed/168/6245210152.jpg" TargetMode="External"/><Relationship Id="rId_hyperlink_1128" Type="http://schemas.openxmlformats.org/officeDocument/2006/relationships/hyperlink" Target="https://b2beez.ru/images/detailed/169/orig_tu95-z4.jpg" TargetMode="External"/><Relationship Id="rId_hyperlink_1129" Type="http://schemas.openxmlformats.org/officeDocument/2006/relationships/hyperlink" Target="https://b2beez.ru/images/detailed/169/orig_ly7f-dt.jpg" TargetMode="External"/><Relationship Id="rId_hyperlink_1130" Type="http://schemas.openxmlformats.org/officeDocument/2006/relationships/hyperlink" Target="https://b2beez.ru/images/detailed/169/orig_9vss-y8.jpg" TargetMode="External"/><Relationship Id="rId_hyperlink_1131" Type="http://schemas.openxmlformats.org/officeDocument/2006/relationships/hyperlink" Target="https://b2beez.ru/images/detailed/169/orig_m5dn-g2.jpg" TargetMode="External"/><Relationship Id="rId_hyperlink_1132" Type="http://schemas.openxmlformats.org/officeDocument/2006/relationships/hyperlink" Target="https://b2beez.ru/images/detailed/169/orig_ae1c-z2.jpg" TargetMode="External"/><Relationship Id="rId_hyperlink_1133" Type="http://schemas.openxmlformats.org/officeDocument/2006/relationships/hyperlink" Target="https://b2beez.ru/images/detailed/169/orig_4ke0-3m.jpg" TargetMode="External"/><Relationship Id="rId_hyperlink_1134" Type="http://schemas.openxmlformats.org/officeDocument/2006/relationships/hyperlink" Target="https://b2beez.ru/images/detailed/169/orig_bcdt-nf.jpg" TargetMode="External"/><Relationship Id="rId_hyperlink_1135" Type="http://schemas.openxmlformats.org/officeDocument/2006/relationships/hyperlink" Target="https://b2beez.ru/images/detailed/170/orig_ad8l-w1.jpg" TargetMode="External"/><Relationship Id="rId_hyperlink_1136" Type="http://schemas.openxmlformats.org/officeDocument/2006/relationships/hyperlink" Target="https://b2beez.ru/images/detailed/171/orig_zwki-vq.jpg" TargetMode="External"/><Relationship Id="rId_hyperlink_1137" Type="http://schemas.openxmlformats.org/officeDocument/2006/relationships/hyperlink" Target="https://b2beez.ru/images/detailed/173/6245210170.jpg" TargetMode="External"/><Relationship Id="rId_hyperlink_1138" Type="http://schemas.openxmlformats.org/officeDocument/2006/relationships/hyperlink" Target="https://b2beez.ru/images/detailed/174/orig.jpg" TargetMode="External"/><Relationship Id="rId_hyperlink_1139" Type="http://schemas.openxmlformats.org/officeDocument/2006/relationships/hyperlink" Target="https://b2beez.ru/images/detailed/173/orig_ldw3-r5.jpg" TargetMode="External"/><Relationship Id="rId_hyperlink_1140" Type="http://schemas.openxmlformats.org/officeDocument/2006/relationships/hyperlink" Target="https://b2beez.ru/images/detailed/175/6423657673.jpg" TargetMode="External"/><Relationship Id="rId_hyperlink_1141" Type="http://schemas.openxmlformats.org/officeDocument/2006/relationships/hyperlink" Target="https://b2beez.ru/images/detailed/172/orig_sul2-5c.jpg" TargetMode="External"/><Relationship Id="rId_hyperlink_1142" Type="http://schemas.openxmlformats.org/officeDocument/2006/relationships/hyperlink" Target="https://b2beez.ru/images/detailed/173/orig_ncf4-g6.jpg" TargetMode="External"/><Relationship Id="rId_hyperlink_1143" Type="http://schemas.openxmlformats.org/officeDocument/2006/relationships/hyperlink" Target="https://b2beez.ru/images/detailed/178/6456898014.jpg" TargetMode="External"/><Relationship Id="rId_hyperlink_1144" Type="http://schemas.openxmlformats.org/officeDocument/2006/relationships/hyperlink" Target="https://b2beez.ru/images/detailed/176/6246481982.jpg" TargetMode="External"/><Relationship Id="rId_hyperlink_1145" Type="http://schemas.openxmlformats.org/officeDocument/2006/relationships/hyperlink" Target="https://b2beez.ru/images/detailed/182/orig_qmk5-n5.jpg" TargetMode="External"/><Relationship Id="rId_hyperlink_1146" Type="http://schemas.openxmlformats.org/officeDocument/2006/relationships/hyperlink" Target="https://b2beez.ru/images/detailed/181/6248478923.jpg" TargetMode="External"/><Relationship Id="rId_hyperlink_1147" Type="http://schemas.openxmlformats.org/officeDocument/2006/relationships/hyperlink" Target="https://b2beez.ru/images/detailed/181/6247080874.jpg" TargetMode="External"/><Relationship Id="rId_hyperlink_1148" Type="http://schemas.openxmlformats.org/officeDocument/2006/relationships/hyperlink" Target="https://b2beez.ru/images/detailed/179/orig_u1g5-y8.jpg" TargetMode="External"/><Relationship Id="rId_hyperlink_1149" Type="http://schemas.openxmlformats.org/officeDocument/2006/relationships/hyperlink" Target="https://b2beez.ru/images/detailed/182/6245210155.jpg" TargetMode="External"/><Relationship Id="rId_hyperlink_1150" Type="http://schemas.openxmlformats.org/officeDocument/2006/relationships/hyperlink" Target="https://b2beez.ru/images/detailed/177/orig_xr1f-ds.jpg" TargetMode="External"/><Relationship Id="rId_hyperlink_1151" Type="http://schemas.openxmlformats.org/officeDocument/2006/relationships/hyperlink" Target="https://b2beez.ru/images/detailed/177/orig_cor6-la.jpg" TargetMode="External"/><Relationship Id="rId_hyperlink_1152" Type="http://schemas.openxmlformats.org/officeDocument/2006/relationships/hyperlink" Target="https://b2beez.ru/images/detailed/177/orig_kx67-42.jpg" TargetMode="External"/><Relationship Id="rId_hyperlink_1153" Type="http://schemas.openxmlformats.org/officeDocument/2006/relationships/hyperlink" Target="https://b2beez.ru/images/detailed/177/orig_a53f-8k.jpg" TargetMode="External"/><Relationship Id="rId_hyperlink_1154" Type="http://schemas.openxmlformats.org/officeDocument/2006/relationships/hyperlink" Target="https://b2beez.ru/images/detailed/182/orig_8uu1-z4.jpg" TargetMode="External"/><Relationship Id="rId_hyperlink_1155" Type="http://schemas.openxmlformats.org/officeDocument/2006/relationships/hyperlink" Target="https://b2beez.ru/images/detailed/204/S-0397-8_6nc6-di.jpg" TargetMode="External"/><Relationship Id="rId_hyperlink_1156" Type="http://schemas.openxmlformats.org/officeDocument/2006/relationships/hyperlink" Target="https://b2beez.ru/images/detailed/204/S-1545-2_3p55-ur.jpg" TargetMode="External"/><Relationship Id="rId_hyperlink_1157" Type="http://schemas.openxmlformats.org/officeDocument/2006/relationships/hyperlink" Target="https://b2beez.ru/images/detailed/178/6247206958.jpg" TargetMode="External"/><Relationship Id="rId_hyperlink_1158" Type="http://schemas.openxmlformats.org/officeDocument/2006/relationships/hyperlink" Target="https://b2beez.ru/images/detailed/178/6259141010.jpg" TargetMode="External"/><Relationship Id="rId_hyperlink_1159" Type="http://schemas.openxmlformats.org/officeDocument/2006/relationships/hyperlink" Target="https://b2beez.ru/images/detailed/178/6247207020.jpg" TargetMode="External"/><Relationship Id="rId_hyperlink_1160" Type="http://schemas.openxmlformats.org/officeDocument/2006/relationships/hyperlink" Target="https://b2beez.ru/images/detailed/178/6247207052.jpg" TargetMode="External"/><Relationship Id="rId_hyperlink_1161" Type="http://schemas.openxmlformats.org/officeDocument/2006/relationships/hyperlink" Target="https://b2beez.ru/images/detailed/203/S-2664_pf6i-ud.jpg" TargetMode="External"/><Relationship Id="rId_hyperlink_1162" Type="http://schemas.openxmlformats.org/officeDocument/2006/relationships/hyperlink" Target="https://b2beez.ru/images/detailed/180/orig_7d7k-2w.jpg" TargetMode="External"/><Relationship Id="rId_hyperlink_1163" Type="http://schemas.openxmlformats.org/officeDocument/2006/relationships/hyperlink" Target="https://b2beez.ru/images/detailed/180/orig_7zjl-vq.jpg" TargetMode="External"/><Relationship Id="rId_hyperlink_1164" Type="http://schemas.openxmlformats.org/officeDocument/2006/relationships/hyperlink" Target="https://b2beez.ru/images/detailed/204/S-3700_z5fx-oc.jpg" TargetMode="External"/><Relationship Id="rId_hyperlink_1165" Type="http://schemas.openxmlformats.org/officeDocument/2006/relationships/hyperlink" Target="https://b2beez.ru/images/detailed/180/orig_gre7-sv.jpg" TargetMode="External"/><Relationship Id="rId_hyperlink_1166" Type="http://schemas.openxmlformats.org/officeDocument/2006/relationships/hyperlink" Target="https://b2beez.ru/images/detailed/182/orig_fxoa-30.jpg" TargetMode="External"/><Relationship Id="rId_hyperlink_1167" Type="http://schemas.openxmlformats.org/officeDocument/2006/relationships/hyperlink" Target="https://b2beez.ru/images/detailed/203/S-974-2.jpg" TargetMode="External"/><Relationship Id="rId_hyperlink_1168" Type="http://schemas.openxmlformats.org/officeDocument/2006/relationships/hyperlink" Target="https://b2beez.ru/images/detailed/182/orig_0exp-35.jpg" TargetMode="External"/><Relationship Id="rId_hyperlink_1169" Type="http://schemas.openxmlformats.org/officeDocument/2006/relationships/hyperlink" Target="https://b2beez.ru/images/detailed/182/6247206949.jpg" TargetMode="External"/><Relationship Id="rId_hyperlink_1170" Type="http://schemas.openxmlformats.org/officeDocument/2006/relationships/hyperlink" Target="https://b2beez.ru/images/detailed/182/6247207030.jpg" TargetMode="External"/><Relationship Id="rId_hyperlink_1171" Type="http://schemas.openxmlformats.org/officeDocument/2006/relationships/hyperlink" Target="https://b2beez.ru/images/detailed/182/6247206961.jpg" TargetMode="External"/><Relationship Id="rId_hyperlink_1172" Type="http://schemas.openxmlformats.org/officeDocument/2006/relationships/hyperlink" Target="https://b2beez.ru/images/detailed/182/orig_cbff-m6.jpg" TargetMode="External"/><Relationship Id="rId_hyperlink_1173" Type="http://schemas.openxmlformats.org/officeDocument/2006/relationships/hyperlink" Target="https://b2beez.ru/images/detailed/182/orig_4fv3-oa.jpg" TargetMode="External"/><Relationship Id="rId_hyperlink_1174" Type="http://schemas.openxmlformats.org/officeDocument/2006/relationships/hyperlink" Target="https://b2beez.ru/images/detailed/203/S-993-2.jpg" TargetMode="External"/><Relationship Id="rId_hyperlink_1175" Type="http://schemas.openxmlformats.org/officeDocument/2006/relationships/hyperlink" Target="https://b2beez.ru/images/detailed/178/6247206954.jpg" TargetMode="External"/><Relationship Id="rId_hyperlink_1176" Type="http://schemas.openxmlformats.org/officeDocument/2006/relationships/hyperlink" Target="https://b2beez.ru/images/detailed/180/6247207003.jpg" TargetMode="External"/><Relationship Id="rId_hyperlink_1177" Type="http://schemas.openxmlformats.org/officeDocument/2006/relationships/hyperlink" Target="https://b2beez.ru/images/detailed/181/orig_ksbt-gj.jpg" TargetMode="External"/><Relationship Id="rId_hyperlink_1178" Type="http://schemas.openxmlformats.org/officeDocument/2006/relationships/hyperlink" Target="https://b2beez.ru/images/detailed/182/orig_kh02-nu.jpg" TargetMode="External"/><Relationship Id="rId_hyperlink_1179" Type="http://schemas.openxmlformats.org/officeDocument/2006/relationships/hyperlink" Target="https://b2beez.ru/images/detailed/159/orig_7lar-9i.jpg" TargetMode="External"/><Relationship Id="rId_hyperlink_1180" Type="http://schemas.openxmlformats.org/officeDocument/2006/relationships/hyperlink" Target="https://b2beez.ru/images/detailed/158/7135899790.jpg" TargetMode="External"/><Relationship Id="rId_hyperlink_1181" Type="http://schemas.openxmlformats.org/officeDocument/2006/relationships/hyperlink" Target="https://b2beez.ru/images/detailed/158/orig_jidh-da.jpg" TargetMode="External"/><Relationship Id="rId_hyperlink_1182" Type="http://schemas.openxmlformats.org/officeDocument/2006/relationships/hyperlink" Target="https://b2beez.ru/images/detailed/159/6683043971.jpg" TargetMode="External"/><Relationship Id="rId_hyperlink_1183" Type="http://schemas.openxmlformats.org/officeDocument/2006/relationships/hyperlink" Target="https://b2beez.ru/images/detailed/159/6683044943.jpg" TargetMode="External"/><Relationship Id="rId_hyperlink_1184" Type="http://schemas.openxmlformats.org/officeDocument/2006/relationships/hyperlink" Target="https://b2beez.ru/images/detailed/159/orig.png" TargetMode="External"/><Relationship Id="rId_hyperlink_1185" Type="http://schemas.openxmlformats.org/officeDocument/2006/relationships/hyperlink" Target="https://b2beez.ru/images/detailed/159/orig_duds-83.jpg" TargetMode="External"/><Relationship Id="rId_hyperlink_1186" Type="http://schemas.openxmlformats.org/officeDocument/2006/relationships/hyperlink" Target="https://b2beez.ru/images/detailed/159/orig_92og-km.jpg" TargetMode="External"/><Relationship Id="rId_hyperlink_1187" Type="http://schemas.openxmlformats.org/officeDocument/2006/relationships/hyperlink" Target="https://b2beez.ru/images/detailed/159/orig_bx13-m5.jpg" TargetMode="External"/><Relationship Id="rId_hyperlink_1188" Type="http://schemas.openxmlformats.org/officeDocument/2006/relationships/hyperlink" Target="https://b2beez.ru/images/detailed/159/orig_8l3t-7s.jpg" TargetMode="External"/><Relationship Id="rId_hyperlink_1189" Type="http://schemas.openxmlformats.org/officeDocument/2006/relationships/hyperlink" Target="https://b2beez.ru/images/detailed/159/orig_ymrr-ko.jpg" TargetMode="External"/><Relationship Id="rId_hyperlink_1190" Type="http://schemas.openxmlformats.org/officeDocument/2006/relationships/hyperlink" Target="https://b2beez.ru/images/detailed/159/orig_6mos-ob.jpg" TargetMode="External"/><Relationship Id="rId_hyperlink_1191" Type="http://schemas.openxmlformats.org/officeDocument/2006/relationships/hyperlink" Target="https://b2beez.ru/images/detailed/159/orig_2lnk-l6.jpg" TargetMode="External"/><Relationship Id="rId_hyperlink_1192" Type="http://schemas.openxmlformats.org/officeDocument/2006/relationships/hyperlink" Target="https://b2beez.ru/images/detailed/159/7028295661.jpg" TargetMode="External"/><Relationship Id="rId_hyperlink_1193" Type="http://schemas.openxmlformats.org/officeDocument/2006/relationships/hyperlink" Target="https://b2beez.ru/images/detailed/159/orig_kt32-qw.jpg" TargetMode="External"/><Relationship Id="rId_hyperlink_1194" Type="http://schemas.openxmlformats.org/officeDocument/2006/relationships/hyperlink" Target="https://b2beez.ru/images/detailed/159/orig_1q2h-sl.jpg" TargetMode="External"/><Relationship Id="rId_hyperlink_1195" Type="http://schemas.openxmlformats.org/officeDocument/2006/relationships/hyperlink" Target="https://b2beez.ru/images/detailed/159/6323778102.jpg" TargetMode="External"/><Relationship Id="rId_hyperlink_1196" Type="http://schemas.openxmlformats.org/officeDocument/2006/relationships/hyperlink" Target="https://b2beez.ru/images/detailed/159/6323778066.jpg" TargetMode="External"/><Relationship Id="rId_hyperlink_1197" Type="http://schemas.openxmlformats.org/officeDocument/2006/relationships/hyperlink" Target="https://b2beez.ru/images/detailed/159/orig_o827-9n.jpg" TargetMode="External"/><Relationship Id="rId_hyperlink_1198" Type="http://schemas.openxmlformats.org/officeDocument/2006/relationships/hyperlink" Target="https://b2beez.ru/images/detailed/176/6901581578.jpg" TargetMode="External"/><Relationship Id="rId_hyperlink_1199" Type="http://schemas.openxmlformats.org/officeDocument/2006/relationships/hyperlink" Target="https://b2beez.ru/images/detailed/48/orig_hj2e-zi.jpg" TargetMode="External"/><Relationship Id="rId_hyperlink_1200" Type="http://schemas.openxmlformats.org/officeDocument/2006/relationships/hyperlink" Target="https://b2beez.ru/images/detailed/48/6352298262.jpg" TargetMode="External"/><Relationship Id="rId_hyperlink_1201" Type="http://schemas.openxmlformats.org/officeDocument/2006/relationships/hyperlink" Target="https://b2beez.ru/images/detailed/0/" TargetMode="External"/><Relationship Id="rId_hyperlink_1202" Type="http://schemas.openxmlformats.org/officeDocument/2006/relationships/hyperlink" Target="https://b2beez.ru/images/detailed/0/" TargetMode="External"/><Relationship Id="rId_hyperlink_1203" Type="http://schemas.openxmlformats.org/officeDocument/2006/relationships/hyperlink" Target="https://b2beez.ru/images/detailed/204/Z-795-2.jpg" TargetMode="External"/><Relationship Id="rId_hyperlink_1204" Type="http://schemas.openxmlformats.org/officeDocument/2006/relationships/hyperlink" Target="https://b2beez.ru/images/detailed/159/orig_hld5-ur.jpg" TargetMode="External"/><Relationship Id="rId_hyperlink_1205" Type="http://schemas.openxmlformats.org/officeDocument/2006/relationships/hyperlink" Target="https://b2beez.ru/images/detailed/159/orig_c7m8-fr.jpg" TargetMode="External"/><Relationship Id="rId_hyperlink_1206" Type="http://schemas.openxmlformats.org/officeDocument/2006/relationships/hyperlink" Target="https://b2beez.ru/images/detailed/159/orig_wgrq-n5.jpg" TargetMode="External"/><Relationship Id="rId_hyperlink_1207" Type="http://schemas.openxmlformats.org/officeDocument/2006/relationships/hyperlink" Target="https://b2beez.ru/images/detailed/159/6423081435.jpg" TargetMode="External"/><Relationship Id="rId_hyperlink_1208" Type="http://schemas.openxmlformats.org/officeDocument/2006/relationships/hyperlink" Target="https://b2beez.ru/images/detailed/159/orig_kwz2-q0.jpg" TargetMode="External"/><Relationship Id="rId_hyperlink_1209" Type="http://schemas.openxmlformats.org/officeDocument/2006/relationships/hyperlink" Target="https://b2beez.ru/images/detailed/159/6179542543.jpg" TargetMode="External"/><Relationship Id="rId_hyperlink_1210" Type="http://schemas.openxmlformats.org/officeDocument/2006/relationships/hyperlink" Target="https://b2beez.ru/images/detailed/159/orig_1rpl-fi.jpg" TargetMode="External"/><Relationship Id="rId_hyperlink_1211" Type="http://schemas.openxmlformats.org/officeDocument/2006/relationships/hyperlink" Target="https://b2beez.ru/images/detailed/159/orig_hoi6-5r.jpg" TargetMode="External"/><Relationship Id="rId_hyperlink_1212" Type="http://schemas.openxmlformats.org/officeDocument/2006/relationships/hyperlink" Target="https://b2beez.ru/images/detailed/159/orig_rry8-oe.jpg" TargetMode="External"/><Relationship Id="rId_hyperlink_1213" Type="http://schemas.openxmlformats.org/officeDocument/2006/relationships/hyperlink" Target="https://b2beez.ru/images/detailed/159/6423081319.jpg" TargetMode="External"/><Relationship Id="rId_hyperlink_1214" Type="http://schemas.openxmlformats.org/officeDocument/2006/relationships/hyperlink" Target="https://b2beez.ru/images/detailed/159/orig_u78w-o6.jpg" TargetMode="External"/><Relationship Id="rId_hyperlink_1215" Type="http://schemas.openxmlformats.org/officeDocument/2006/relationships/hyperlink" Target="https://b2beez.ru/images/detailed/159/6448348094.jpg" TargetMode="External"/><Relationship Id="rId_hyperlink_1216" Type="http://schemas.openxmlformats.org/officeDocument/2006/relationships/hyperlink" Target="https://b2beez.ru/images/detailed/157/orig_cwp7-bh.jpg" TargetMode="External"/><Relationship Id="rId_hyperlink_1217" Type="http://schemas.openxmlformats.org/officeDocument/2006/relationships/hyperlink" Target="https://b2beez.ru/images/detailed/157/orig_do86-b2.jpg" TargetMode="External"/><Relationship Id="rId_hyperlink_1218" Type="http://schemas.openxmlformats.org/officeDocument/2006/relationships/hyperlink" Target="https://b2beez.ru/images/detailed/157/orig_73ax-g5.jpg" TargetMode="External"/><Relationship Id="rId_hyperlink_1219" Type="http://schemas.openxmlformats.org/officeDocument/2006/relationships/hyperlink" Target="https://b2beez.ru/images/detailed/167/orig_p0mu-pv.jpg" TargetMode="External"/><Relationship Id="rId_hyperlink_1220" Type="http://schemas.openxmlformats.org/officeDocument/2006/relationships/hyperlink" Target="https://b2beez.ru/images/detailed/167/orig_ms5c-3w.jpg" TargetMode="External"/><Relationship Id="rId_hyperlink_1221" Type="http://schemas.openxmlformats.org/officeDocument/2006/relationships/hyperlink" Target="https://b2beez.ru/images/detailed/167/6674248773.jpg" TargetMode="External"/><Relationship Id="rId_hyperlink_1222" Type="http://schemas.openxmlformats.org/officeDocument/2006/relationships/hyperlink" Target="https://b2beez.ru/images/detailed/167/orig_xjn1-it.jpg" TargetMode="External"/><Relationship Id="rId_hyperlink_1223" Type="http://schemas.openxmlformats.org/officeDocument/2006/relationships/hyperlink" Target="https://b2beez.ru/images/detailed/167/orig_ou35-56.jpg" TargetMode="External"/><Relationship Id="rId_hyperlink_1224" Type="http://schemas.openxmlformats.org/officeDocument/2006/relationships/hyperlink" Target="https://b2beez.ru/images/detailed/167/orig_nvey-24.jpg" TargetMode="External"/><Relationship Id="rId_hyperlink_1225" Type="http://schemas.openxmlformats.org/officeDocument/2006/relationships/hyperlink" Target="https://b2beez.ru/images/detailed/187/orig_m2pv-h0.jpg" TargetMode="External"/><Relationship Id="rId_hyperlink_1226" Type="http://schemas.openxmlformats.org/officeDocument/2006/relationships/hyperlink" Target="https://b2beez.ru/images/detailed/187/orig_rrni-r4.jpg" TargetMode="External"/><Relationship Id="rId_hyperlink_1227" Type="http://schemas.openxmlformats.org/officeDocument/2006/relationships/hyperlink" Target="https://b2beez.ru/images/detailed/159/orig_4yjs-hc.jpg" TargetMode="External"/><Relationship Id="rId_hyperlink_1228" Type="http://schemas.openxmlformats.org/officeDocument/2006/relationships/hyperlink" Target="https://b2beez.ru/images/detailed/159/orig_lbtd-81.jpg" TargetMode="External"/><Relationship Id="rId_hyperlink_1229" Type="http://schemas.openxmlformats.org/officeDocument/2006/relationships/hyperlink" Target="https://b2beez.ru/images/detailed/157/orig_pkyg-lx.jpg" TargetMode="External"/><Relationship Id="rId_hyperlink_1230" Type="http://schemas.openxmlformats.org/officeDocument/2006/relationships/hyperlink" Target="https://b2beez.ru/images/detailed/159/6177782998.jpg" TargetMode="External"/><Relationship Id="rId_hyperlink_1231" Type="http://schemas.openxmlformats.org/officeDocument/2006/relationships/hyperlink" Target="https://b2beez.ru/images/detailed/159/6170182243.jpg" TargetMode="External"/><Relationship Id="rId_hyperlink_1232" Type="http://schemas.openxmlformats.org/officeDocument/2006/relationships/hyperlink" Target="https://b2beez.ru/images/detailed/165/orig_opvj-fj.jpg" TargetMode="External"/><Relationship Id="rId_hyperlink_1233" Type="http://schemas.openxmlformats.org/officeDocument/2006/relationships/hyperlink" Target="https://b2beez.ru/images/detailed/163/orig_xpf9-me.jpg" TargetMode="External"/><Relationship Id="rId_hyperlink_1234" Type="http://schemas.openxmlformats.org/officeDocument/2006/relationships/hyperlink" Target="https://b2beez.ru/images/detailed/164/orig_725j-pz.jpg" TargetMode="External"/><Relationship Id="rId_hyperlink_1235" Type="http://schemas.openxmlformats.org/officeDocument/2006/relationships/hyperlink" Target="https://b2beez.ru/images/detailed/163/orig_e35w-0e.jpg" TargetMode="External"/><Relationship Id="rId_hyperlink_1236" Type="http://schemas.openxmlformats.org/officeDocument/2006/relationships/hyperlink" Target="https://b2beez.ru/images/detailed/164/orig_a1m6-ru.jpg" TargetMode="External"/><Relationship Id="rId_hyperlink_1237" Type="http://schemas.openxmlformats.org/officeDocument/2006/relationships/hyperlink" Target="https://b2beez.ru/images/detailed/163/orig_or62-gp.jpg" TargetMode="External"/><Relationship Id="rId_hyperlink_1238" Type="http://schemas.openxmlformats.org/officeDocument/2006/relationships/hyperlink" Target="https://b2beez.ru/images/detailed/165/orig_6rc2-bd.jpg" TargetMode="External"/><Relationship Id="rId_hyperlink_1239" Type="http://schemas.openxmlformats.org/officeDocument/2006/relationships/hyperlink" Target="https://b2beez.ru/images/detailed/164/orig_i0l7-4w.jpg" TargetMode="External"/><Relationship Id="rId_hyperlink_1240" Type="http://schemas.openxmlformats.org/officeDocument/2006/relationships/hyperlink" Target="https://b2beez.ru/images/detailed/164/orig_at60-kq.jpg" TargetMode="External"/><Relationship Id="rId_hyperlink_1241" Type="http://schemas.openxmlformats.org/officeDocument/2006/relationships/hyperlink" Target="https://b2beez.ru/images/detailed/164/orig_wim6-b7.jpg" TargetMode="External"/><Relationship Id="rId_hyperlink_1242" Type="http://schemas.openxmlformats.org/officeDocument/2006/relationships/hyperlink" Target="https://b2beez.ru/images/detailed/159/orig_njji-st.jpg" TargetMode="External"/><Relationship Id="rId_hyperlink_1243" Type="http://schemas.openxmlformats.org/officeDocument/2006/relationships/hyperlink" Target="https://b2beez.ru/images/detailed/169/orig_33yv-6z.jpg" TargetMode="External"/><Relationship Id="rId_hyperlink_1244" Type="http://schemas.openxmlformats.org/officeDocument/2006/relationships/hyperlink" Target="https://b2beez.ru/images/detailed/169/6177826589.jpg" TargetMode="External"/><Relationship Id="rId_hyperlink_1245" Type="http://schemas.openxmlformats.org/officeDocument/2006/relationships/hyperlink" Target="https://b2beez.ru/images/detailed/169/6177826593.jpg" TargetMode="External"/><Relationship Id="rId_hyperlink_1246" Type="http://schemas.openxmlformats.org/officeDocument/2006/relationships/hyperlink" Target="https://b2beez.ru/images/detailed/169/orig_4gao-vy.jpg" TargetMode="External"/><Relationship Id="rId_hyperlink_1247" Type="http://schemas.openxmlformats.org/officeDocument/2006/relationships/hyperlink" Target="https://b2beez.ru/images/detailed/159/orig_awd3-zi.jpg" TargetMode="External"/><Relationship Id="rId_hyperlink_1248" Type="http://schemas.openxmlformats.org/officeDocument/2006/relationships/hyperlink" Target="https://b2beez.ru/images/detailed/204/D-1529-2.jpg" TargetMode="External"/><Relationship Id="rId_hyperlink_1249" Type="http://schemas.openxmlformats.org/officeDocument/2006/relationships/hyperlink" Target="https://b2beez.ru/images/detailed/159/6318374920.jpg" TargetMode="External"/><Relationship Id="rId_hyperlink_1250" Type="http://schemas.openxmlformats.org/officeDocument/2006/relationships/hyperlink" Target="https://b2beez.ru/images/detailed/159/6318374908.jpg" TargetMode="External"/><Relationship Id="rId_hyperlink_1251" Type="http://schemas.openxmlformats.org/officeDocument/2006/relationships/hyperlink" Target="https://b2beez.ru/images/detailed/159/orig_ysua-yz.jpg" TargetMode="External"/><Relationship Id="rId_hyperlink_1252" Type="http://schemas.openxmlformats.org/officeDocument/2006/relationships/hyperlink" Target="https://b2beez.ru/images/detailed/185/orig_fcsa-ij.jpg" TargetMode="External"/><Relationship Id="rId_hyperlink_1253" Type="http://schemas.openxmlformats.org/officeDocument/2006/relationships/hyperlink" Target="https://b2beez.ru/images/detailed/159/orig_8uq7-9n.jpg" TargetMode="External"/><Relationship Id="rId_hyperlink_1254" Type="http://schemas.openxmlformats.org/officeDocument/2006/relationships/hyperlink" Target="https://b2beez.ru/images/detailed/157/orig_g7f8-mc.jpg" TargetMode="External"/><Relationship Id="rId_hyperlink_1255" Type="http://schemas.openxmlformats.org/officeDocument/2006/relationships/hyperlink" Target="https://b2beez.ru/images/detailed/187/orig_375m-eu.jpg" TargetMode="External"/><Relationship Id="rId_hyperlink_1256" Type="http://schemas.openxmlformats.org/officeDocument/2006/relationships/hyperlink" Target="https://b2beez.ru/images/detailed/157/6474467453.jpg" TargetMode="External"/><Relationship Id="rId_hyperlink_1257" Type="http://schemas.openxmlformats.org/officeDocument/2006/relationships/hyperlink" Target="https://b2beez.ru/images/detailed/157/orig_nune-ds.jpg" TargetMode="External"/><Relationship Id="rId_hyperlink_1258" Type="http://schemas.openxmlformats.org/officeDocument/2006/relationships/hyperlink" Target="https://b2beez.ru/images/detailed/159/orig_hym5-y0.jpg" TargetMode="External"/><Relationship Id="rId_hyperlink_1259" Type="http://schemas.openxmlformats.org/officeDocument/2006/relationships/hyperlink" Target="https://b2beez.ru/images/detailed/158/orig_pjip-aq.jpg" TargetMode="External"/><Relationship Id="rId_hyperlink_1260" Type="http://schemas.openxmlformats.org/officeDocument/2006/relationships/hyperlink" Target="https://b2beez.ru/images/detailed/159/orig_3lu2-sg.jpg" TargetMode="External"/><Relationship Id="rId_hyperlink_1261" Type="http://schemas.openxmlformats.org/officeDocument/2006/relationships/hyperlink" Target="https://b2beez.ru/images/detailed/169/orig_w33z-ho.jpg" TargetMode="External"/><Relationship Id="rId_hyperlink_1262" Type="http://schemas.openxmlformats.org/officeDocument/2006/relationships/hyperlink" Target="https://b2beez.ru/images/detailed/159/orig_z58j-ce.jpg" TargetMode="External"/><Relationship Id="rId_hyperlink_1263" Type="http://schemas.openxmlformats.org/officeDocument/2006/relationships/hyperlink" Target="https://b2beez.ru/images/detailed/159/orig_0xn9-ec.jpg" TargetMode="External"/><Relationship Id="rId_hyperlink_1264" Type="http://schemas.openxmlformats.org/officeDocument/2006/relationships/hyperlink" Target="https://b2beez.ru/images/detailed/157/orig_2qwz-36.jpg" TargetMode="External"/><Relationship Id="rId_hyperlink_1265" Type="http://schemas.openxmlformats.org/officeDocument/2006/relationships/hyperlink" Target="https://b2beez.ru/images/detailed/159/6179251790.jpg" TargetMode="External"/><Relationship Id="rId_hyperlink_1266" Type="http://schemas.openxmlformats.org/officeDocument/2006/relationships/hyperlink" Target="https://b2beez.ru/images/detailed/158/orig_ti5w-cy.jpg" TargetMode="External"/><Relationship Id="rId_hyperlink_1267" Type="http://schemas.openxmlformats.org/officeDocument/2006/relationships/hyperlink" Target="https://b2beez.ru/images/detailed/159/6448348144.jpg" TargetMode="External"/><Relationship Id="rId_hyperlink_1268" Type="http://schemas.openxmlformats.org/officeDocument/2006/relationships/hyperlink" Target="https://b2beez.ru/images/detailed/159/6690608701.jpg" TargetMode="External"/><Relationship Id="rId_hyperlink_1269" Type="http://schemas.openxmlformats.org/officeDocument/2006/relationships/hyperlink" Target="https://b2beez.ru/images/detailed/157/orig_mi25-cs.jpg" TargetMode="External"/><Relationship Id="rId_hyperlink_1270" Type="http://schemas.openxmlformats.org/officeDocument/2006/relationships/hyperlink" Target="https://b2beez.ru/images/detailed/157/6177961799.jpg" TargetMode="External"/><Relationship Id="rId_hyperlink_1271" Type="http://schemas.openxmlformats.org/officeDocument/2006/relationships/hyperlink" Target="https://b2beez.ru/images/detailed/159/6450833549.jpg" TargetMode="External"/><Relationship Id="rId_hyperlink_1272" Type="http://schemas.openxmlformats.org/officeDocument/2006/relationships/hyperlink" Target="https://b2beez.ru/images/detailed/177/orig_i91k-ps.jpg" TargetMode="External"/><Relationship Id="rId_hyperlink_1273" Type="http://schemas.openxmlformats.org/officeDocument/2006/relationships/hyperlink" Target="https://b2beez.ru/images/detailed/159/orig_1qdi-67.jpg" TargetMode="External"/><Relationship Id="rId_hyperlink_1274" Type="http://schemas.openxmlformats.org/officeDocument/2006/relationships/hyperlink" Target="https://b2beez.ru/images/detailed/159/6357364125.jpg" TargetMode="External"/><Relationship Id="rId_hyperlink_1275" Type="http://schemas.openxmlformats.org/officeDocument/2006/relationships/hyperlink" Target="https://b2beez.ru/images/detailed/159/orig_ryah-nt.jpg" TargetMode="External"/><Relationship Id="rId_hyperlink_1276" Type="http://schemas.openxmlformats.org/officeDocument/2006/relationships/hyperlink" Target="https://b2beez.ru/images/detailed/157/6177783025.jpg" TargetMode="External"/><Relationship Id="rId_hyperlink_1277" Type="http://schemas.openxmlformats.org/officeDocument/2006/relationships/hyperlink" Target="https://b2beez.ru/images/detailed/157/6423081322.jpg" TargetMode="External"/><Relationship Id="rId_hyperlink_1278" Type="http://schemas.openxmlformats.org/officeDocument/2006/relationships/hyperlink" Target="https://b2beez.ru/images/detailed/159/6192047773.jpg" TargetMode="External"/><Relationship Id="rId_hyperlink_1279" Type="http://schemas.openxmlformats.org/officeDocument/2006/relationships/hyperlink" Target="https://b2beez.ru/images/detailed/159/orig_afhq-jr.jpg" TargetMode="External"/><Relationship Id="rId_hyperlink_1280" Type="http://schemas.openxmlformats.org/officeDocument/2006/relationships/hyperlink" Target="https://b2beez.ru/images/detailed/159/6423081196.jpg" TargetMode="External"/><Relationship Id="rId_hyperlink_1281" Type="http://schemas.openxmlformats.org/officeDocument/2006/relationships/hyperlink" Target="https://b2beez.ru/images/detailed/157/6183047395.jpg" TargetMode="External"/><Relationship Id="rId_hyperlink_1282" Type="http://schemas.openxmlformats.org/officeDocument/2006/relationships/hyperlink" Target="https://b2beez.ru/images/detailed/159/orig_113w-5t.jpg" TargetMode="External"/><Relationship Id="rId_hyperlink_1283" Type="http://schemas.openxmlformats.org/officeDocument/2006/relationships/hyperlink" Target="https://b2beez.ru/images/detailed/158/orig_qel1-m3.jpg" TargetMode="External"/><Relationship Id="rId_hyperlink_1284" Type="http://schemas.openxmlformats.org/officeDocument/2006/relationships/hyperlink" Target="https://b2beez.ru/images/detailed/177/6459649126.jpg" TargetMode="External"/><Relationship Id="rId_hyperlink_1285" Type="http://schemas.openxmlformats.org/officeDocument/2006/relationships/hyperlink" Target="https://b2beez.ru/images/detailed/169/6423081263.jpg" TargetMode="External"/><Relationship Id="rId_hyperlink_1286" Type="http://schemas.openxmlformats.org/officeDocument/2006/relationships/hyperlink" Target="https://b2beez.ru/images/detailed/169/6381742213.jpg" TargetMode="External"/><Relationship Id="rId_hyperlink_1287" Type="http://schemas.openxmlformats.org/officeDocument/2006/relationships/hyperlink" Target="https://b2beez.ru/images/detailed/49/6352297853.jpg" TargetMode="External"/><Relationship Id="rId_hyperlink_1288" Type="http://schemas.openxmlformats.org/officeDocument/2006/relationships/hyperlink" Target="https://b2beez.ru/images/detailed/169/6381742233.jpg" TargetMode="External"/><Relationship Id="rId_hyperlink_1289" Type="http://schemas.openxmlformats.org/officeDocument/2006/relationships/hyperlink" Target="https://b2beez.ru/images/detailed/167/7132481044.jpg" TargetMode="External"/><Relationship Id="rId_hyperlink_1290" Type="http://schemas.openxmlformats.org/officeDocument/2006/relationships/hyperlink" Target="https://b2beez.ru/images/detailed/167/6830326986.jpg" TargetMode="External"/><Relationship Id="rId_hyperlink_1291" Type="http://schemas.openxmlformats.org/officeDocument/2006/relationships/hyperlink" Target="https://b2beez.ru/images/detailed/48/6352297930.jpg" TargetMode="External"/><Relationship Id="rId_hyperlink_1292" Type="http://schemas.openxmlformats.org/officeDocument/2006/relationships/hyperlink" Target="https://b2beez.ru/images/detailed/48/6352297888.jpg" TargetMode="External"/><Relationship Id="rId_hyperlink_1293" Type="http://schemas.openxmlformats.org/officeDocument/2006/relationships/hyperlink" Target="https://b2beez.ru/images/detailed/166/orig_7bwt-jb.jpg" TargetMode="External"/><Relationship Id="rId_hyperlink_1294" Type="http://schemas.openxmlformats.org/officeDocument/2006/relationships/hyperlink" Target="https://b2beez.ru/images/detailed/48/6366367242_5vuh-2f.jpg" TargetMode="External"/><Relationship Id="rId_hyperlink_1295" Type="http://schemas.openxmlformats.org/officeDocument/2006/relationships/hyperlink" Target="https://b2beez.ru/images/detailed/177/6459649360.jpg" TargetMode="External"/><Relationship Id="rId_hyperlink_1296" Type="http://schemas.openxmlformats.org/officeDocument/2006/relationships/hyperlink" Target="https://b2beez.ru/images/detailed/157/orig_ci3h-2v.jpg" TargetMode="External"/><Relationship Id="rId_hyperlink_1297" Type="http://schemas.openxmlformats.org/officeDocument/2006/relationships/hyperlink" Target="https://b2beez.ru/images/detailed/157/orig_aibe-bs.jpg" TargetMode="External"/><Relationship Id="rId_hyperlink_1298" Type="http://schemas.openxmlformats.org/officeDocument/2006/relationships/hyperlink" Target="https://b2beez.ru/images/detailed/173/orig_euvs-sj.jpg" TargetMode="External"/><Relationship Id="rId_hyperlink_1299" Type="http://schemas.openxmlformats.org/officeDocument/2006/relationships/hyperlink" Target="https://b2beez.ru/images/detailed/173/orig_fbc7-kz.jpg" TargetMode="External"/><Relationship Id="rId_hyperlink_1300" Type="http://schemas.openxmlformats.org/officeDocument/2006/relationships/hyperlink" Target="https://b2beez.ru/images/detailed/173/orig_x5xf-gw.jpg" TargetMode="External"/><Relationship Id="rId_hyperlink_1301" Type="http://schemas.openxmlformats.org/officeDocument/2006/relationships/hyperlink" Target="https://b2beez.ru/images/detailed/0/" TargetMode="External"/><Relationship Id="rId_hyperlink_1302" Type="http://schemas.openxmlformats.org/officeDocument/2006/relationships/hyperlink" Target="https://b2beez.ru/images/detailed/0/" TargetMode="External"/><Relationship Id="rId_hyperlink_1303" Type="http://schemas.openxmlformats.org/officeDocument/2006/relationships/hyperlink" Target="https://b2beez.ru/images/detailed/157/orig_gzsi-j8.jpg" TargetMode="External"/><Relationship Id="rId_hyperlink_1304" Type="http://schemas.openxmlformats.org/officeDocument/2006/relationships/hyperlink" Target="https://b2beez.ru/images/detailed/169/6170182249.jpg" TargetMode="External"/><Relationship Id="rId_hyperlink_1305" Type="http://schemas.openxmlformats.org/officeDocument/2006/relationships/hyperlink" Target="https://b2beez.ru/images/detailed/169/6423657931.jpg" TargetMode="External"/><Relationship Id="rId_hyperlink_1306" Type="http://schemas.openxmlformats.org/officeDocument/2006/relationships/hyperlink" Target="https://b2beez.ru/images/detailed/169/6423657931_89qj-x6.jpg" TargetMode="External"/><Relationship Id="rId_hyperlink_1307" Type="http://schemas.openxmlformats.org/officeDocument/2006/relationships/hyperlink" Target="https://b2beez.ru/images/detailed/166/orig_kghv-rf.jpg" TargetMode="External"/><Relationship Id="rId_hyperlink_1308" Type="http://schemas.openxmlformats.org/officeDocument/2006/relationships/hyperlink" Target="https://b2beez.ru/images/detailed/166/6170182263.jpg" TargetMode="External"/><Relationship Id="rId_hyperlink_1309" Type="http://schemas.openxmlformats.org/officeDocument/2006/relationships/hyperlink" Target="https://b2beez.ru/images/detailed/172/6179251473.jpg" TargetMode="External"/><Relationship Id="rId_hyperlink_1310" Type="http://schemas.openxmlformats.org/officeDocument/2006/relationships/hyperlink" Target="https://b2beez.ru/images/detailed/175/6179542336.jpg" TargetMode="External"/><Relationship Id="rId_hyperlink_1311" Type="http://schemas.openxmlformats.org/officeDocument/2006/relationships/hyperlink" Target="https://b2beez.ru/images/detailed/173/orig_xfv5-yi.jpg" TargetMode="External"/><Relationship Id="rId_hyperlink_1312" Type="http://schemas.openxmlformats.org/officeDocument/2006/relationships/hyperlink" Target="https://b2beez.ru/images/detailed/188/orig_bl5y-a1.jpg" TargetMode="External"/><Relationship Id="rId_hyperlink_1313" Type="http://schemas.openxmlformats.org/officeDocument/2006/relationships/hyperlink" Target="https://b2beez.ru/images/detailed/171/6455934628.jpg" TargetMode="External"/><Relationship Id="rId_hyperlink_1314" Type="http://schemas.openxmlformats.org/officeDocument/2006/relationships/hyperlink" Target="https://b2beez.ru/images/detailed/171/6459714526.jpg" TargetMode="External"/><Relationship Id="rId_hyperlink_1315" Type="http://schemas.openxmlformats.org/officeDocument/2006/relationships/hyperlink" Target="https://b2beez.ru/images/detailed/175/orig_wpzv-zz.jpg" TargetMode="External"/><Relationship Id="rId_hyperlink_1316" Type="http://schemas.openxmlformats.org/officeDocument/2006/relationships/hyperlink" Target="https://b2beez.ru/images/detailed/178/6448347711.jpg" TargetMode="External"/><Relationship Id="rId_hyperlink_1317" Type="http://schemas.openxmlformats.org/officeDocument/2006/relationships/hyperlink" Target="https://b2beez.ru/images/detailed/178/6448347710.jpg" TargetMode="External"/><Relationship Id="rId_hyperlink_1318" Type="http://schemas.openxmlformats.org/officeDocument/2006/relationships/hyperlink" Target="https://b2beez.ru/images/detailed/178/6448348023.jpg" TargetMode="External"/><Relationship Id="rId_hyperlink_1319" Type="http://schemas.openxmlformats.org/officeDocument/2006/relationships/hyperlink" Target="https://b2beez.ru/images/detailed/176/6448347906.jpg" TargetMode="External"/><Relationship Id="rId_hyperlink_1320" Type="http://schemas.openxmlformats.org/officeDocument/2006/relationships/hyperlink" Target="https://b2beez.ru/images/detailed/177/6448347886.jpg" TargetMode="External"/><Relationship Id="rId_hyperlink_1321" Type="http://schemas.openxmlformats.org/officeDocument/2006/relationships/hyperlink" Target="https://b2beez.ru/images/detailed/178/orig_itd0-86.jpg" TargetMode="External"/><Relationship Id="rId_hyperlink_1322" Type="http://schemas.openxmlformats.org/officeDocument/2006/relationships/hyperlink" Target="https://b2beez.ru/images/detailed/160/6182266856.jpg" TargetMode="External"/><Relationship Id="rId_hyperlink_1323" Type="http://schemas.openxmlformats.org/officeDocument/2006/relationships/hyperlink" Target="https://b2beez.ru/images/detailed/204/Z-4241-2.jpg" TargetMode="External"/><Relationship Id="rId_hyperlink_1324" Type="http://schemas.openxmlformats.org/officeDocument/2006/relationships/hyperlink" Target="https://b2beez.ru/images/detailed/157/6182266550.jpg" TargetMode="External"/><Relationship Id="rId_hyperlink_1325" Type="http://schemas.openxmlformats.org/officeDocument/2006/relationships/hyperlink" Target="https://b2beez.ru/images/detailed/169/6458276069.jpg" TargetMode="External"/><Relationship Id="rId_hyperlink_1326" Type="http://schemas.openxmlformats.org/officeDocument/2006/relationships/hyperlink" Target="https://b2beez.ru/images/detailed/165/7128639490.jpg" TargetMode="External"/><Relationship Id="rId_hyperlink_1327" Type="http://schemas.openxmlformats.org/officeDocument/2006/relationships/hyperlink" Target="https://b2beez.ru/images/detailed/165/7128642121.jpg" TargetMode="External"/><Relationship Id="rId_hyperlink_1328" Type="http://schemas.openxmlformats.org/officeDocument/2006/relationships/hyperlink" Target="https://b2beez.ru/images/detailed/204/K-0083-2_jygt-ln.jpg" TargetMode="External"/><Relationship Id="rId_hyperlink_1329" Type="http://schemas.openxmlformats.org/officeDocument/2006/relationships/hyperlink" Target="https://b2beez.ru/images/detailed/0/" TargetMode="External"/><Relationship Id="rId_hyperlink_1330" Type="http://schemas.openxmlformats.org/officeDocument/2006/relationships/hyperlink" Target="https://b2beez.ru/images/detailed/0/" TargetMode="External"/><Relationship Id="rId_hyperlink_1331" Type="http://schemas.openxmlformats.org/officeDocument/2006/relationships/hyperlink" Target="https://b2beez.ru/images/detailed/0/" TargetMode="External"/><Relationship Id="rId_hyperlink_1332" Type="http://schemas.openxmlformats.org/officeDocument/2006/relationships/hyperlink" Target="https://b2beez.ru/images/detailed/165/orig_cwuh-9z.jpg" TargetMode="External"/><Relationship Id="rId_hyperlink_1333" Type="http://schemas.openxmlformats.org/officeDocument/2006/relationships/hyperlink" Target="https://b2beez.ru/images/detailed/0/" TargetMode="External"/><Relationship Id="rId_hyperlink_1334" Type="http://schemas.openxmlformats.org/officeDocument/2006/relationships/hyperlink" Target="https://b2beez.ru/images/detailed/0/" TargetMode="External"/><Relationship Id="rId_hyperlink_1335" Type="http://schemas.openxmlformats.org/officeDocument/2006/relationships/hyperlink" Target="https://b2beez.ru/images/detailed/0/" TargetMode="External"/><Relationship Id="rId_hyperlink_1336" Type="http://schemas.openxmlformats.org/officeDocument/2006/relationships/hyperlink" Target="https://b2beez.ru/images/detailed/0/" TargetMode="External"/><Relationship Id="rId_hyperlink_1337" Type="http://schemas.openxmlformats.org/officeDocument/2006/relationships/hyperlink" Target="https://b2beez.ru/images/detailed/204/D-4632-U2.jpg" TargetMode="External"/><Relationship Id="rId_hyperlink_1338" Type="http://schemas.openxmlformats.org/officeDocument/2006/relationships/hyperlink" Target="https://b2beez.ru/images/detailed/204/V-8945-U1.jpg" TargetMode="External"/><Relationship Id="rId_hyperlink_1339" Type="http://schemas.openxmlformats.org/officeDocument/2006/relationships/hyperlink" Target="https://b2beez.ru/images/detailed/0/" TargetMode="External"/><Relationship Id="rId_hyperlink_1340" Type="http://schemas.openxmlformats.org/officeDocument/2006/relationships/hyperlink" Target="https://b2beez.ru/images/detailed/0/" TargetMode="External"/><Relationship Id="rId_hyperlink_1341" Type="http://schemas.openxmlformats.org/officeDocument/2006/relationships/hyperlink" Target="https://b2beez.ru/images/detailed/187/orig_ujq4-ef.jpg" TargetMode="External"/><Relationship Id="rId_hyperlink_1342" Type="http://schemas.openxmlformats.org/officeDocument/2006/relationships/hyperlink" Target="https://b2beez.ru/images/detailed/159/orig_8ikq-wa.jpg" TargetMode="External"/><Relationship Id="rId_hyperlink_1343" Type="http://schemas.openxmlformats.org/officeDocument/2006/relationships/hyperlink" Target="https://b2beez.ru/images/detailed/182/orig_pert-94.jpg" TargetMode="External"/><Relationship Id="rId_hyperlink_1344" Type="http://schemas.openxmlformats.org/officeDocument/2006/relationships/hyperlink" Target="https://b2beez.ru/images/detailed/165/orig_gs7y-43.jpg" TargetMode="External"/><Relationship Id="rId_hyperlink_1345" Type="http://schemas.openxmlformats.org/officeDocument/2006/relationships/hyperlink" Target="https://b2beez.ru/images/detailed/168/orig_9rj7-4t.jpg" TargetMode="External"/><Relationship Id="rId_hyperlink_1346" Type="http://schemas.openxmlformats.org/officeDocument/2006/relationships/hyperlink" Target="https://b2beez.ru/images/detailed/162/orig_ac3l-8x.jpg" TargetMode="External"/><Relationship Id="rId_hyperlink_1347" Type="http://schemas.openxmlformats.org/officeDocument/2006/relationships/hyperlink" Target="https://b2beez.ru/images/detailed/162/orig_elim-4v.jpg" TargetMode="External"/><Relationship Id="rId_hyperlink_1348" Type="http://schemas.openxmlformats.org/officeDocument/2006/relationships/hyperlink" Target="https://b2beez.ru/images/detailed/162/orig_xwcj-wt.jpg" TargetMode="External"/><Relationship Id="rId_hyperlink_1349" Type="http://schemas.openxmlformats.org/officeDocument/2006/relationships/hyperlink" Target="https://b2beez.ru/images/detailed/165/7181997643.jpg" TargetMode="External"/><Relationship Id="rId_hyperlink_1350" Type="http://schemas.openxmlformats.org/officeDocument/2006/relationships/hyperlink" Target="https://b2beez.ru/images/detailed/0/" TargetMode="External"/><Relationship Id="rId_hyperlink_1351" Type="http://schemas.openxmlformats.org/officeDocument/2006/relationships/hyperlink" Target="https://b2beez.ru/images/detailed/0/" TargetMode="External"/><Relationship Id="rId_hyperlink_1352" Type="http://schemas.openxmlformats.org/officeDocument/2006/relationships/hyperlink" Target="https://b2beez.ru/images/detailed/157/orig_rufj-le.jpg" TargetMode="External"/><Relationship Id="rId_hyperlink_1353" Type="http://schemas.openxmlformats.org/officeDocument/2006/relationships/hyperlink" Target="https://b2beez.ru/images/detailed/157/orig_ihpr-yh.jpg" TargetMode="External"/><Relationship Id="rId_hyperlink_1354" Type="http://schemas.openxmlformats.org/officeDocument/2006/relationships/hyperlink" Target="https://b2beez.ru/images/detailed/157/orig_3mhb-uv.jpg" TargetMode="External"/><Relationship Id="rId_hyperlink_1355" Type="http://schemas.openxmlformats.org/officeDocument/2006/relationships/hyperlink" Target="https://b2beez.ru/images/detailed/183/6423081343.jpg" TargetMode="External"/><Relationship Id="rId_hyperlink_1356" Type="http://schemas.openxmlformats.org/officeDocument/2006/relationships/hyperlink" Target="https://b2beez.ru/images/detailed/178/6981986513.jpg" TargetMode="External"/><Relationship Id="rId_hyperlink_1357" Type="http://schemas.openxmlformats.org/officeDocument/2006/relationships/hyperlink" Target="https://b2beez.ru/images/detailed/157/6177961770_iasj-7p.jpg" TargetMode="External"/><Relationship Id="rId_hyperlink_1358" Type="http://schemas.openxmlformats.org/officeDocument/2006/relationships/hyperlink" Target="https://b2beez.ru/images/detailed/160/6335091625.jpg" TargetMode="External"/><Relationship Id="rId_hyperlink_1359" Type="http://schemas.openxmlformats.org/officeDocument/2006/relationships/hyperlink" Target="https://b2beez.ru/images/detailed/167/orig_drtw-1t.jpg" TargetMode="External"/><Relationship Id="rId_hyperlink_1360" Type="http://schemas.openxmlformats.org/officeDocument/2006/relationships/hyperlink" Target="https://b2beez.ru/images/detailed/159/orig_7via-f5.jpg" TargetMode="External"/><Relationship Id="rId_hyperlink_1361" Type="http://schemas.openxmlformats.org/officeDocument/2006/relationships/hyperlink" Target="https://b2beez.ru/images/detailed/153/orig_2aqy-se.jpg" TargetMode="External"/><Relationship Id="rId_hyperlink_1362" Type="http://schemas.openxmlformats.org/officeDocument/2006/relationships/hyperlink" Target="https://b2beez.ru/images/detailed/153/6322193250.jpg" TargetMode="External"/><Relationship Id="rId_hyperlink_1363" Type="http://schemas.openxmlformats.org/officeDocument/2006/relationships/hyperlink" Target="https://b2beez.ru/images/detailed/153/orig_cj3m-a6.jpg" TargetMode="External"/><Relationship Id="rId_hyperlink_1364" Type="http://schemas.openxmlformats.org/officeDocument/2006/relationships/hyperlink" Target="https://b2beez.ru/images/detailed/153/orig_4fe3-sd.jpg" TargetMode="External"/><Relationship Id="rId_hyperlink_1365" Type="http://schemas.openxmlformats.org/officeDocument/2006/relationships/hyperlink" Target="https://b2beez.ru/images/detailed/153/orig_kmv2-0n.jpg" TargetMode="External"/><Relationship Id="rId_hyperlink_1366" Type="http://schemas.openxmlformats.org/officeDocument/2006/relationships/hyperlink" Target="https://b2beez.ru/images/detailed/153/orig_gscr-hi.jpg" TargetMode="External"/><Relationship Id="rId_hyperlink_1367" Type="http://schemas.openxmlformats.org/officeDocument/2006/relationships/hyperlink" Target="https://b2beez.ru/images/detailed/154/orig_9cxf-30.jpg" TargetMode="External"/><Relationship Id="rId_hyperlink_1368" Type="http://schemas.openxmlformats.org/officeDocument/2006/relationships/hyperlink" Target="https://b2beez.ru/images/detailed/154/orig_e0t8-tk.jpg" TargetMode="External"/><Relationship Id="rId_hyperlink_1369" Type="http://schemas.openxmlformats.org/officeDocument/2006/relationships/hyperlink" Target="https://b2beez.ru/images/detailed/155/6170182283.jpg" TargetMode="External"/><Relationship Id="rId_hyperlink_1370" Type="http://schemas.openxmlformats.org/officeDocument/2006/relationships/hyperlink" Target="https://b2beez.ru/images/detailed/157/orig_fci4-jk.jpg" TargetMode="External"/><Relationship Id="rId_hyperlink_1371" Type="http://schemas.openxmlformats.org/officeDocument/2006/relationships/hyperlink" Target="https://b2beez.ru/images/detailed/157/6192044091.jpg" TargetMode="External"/><Relationship Id="rId_hyperlink_1372" Type="http://schemas.openxmlformats.org/officeDocument/2006/relationships/hyperlink" Target="https://b2beez.ru/images/detailed/157/6448347860.jpg" TargetMode="External"/><Relationship Id="rId_hyperlink_1373" Type="http://schemas.openxmlformats.org/officeDocument/2006/relationships/hyperlink" Target="https://b2beez.ru/images/detailed/157/orig_2j2l-3k.jpg" TargetMode="External"/><Relationship Id="rId_hyperlink_1374" Type="http://schemas.openxmlformats.org/officeDocument/2006/relationships/hyperlink" Target="https://b2beez.ru/images/detailed/157/orig_hkid-4q.jpg" TargetMode="External"/><Relationship Id="rId_hyperlink_1375" Type="http://schemas.openxmlformats.org/officeDocument/2006/relationships/hyperlink" Target="https://b2beez.ru/images/detailed/157/6413810257.jpg" TargetMode="External"/><Relationship Id="rId_hyperlink_1376" Type="http://schemas.openxmlformats.org/officeDocument/2006/relationships/hyperlink" Target="https://b2beez.ru/images/detailed/157/orig_omzw-py.jpg" TargetMode="External"/><Relationship Id="rId_hyperlink_1377" Type="http://schemas.openxmlformats.org/officeDocument/2006/relationships/hyperlink" Target="https://b2beez.ru/images/detailed/157/6448348170.jpg" TargetMode="External"/><Relationship Id="rId_hyperlink_1378" Type="http://schemas.openxmlformats.org/officeDocument/2006/relationships/hyperlink" Target="https://b2beez.ru/images/detailed/157/6170182271.jpg" TargetMode="External"/><Relationship Id="rId_hyperlink_1379" Type="http://schemas.openxmlformats.org/officeDocument/2006/relationships/hyperlink" Target="https://b2beez.ru/images/detailed/157/6170182270.jpg" TargetMode="External"/><Relationship Id="rId_hyperlink_1380" Type="http://schemas.openxmlformats.org/officeDocument/2006/relationships/hyperlink" Target="https://b2beez.ru/images/detailed/157/orig_n75i-1g.jpg" TargetMode="External"/><Relationship Id="rId_hyperlink_1381" Type="http://schemas.openxmlformats.org/officeDocument/2006/relationships/hyperlink" Target="https://b2beez.ru/images/detailed/157/6439247580.jpg" TargetMode="External"/><Relationship Id="rId_hyperlink_1382" Type="http://schemas.openxmlformats.org/officeDocument/2006/relationships/hyperlink" Target="https://b2beez.ru/images/detailed/157/6450833427.jpg" TargetMode="External"/><Relationship Id="rId_hyperlink_1383" Type="http://schemas.openxmlformats.org/officeDocument/2006/relationships/hyperlink" Target="https://b2beez.ru/images/detailed/157/orig_4qf9-th.jpg" TargetMode="External"/><Relationship Id="rId_hyperlink_1384" Type="http://schemas.openxmlformats.org/officeDocument/2006/relationships/hyperlink" Target="https://b2beez.ru/images/detailed/157/orig_ec3r-qf.jpg" TargetMode="External"/><Relationship Id="rId_hyperlink_1385" Type="http://schemas.openxmlformats.org/officeDocument/2006/relationships/hyperlink" Target="https://b2beez.ru/images/detailed/157/orig_vpzc-8l.jpg" TargetMode="External"/><Relationship Id="rId_hyperlink_1386" Type="http://schemas.openxmlformats.org/officeDocument/2006/relationships/hyperlink" Target="https://b2beez.ru/images/detailed/157/orig_zb81-al.jpg" TargetMode="External"/><Relationship Id="rId_hyperlink_1387" Type="http://schemas.openxmlformats.org/officeDocument/2006/relationships/hyperlink" Target="https://b2beez.ru/images/detailed/157/orig_d82y-4w.jpg" TargetMode="External"/><Relationship Id="rId_hyperlink_1388" Type="http://schemas.openxmlformats.org/officeDocument/2006/relationships/hyperlink" Target="https://b2beez.ru/images/detailed/157/orig_197y-9i.jpg" TargetMode="External"/><Relationship Id="rId_hyperlink_1389" Type="http://schemas.openxmlformats.org/officeDocument/2006/relationships/hyperlink" Target="https://b2beez.ru/images/detailed/157/orig_vktj-kn.jpg" TargetMode="External"/><Relationship Id="rId_hyperlink_1390" Type="http://schemas.openxmlformats.org/officeDocument/2006/relationships/hyperlink" Target="https://b2beez.ru/images/detailed/157/orig_dg47-na.jpg" TargetMode="External"/><Relationship Id="rId_hyperlink_1391" Type="http://schemas.openxmlformats.org/officeDocument/2006/relationships/hyperlink" Target="https://b2beez.ru/images/detailed/157/6362970528.jpg" TargetMode="External"/><Relationship Id="rId_hyperlink_1392" Type="http://schemas.openxmlformats.org/officeDocument/2006/relationships/hyperlink" Target="https://b2beez.ru/images/detailed/157/orig_7vku-v3.jpg" TargetMode="External"/><Relationship Id="rId_hyperlink_1393" Type="http://schemas.openxmlformats.org/officeDocument/2006/relationships/hyperlink" Target="https://b2beez.ru/images/detailed/157/orig_cd01-nx.jpg" TargetMode="External"/><Relationship Id="rId_hyperlink_1394" Type="http://schemas.openxmlformats.org/officeDocument/2006/relationships/hyperlink" Target="https://b2beez.ru/images/detailed/157/6439247573.jpg" TargetMode="External"/><Relationship Id="rId_hyperlink_1395" Type="http://schemas.openxmlformats.org/officeDocument/2006/relationships/hyperlink" Target="https://b2beez.ru/images/detailed/157/6170182251.jpg" TargetMode="External"/><Relationship Id="rId_hyperlink_1396" Type="http://schemas.openxmlformats.org/officeDocument/2006/relationships/hyperlink" Target="https://b2beez.ru/images/detailed/157/6170136080.jpg" TargetMode="External"/><Relationship Id="rId_hyperlink_1397" Type="http://schemas.openxmlformats.org/officeDocument/2006/relationships/hyperlink" Target="https://b2beez.ru/images/detailed/159/orig_aapi-3l.jpg" TargetMode="External"/><Relationship Id="rId_hyperlink_1398" Type="http://schemas.openxmlformats.org/officeDocument/2006/relationships/hyperlink" Target="https://b2beez.ru/images/detailed/159/6170182230.jpg" TargetMode="External"/><Relationship Id="rId_hyperlink_1399" Type="http://schemas.openxmlformats.org/officeDocument/2006/relationships/hyperlink" Target="https://b2beez.ru/images/detailed/159/orig_eqxu-vk.jpg" TargetMode="External"/><Relationship Id="rId_hyperlink_1400" Type="http://schemas.openxmlformats.org/officeDocument/2006/relationships/hyperlink" Target="https://b2beez.ru/images/detailed/159/6177812601.jpg" TargetMode="External"/><Relationship Id="rId_hyperlink_1401" Type="http://schemas.openxmlformats.org/officeDocument/2006/relationships/hyperlink" Target="https://b2beez.ru/images/detailed/159/6173434730.jpg" TargetMode="External"/><Relationship Id="rId_hyperlink_1402" Type="http://schemas.openxmlformats.org/officeDocument/2006/relationships/hyperlink" Target="https://b2beez.ru/images/detailed/159/6173434656.jpg" TargetMode="External"/><Relationship Id="rId_hyperlink_1403" Type="http://schemas.openxmlformats.org/officeDocument/2006/relationships/hyperlink" Target="https://b2beez.ru/images/detailed/159/orig_2iex-oe.jpg" TargetMode="External"/><Relationship Id="rId_hyperlink_1404" Type="http://schemas.openxmlformats.org/officeDocument/2006/relationships/hyperlink" Target="https://b2beez.ru/images/detailed/159/orig_0r7o-ar.jpg" TargetMode="External"/><Relationship Id="rId_hyperlink_1405" Type="http://schemas.openxmlformats.org/officeDocument/2006/relationships/hyperlink" Target="https://b2beez.ru/images/detailed/159/6170182279.jpg" TargetMode="External"/><Relationship Id="rId_hyperlink_1406" Type="http://schemas.openxmlformats.org/officeDocument/2006/relationships/hyperlink" Target="https://b2beez.ru/images/detailed/159/6170182260.jpg" TargetMode="External"/><Relationship Id="rId_hyperlink_1407" Type="http://schemas.openxmlformats.org/officeDocument/2006/relationships/hyperlink" Target="https://b2beez.ru/images/detailed/159/orig_hf6m-wh.jpg" TargetMode="External"/><Relationship Id="rId_hyperlink_1408" Type="http://schemas.openxmlformats.org/officeDocument/2006/relationships/hyperlink" Target="https://b2beez.ru/images/detailed/159/orig_x0zc-b8.jpg" TargetMode="External"/><Relationship Id="rId_hyperlink_1409" Type="http://schemas.openxmlformats.org/officeDocument/2006/relationships/hyperlink" Target="https://b2beez.ru/images/detailed/159/6170182286.jpg" TargetMode="External"/><Relationship Id="rId_hyperlink_1410" Type="http://schemas.openxmlformats.org/officeDocument/2006/relationships/hyperlink" Target="https://b2beez.ru/images/detailed/159/6170182264.jpg" TargetMode="External"/><Relationship Id="rId_hyperlink_1411" Type="http://schemas.openxmlformats.org/officeDocument/2006/relationships/hyperlink" Target="https://b2beez.ru/images/detailed/159/orig_1mmc-n4.jpg" TargetMode="External"/><Relationship Id="rId_hyperlink_1412" Type="http://schemas.openxmlformats.org/officeDocument/2006/relationships/hyperlink" Target="https://b2beez.ru/images/detailed/159/6790043012.jpg" TargetMode="External"/><Relationship Id="rId_hyperlink_1413" Type="http://schemas.openxmlformats.org/officeDocument/2006/relationships/hyperlink" Target="https://b2beez.ru/images/detailed/159/orig_90g9-5c.jpg" TargetMode="External"/><Relationship Id="rId_hyperlink_1414" Type="http://schemas.openxmlformats.org/officeDocument/2006/relationships/hyperlink" Target="https://b2beez.ru/images/detailed/159/orig_ulpv-qj.jpg" TargetMode="External"/><Relationship Id="rId_hyperlink_1415" Type="http://schemas.openxmlformats.org/officeDocument/2006/relationships/hyperlink" Target="https://b2beez.ru/images/detailed/159/6181027118.jpg" TargetMode="External"/><Relationship Id="rId_hyperlink_1416" Type="http://schemas.openxmlformats.org/officeDocument/2006/relationships/hyperlink" Target="https://b2beez.ru/images/detailed/159/6413810258.jpg" TargetMode="External"/><Relationship Id="rId_hyperlink_1417" Type="http://schemas.openxmlformats.org/officeDocument/2006/relationships/hyperlink" Target="https://b2beez.ru/images/detailed/167/orig_oa82-9i.jpg" TargetMode="External"/><Relationship Id="rId_hyperlink_1418" Type="http://schemas.openxmlformats.org/officeDocument/2006/relationships/hyperlink" Target="https://b2beez.ru/images/detailed/167/orig_s0q6-u4.jpg" TargetMode="External"/><Relationship Id="rId_hyperlink_1419" Type="http://schemas.openxmlformats.org/officeDocument/2006/relationships/hyperlink" Target="https://b2beez.ru/images/detailed/167/6689549129.jpg" TargetMode="External"/><Relationship Id="rId_hyperlink_1420" Type="http://schemas.openxmlformats.org/officeDocument/2006/relationships/hyperlink" Target="https://b2beez.ru/images/detailed/167/orig_zfn9-qj.jpg" TargetMode="External"/><Relationship Id="rId_hyperlink_1421" Type="http://schemas.openxmlformats.org/officeDocument/2006/relationships/hyperlink" Target="https://b2beez.ru/images/detailed/167/orig_2jhl-8k.jpg" TargetMode="External"/><Relationship Id="rId_hyperlink_1422" Type="http://schemas.openxmlformats.org/officeDocument/2006/relationships/hyperlink" Target="https://b2beez.ru/images/detailed/167/orig_ka9l-zt.jpg" TargetMode="External"/><Relationship Id="rId_hyperlink_1423" Type="http://schemas.openxmlformats.org/officeDocument/2006/relationships/hyperlink" Target="https://b2beez.ru/images/detailed/173/6366367215.jpg" TargetMode="External"/><Relationship Id="rId_hyperlink_1424" Type="http://schemas.openxmlformats.org/officeDocument/2006/relationships/hyperlink" Target="https://b2beez.ru/images/detailed/177/6182266560.jpg" TargetMode="External"/><Relationship Id="rId_hyperlink_1425" Type="http://schemas.openxmlformats.org/officeDocument/2006/relationships/hyperlink" Target="https://b2beez.ru/images/detailed/177/6182266569.jpg" TargetMode="External"/><Relationship Id="rId_hyperlink_1426" Type="http://schemas.openxmlformats.org/officeDocument/2006/relationships/hyperlink" Target="https://b2beez.ru/images/detailed/177/orig_rmk4-73.jpg" TargetMode="External"/><Relationship Id="rId_hyperlink_1427" Type="http://schemas.openxmlformats.org/officeDocument/2006/relationships/hyperlink" Target="https://b2beez.ru/images/detailed/177/6182299782.jpg" TargetMode="External"/><Relationship Id="rId_hyperlink_1428" Type="http://schemas.openxmlformats.org/officeDocument/2006/relationships/hyperlink" Target="https://b2beez.ru/images/detailed/177/6182299761.jpg" TargetMode="External"/><Relationship Id="rId_hyperlink_1429" Type="http://schemas.openxmlformats.org/officeDocument/2006/relationships/hyperlink" Target="https://b2beez.ru/images/detailed/177/orig_sukx-oj.jpg" TargetMode="External"/><Relationship Id="rId_hyperlink_1430" Type="http://schemas.openxmlformats.org/officeDocument/2006/relationships/hyperlink" Target="https://b2beez.ru/images/detailed/177/orig_gnqq-fk.jpg" TargetMode="External"/><Relationship Id="rId_hyperlink_1431" Type="http://schemas.openxmlformats.org/officeDocument/2006/relationships/hyperlink" Target="https://b2beez.ru/images/detailed/177/orig_h2k1-x5.jpg" TargetMode="External"/><Relationship Id="rId_hyperlink_1432" Type="http://schemas.openxmlformats.org/officeDocument/2006/relationships/hyperlink" Target="https://b2beez.ru/images/detailed/177/orig_ri64-sb.jpg" TargetMode="External"/><Relationship Id="rId_hyperlink_1433" Type="http://schemas.openxmlformats.org/officeDocument/2006/relationships/hyperlink" Target="https://b2beez.ru/images/detailed/177/orig_5pdc-m3.jpg" TargetMode="External"/><Relationship Id="rId_hyperlink_1434" Type="http://schemas.openxmlformats.org/officeDocument/2006/relationships/hyperlink" Target="https://b2beez.ru/images/detailed/204/R-3550.jpg" TargetMode="External"/><Relationship Id="rId_hyperlink_1435" Type="http://schemas.openxmlformats.org/officeDocument/2006/relationships/hyperlink" Target="https://b2beez.ru/images/detailed/177/orig_9359-i1.jpg" TargetMode="External"/><Relationship Id="rId_hyperlink_1436" Type="http://schemas.openxmlformats.org/officeDocument/2006/relationships/hyperlink" Target="https://b2beez.ru/images/detailed/185/6173443524.jpg" TargetMode="External"/><Relationship Id="rId_hyperlink_1437" Type="http://schemas.openxmlformats.org/officeDocument/2006/relationships/hyperlink" Target="https://b2beez.ru/images/detailed/153/orig_at14-d3.jpg" TargetMode="External"/><Relationship Id="rId_hyperlink_1438" Type="http://schemas.openxmlformats.org/officeDocument/2006/relationships/hyperlink" Target="https://b2beez.ru/images/detailed/154/6363047274.jpg" TargetMode="External"/><Relationship Id="rId_hyperlink_1439" Type="http://schemas.openxmlformats.org/officeDocument/2006/relationships/hyperlink" Target="https://b2beez.ru/images/detailed/157/6172369785.jpg" TargetMode="External"/><Relationship Id="rId_hyperlink_1440" Type="http://schemas.openxmlformats.org/officeDocument/2006/relationships/hyperlink" Target="https://b2beez.ru/images/detailed/157/orig_b055-7i.jpg" TargetMode="External"/><Relationship Id="rId_hyperlink_1441" Type="http://schemas.openxmlformats.org/officeDocument/2006/relationships/hyperlink" Target="https://b2beez.ru/images/detailed/157/orig_kx2u-yo.jpg" TargetMode="External"/><Relationship Id="rId_hyperlink_1442" Type="http://schemas.openxmlformats.org/officeDocument/2006/relationships/hyperlink" Target="https://b2beez.ru/images/detailed/157/6448347840.jpg" TargetMode="External"/><Relationship Id="rId_hyperlink_1443" Type="http://schemas.openxmlformats.org/officeDocument/2006/relationships/hyperlink" Target="https://b2beez.ru/images/detailed/157/orig_jqyg-gg.jpg" TargetMode="External"/><Relationship Id="rId_hyperlink_1444" Type="http://schemas.openxmlformats.org/officeDocument/2006/relationships/hyperlink" Target="https://b2beez.ru/images/detailed/157/orig_vks5-3a.jpg" TargetMode="External"/><Relationship Id="rId_hyperlink_1445" Type="http://schemas.openxmlformats.org/officeDocument/2006/relationships/hyperlink" Target="https://b2beez.ru/images/detailed/157/6177961813.jpg" TargetMode="External"/><Relationship Id="rId_hyperlink_1446" Type="http://schemas.openxmlformats.org/officeDocument/2006/relationships/hyperlink" Target="https://b2beez.ru/images/detailed/157/orig_xqkh-h4.jpg" TargetMode="External"/><Relationship Id="rId_hyperlink_1447" Type="http://schemas.openxmlformats.org/officeDocument/2006/relationships/hyperlink" Target="https://b2beez.ru/images/detailed/157/6170182268.jpg" TargetMode="External"/><Relationship Id="rId_hyperlink_1448" Type="http://schemas.openxmlformats.org/officeDocument/2006/relationships/hyperlink" Target="https://b2beez.ru/images/detailed/157/orig_t10h-8r.jpg" TargetMode="External"/><Relationship Id="rId_hyperlink_1449" Type="http://schemas.openxmlformats.org/officeDocument/2006/relationships/hyperlink" Target="https://b2beez.ru/images/detailed/157/orig_605o-8w.jpg" TargetMode="External"/><Relationship Id="rId_hyperlink_1450" Type="http://schemas.openxmlformats.org/officeDocument/2006/relationships/hyperlink" Target="https://b2beez.ru/images/detailed/157/orig_bqye-ya.jpg" TargetMode="External"/><Relationship Id="rId_hyperlink_1451" Type="http://schemas.openxmlformats.org/officeDocument/2006/relationships/hyperlink" Target="https://b2beez.ru/images/detailed/157/6170182220.jpg" TargetMode="External"/><Relationship Id="rId_hyperlink_1452" Type="http://schemas.openxmlformats.org/officeDocument/2006/relationships/hyperlink" Target="https://b2beez.ru/images/detailed/157/6458311966.jpg" TargetMode="External"/><Relationship Id="rId_hyperlink_1453" Type="http://schemas.openxmlformats.org/officeDocument/2006/relationships/hyperlink" Target="https://b2beez.ru/images/detailed/157/orig_uh8g-cn.jpg" TargetMode="External"/><Relationship Id="rId_hyperlink_1454" Type="http://schemas.openxmlformats.org/officeDocument/2006/relationships/hyperlink" Target="https://b2beez.ru/images/detailed/159/6448347579.jpg" TargetMode="External"/><Relationship Id="rId_hyperlink_1455" Type="http://schemas.openxmlformats.org/officeDocument/2006/relationships/hyperlink" Target="https://b2beez.ru/images/detailed/159/orig_oh99-gi.jpg" TargetMode="External"/><Relationship Id="rId_hyperlink_1456" Type="http://schemas.openxmlformats.org/officeDocument/2006/relationships/hyperlink" Target="https://b2beez.ru/images/detailed/159/orig_vtw3-yg.jpg" TargetMode="External"/><Relationship Id="rId_hyperlink_1457" Type="http://schemas.openxmlformats.org/officeDocument/2006/relationships/hyperlink" Target="https://b2beez.ru/images/detailed/204/D-540.jpg" TargetMode="External"/><Relationship Id="rId_hyperlink_1458" Type="http://schemas.openxmlformats.org/officeDocument/2006/relationships/hyperlink" Target="https://b2beez.ru/images/detailed/167/orig_1p5h-qq.jpg" TargetMode="External"/><Relationship Id="rId_hyperlink_1459" Type="http://schemas.openxmlformats.org/officeDocument/2006/relationships/hyperlink" Target="https://b2beez.ru/images/detailed/167/orig_n8yw-p9.jpg" TargetMode="External"/><Relationship Id="rId_hyperlink_1460" Type="http://schemas.openxmlformats.org/officeDocument/2006/relationships/hyperlink" Target="https://b2beez.ru/images/detailed/167/orig_60ti-s9.jpg" TargetMode="External"/><Relationship Id="rId_hyperlink_1461" Type="http://schemas.openxmlformats.org/officeDocument/2006/relationships/hyperlink" Target="https://b2beez.ru/images/detailed/167/orig_desm-bd.jpg" TargetMode="External"/><Relationship Id="rId_hyperlink_1462" Type="http://schemas.openxmlformats.org/officeDocument/2006/relationships/hyperlink" Target="https://b2beez.ru/images/detailed/176/6179542582.jpg" TargetMode="External"/><Relationship Id="rId_hyperlink_1463" Type="http://schemas.openxmlformats.org/officeDocument/2006/relationships/hyperlink" Target="https://b2beez.ru/images/detailed/176/orig_iaob-zu.jpg" TargetMode="External"/><Relationship Id="rId_hyperlink_1464" Type="http://schemas.openxmlformats.org/officeDocument/2006/relationships/hyperlink" Target="https://b2beez.ru/images/detailed/177/orig_nful-av.jpg" TargetMode="External"/><Relationship Id="rId_hyperlink_1465" Type="http://schemas.openxmlformats.org/officeDocument/2006/relationships/hyperlink" Target="https://b2beez.ru/images/detailed/177/orig_6pr3-vz.jpg" TargetMode="External"/><Relationship Id="rId_hyperlink_1466" Type="http://schemas.openxmlformats.org/officeDocument/2006/relationships/hyperlink" Target="https://b2beez.ru/images/detailed/177/6183060106.jpg" TargetMode="External"/><Relationship Id="rId_hyperlink_1467" Type="http://schemas.openxmlformats.org/officeDocument/2006/relationships/hyperlink" Target="https://b2beez.ru/images/detailed/177/orig_yn8k-nn.jpg" TargetMode="External"/><Relationship Id="rId_hyperlink_1468" Type="http://schemas.openxmlformats.org/officeDocument/2006/relationships/hyperlink" Target="https://b2beez.ru/images/detailed/177/6182299764.jpg" TargetMode="External"/><Relationship Id="rId_hyperlink_1469" Type="http://schemas.openxmlformats.org/officeDocument/2006/relationships/hyperlink" Target="https://b2beez.ru/images/detailed/177/6458296136.jpg" TargetMode="External"/><Relationship Id="rId_hyperlink_1470" Type="http://schemas.openxmlformats.org/officeDocument/2006/relationships/hyperlink" Target="https://b2beez.ru/images/detailed/177/orig_dyw7-6d.jpg" TargetMode="External"/><Relationship Id="rId_hyperlink_1471" Type="http://schemas.openxmlformats.org/officeDocument/2006/relationships/hyperlink" Target="https://b2beez.ru/images/detailed/185/orig_ra41-mb.jpg" TargetMode="External"/><Relationship Id="rId_hyperlink_1472" Type="http://schemas.openxmlformats.org/officeDocument/2006/relationships/hyperlink" Target="https://b2beez.ru/images/detailed/159/7137656415.jpg" TargetMode="External"/><Relationship Id="rId_hyperlink_1473" Type="http://schemas.openxmlformats.org/officeDocument/2006/relationships/hyperlink" Target="https://b2beez.ru/images/detailed/159/7137656022.jpg" TargetMode="External"/><Relationship Id="rId_hyperlink_1474" Type="http://schemas.openxmlformats.org/officeDocument/2006/relationships/hyperlink" Target="https://b2beez.ru/images/detailed/159/7137655581.jpg" TargetMode="External"/><Relationship Id="rId_hyperlink_1475" Type="http://schemas.openxmlformats.org/officeDocument/2006/relationships/hyperlink" Target="https://b2beez.ru/images/detailed/187/orig_k1fm-3i.jpg" TargetMode="External"/><Relationship Id="rId_hyperlink_1476" Type="http://schemas.openxmlformats.org/officeDocument/2006/relationships/hyperlink" Target="https://b2beez.ru/images/detailed/187/orig_riw9-zg.jpg" TargetMode="External"/><Relationship Id="rId_hyperlink_1477" Type="http://schemas.openxmlformats.org/officeDocument/2006/relationships/hyperlink" Target="https://b2beez.ru/images/detailed/185/orig_vkce-il.jpg" TargetMode="External"/><Relationship Id="rId_hyperlink_1478" Type="http://schemas.openxmlformats.org/officeDocument/2006/relationships/hyperlink" Target="https://b2beez.ru/images/detailed/187/orig_5x45-s8.jpg" TargetMode="External"/><Relationship Id="rId_hyperlink_1479" Type="http://schemas.openxmlformats.org/officeDocument/2006/relationships/hyperlink" Target="https://b2beez.ru/images/detailed/184/orig_7ir9-jr.jpg" TargetMode="External"/><Relationship Id="rId_hyperlink_1480" Type="http://schemas.openxmlformats.org/officeDocument/2006/relationships/hyperlink" Target="https://b2beez.ru/images/detailed/184/orig_xhhg-n5.jpg" TargetMode="External"/><Relationship Id="rId_hyperlink_1481" Type="http://schemas.openxmlformats.org/officeDocument/2006/relationships/hyperlink" Target="https://b2beez.ru/images/detailed/187/orig_wwh5-mw.jpg" TargetMode="External"/><Relationship Id="rId_hyperlink_1482" Type="http://schemas.openxmlformats.org/officeDocument/2006/relationships/hyperlink" Target="https://b2beez.ru/images/detailed/187/orig_d6ef-ja.jpg" TargetMode="External"/><Relationship Id="rId_hyperlink_1483" Type="http://schemas.openxmlformats.org/officeDocument/2006/relationships/hyperlink" Target="https://b2beez.ru/images/detailed/184/orig_nm1h-f3.jpg" TargetMode="External"/><Relationship Id="rId_hyperlink_1484" Type="http://schemas.openxmlformats.org/officeDocument/2006/relationships/hyperlink" Target="https://b2beez.ru/images/detailed/187/orig_y2cs-ob.jpg" TargetMode="External"/><Relationship Id="rId_hyperlink_1485" Type="http://schemas.openxmlformats.org/officeDocument/2006/relationships/hyperlink" Target="https://b2beez.ru/images/detailed/187/orig_n3s5-vg.jpg" TargetMode="External"/><Relationship Id="rId_hyperlink_1486" Type="http://schemas.openxmlformats.org/officeDocument/2006/relationships/hyperlink" Target="https://b2beez.ru/images/detailed/187/orig_68ei-9l.jpg" TargetMode="External"/><Relationship Id="rId_hyperlink_1487" Type="http://schemas.openxmlformats.org/officeDocument/2006/relationships/hyperlink" Target="https://b2beez.ru/images/detailed/187/orig_wixp-mb.jpg" TargetMode="External"/><Relationship Id="rId_hyperlink_1488" Type="http://schemas.openxmlformats.org/officeDocument/2006/relationships/hyperlink" Target="https://b2beez.ru/images/detailed/184/orig_eiqc-sb.jpg" TargetMode="External"/><Relationship Id="rId_hyperlink_1489" Type="http://schemas.openxmlformats.org/officeDocument/2006/relationships/hyperlink" Target="https://b2beez.ru/images/detailed/187/orig_ttu6-1n.jpg" TargetMode="External"/><Relationship Id="rId_hyperlink_1490" Type="http://schemas.openxmlformats.org/officeDocument/2006/relationships/hyperlink" Target="https://b2beez.ru/images/detailed/187/orig_wj38-l8.jpg" TargetMode="External"/><Relationship Id="rId_hyperlink_1491" Type="http://schemas.openxmlformats.org/officeDocument/2006/relationships/hyperlink" Target="https://b2beez.ru/images/detailed/187/orig_z0si-q1.jpg" TargetMode="External"/><Relationship Id="rId_hyperlink_1492" Type="http://schemas.openxmlformats.org/officeDocument/2006/relationships/hyperlink" Target="https://b2beez.ru/images/detailed/187/orig_xxsh-xq.jpg" TargetMode="External"/><Relationship Id="rId_hyperlink_1493" Type="http://schemas.openxmlformats.org/officeDocument/2006/relationships/hyperlink" Target="https://b2beez.ru/images/detailed/157/6318374937.jpg" TargetMode="External"/><Relationship Id="rId_hyperlink_1494" Type="http://schemas.openxmlformats.org/officeDocument/2006/relationships/hyperlink" Target="https://b2beez.ru/images/detailed/159/orig_mb68-cw.jpg" TargetMode="External"/><Relationship Id="rId_hyperlink_1495" Type="http://schemas.openxmlformats.org/officeDocument/2006/relationships/hyperlink" Target="https://b2beez.ru/images/detailed/159/orig_9ap1-hk.jpg" TargetMode="External"/><Relationship Id="rId_hyperlink_1496" Type="http://schemas.openxmlformats.org/officeDocument/2006/relationships/hyperlink" Target="https://b2beez.ru/images/detailed/159/orig_t36s-0k.jpg" TargetMode="External"/><Relationship Id="rId_hyperlink_1497" Type="http://schemas.openxmlformats.org/officeDocument/2006/relationships/hyperlink" Target="https://b2beez.ru/images/detailed/157/6170136071.jpg" TargetMode="External"/><Relationship Id="rId_hyperlink_1498" Type="http://schemas.openxmlformats.org/officeDocument/2006/relationships/hyperlink" Target="https://b2beez.ru/images/detailed/159/orig_r6fr-2i.jpg" TargetMode="External"/><Relationship Id="rId_hyperlink_1499" Type="http://schemas.openxmlformats.org/officeDocument/2006/relationships/hyperlink" Target="https://b2beez.ru/images/detailed/160/orig_6bj4-sa.jpg" TargetMode="External"/><Relationship Id="rId_hyperlink_1500" Type="http://schemas.openxmlformats.org/officeDocument/2006/relationships/hyperlink" Target="https://b2beez.ru/images/detailed/157/orig_i1vq-tm.jpg" TargetMode="External"/><Relationship Id="rId_hyperlink_1501" Type="http://schemas.openxmlformats.org/officeDocument/2006/relationships/hyperlink" Target="https://b2beez.ru/images/detailed/157/6458319351.jpg" TargetMode="External"/><Relationship Id="rId_hyperlink_1502" Type="http://schemas.openxmlformats.org/officeDocument/2006/relationships/hyperlink" Target="https://b2beez.ru/images/detailed/205/1_7p36-vo.jpg" TargetMode="External"/><Relationship Id="rId_hyperlink_1503" Type="http://schemas.openxmlformats.org/officeDocument/2006/relationships/hyperlink" Target="https://b2beez.ru/images/detailed/157/orig_g3yl-9k.jpg" TargetMode="External"/><Relationship Id="rId_hyperlink_1504" Type="http://schemas.openxmlformats.org/officeDocument/2006/relationships/hyperlink" Target="https://b2beez.ru/images/detailed/159/orig_ypxm-ih.jpg" TargetMode="External"/><Relationship Id="rId_hyperlink_1505" Type="http://schemas.openxmlformats.org/officeDocument/2006/relationships/hyperlink" Target="https://b2beez.ru/images/detailed/157/6458297314.jpg" TargetMode="External"/><Relationship Id="rId_hyperlink_1506" Type="http://schemas.openxmlformats.org/officeDocument/2006/relationships/hyperlink" Target="https://b2beez.ru/images/detailed/157/6187438460.jpg" TargetMode="External"/><Relationship Id="rId_hyperlink_1507" Type="http://schemas.openxmlformats.org/officeDocument/2006/relationships/hyperlink" Target="https://b2beez.ru/images/detailed/178/6423081194.jpg" TargetMode="External"/><Relationship Id="rId_hyperlink_1508" Type="http://schemas.openxmlformats.org/officeDocument/2006/relationships/hyperlink" Target="https://b2beez.ru/images/detailed/178/6423081206.jpg" TargetMode="External"/><Relationship Id="rId_hyperlink_1509" Type="http://schemas.openxmlformats.org/officeDocument/2006/relationships/hyperlink" Target="https://b2beez.ru/images/detailed/178/6423081282.jpg" TargetMode="External"/><Relationship Id="rId_hyperlink_1510" Type="http://schemas.openxmlformats.org/officeDocument/2006/relationships/hyperlink" Target="https://b2beez.ru/images/detailed/173/7056271940.jpg" TargetMode="External"/><Relationship Id="rId_hyperlink_1511" Type="http://schemas.openxmlformats.org/officeDocument/2006/relationships/hyperlink" Target="https://b2beez.ru/images/detailed/0/" TargetMode="External"/><Relationship Id="rId_hyperlink_1512" Type="http://schemas.openxmlformats.org/officeDocument/2006/relationships/hyperlink" Target="https://b2beez.ru/images/detailed/178/orig_pqs8-3o.jpg" TargetMode="External"/><Relationship Id="rId_hyperlink_1513" Type="http://schemas.openxmlformats.org/officeDocument/2006/relationships/hyperlink" Target="https://b2beez.ru/images/detailed/177/6166084045.jpg" TargetMode="External"/><Relationship Id="rId_hyperlink_1514" Type="http://schemas.openxmlformats.org/officeDocument/2006/relationships/hyperlink" Target="https://b2beez.ru/images/detailed/157/orig_zqoh-gu.jpg" TargetMode="External"/><Relationship Id="rId_hyperlink_1515" Type="http://schemas.openxmlformats.org/officeDocument/2006/relationships/hyperlink" Target="https://b2beez.ru/images/detailed/159/6170182252.jpg" TargetMode="External"/><Relationship Id="rId_hyperlink_1516" Type="http://schemas.openxmlformats.org/officeDocument/2006/relationships/hyperlink" Target="https://b2beez.ru/images/detailed/90/6144150555.jpg" TargetMode="External"/><Relationship Id="rId_hyperlink_1517" Type="http://schemas.openxmlformats.org/officeDocument/2006/relationships/hyperlink" Target="https://b2beez.ru/images/detailed/158/6144150555.jpg" TargetMode="External"/><Relationship Id="rId_hyperlink_1518" Type="http://schemas.openxmlformats.org/officeDocument/2006/relationships/hyperlink" Target="https://b2beez.ru/images/detailed/158/orig_r70g-f0.jpg" TargetMode="External"/><Relationship Id="rId_hyperlink_1519" Type="http://schemas.openxmlformats.org/officeDocument/2006/relationships/hyperlink" Target="https://b2beez.ru/images/detailed/157/6991607505.jpg" TargetMode="External"/><Relationship Id="rId_hyperlink_1520" Type="http://schemas.openxmlformats.org/officeDocument/2006/relationships/hyperlink" Target="https://b2beez.ru/images/detailed/158/orig_pcpu-b3.jpg" TargetMode="External"/><Relationship Id="rId_hyperlink_1521" Type="http://schemas.openxmlformats.org/officeDocument/2006/relationships/hyperlink" Target="https://b2beez.ru/images/detailed/178/orig_ytsk-1c.jpg" TargetMode="External"/><Relationship Id="rId_hyperlink_1522" Type="http://schemas.openxmlformats.org/officeDocument/2006/relationships/hyperlink" Target="https://b2beez.ru/images/detailed/177/orig_n8bu-46.jpg" TargetMode="External"/><Relationship Id="rId_hyperlink_1523" Type="http://schemas.openxmlformats.org/officeDocument/2006/relationships/hyperlink" Target="https://b2beez.ru/images/detailed/158/6144150952_6ev7-z8.jpg" TargetMode="External"/><Relationship Id="rId_hyperlink_1524" Type="http://schemas.openxmlformats.org/officeDocument/2006/relationships/hyperlink" Target="https://b2beez.ru/images/detailed/159/orig_n7dp-0y.jpg" TargetMode="External"/><Relationship Id="rId_hyperlink_1525" Type="http://schemas.openxmlformats.org/officeDocument/2006/relationships/hyperlink" Target="https://b2beez.ru/images/detailed/0/" TargetMode="External"/><Relationship Id="rId_hyperlink_1526" Type="http://schemas.openxmlformats.org/officeDocument/2006/relationships/hyperlink" Target="https://b2beez.ru/images/detailed/159/orig_qjgj-65.jpg" TargetMode="External"/><Relationship Id="rId_hyperlink_1527" Type="http://schemas.openxmlformats.org/officeDocument/2006/relationships/hyperlink" Target="https://b2beez.ru/images/detailed/160/6144151047.jpg" TargetMode="External"/><Relationship Id="rId_hyperlink_1528" Type="http://schemas.openxmlformats.org/officeDocument/2006/relationships/hyperlink" Target="https://b2beez.ru/images/detailed/0/" TargetMode="External"/><Relationship Id="rId_hyperlink_1529" Type="http://schemas.openxmlformats.org/officeDocument/2006/relationships/hyperlink" Target="https://b2beez.ru/images/detailed/159/orig_0ybk-1b.jpg" TargetMode="External"/><Relationship Id="rId_hyperlink_1530" Type="http://schemas.openxmlformats.org/officeDocument/2006/relationships/hyperlink" Target="https://b2beez.ru/images/detailed/0/" TargetMode="External"/><Relationship Id="rId_hyperlink_1531" Type="http://schemas.openxmlformats.org/officeDocument/2006/relationships/hyperlink" Target="https://b2beez.ru/images/detailed/158/orig_cq0h-7i.jpg" TargetMode="External"/><Relationship Id="rId_hyperlink_1532" Type="http://schemas.openxmlformats.org/officeDocument/2006/relationships/hyperlink" Target="https://b2beez.ru/images/detailed/0/" TargetMode="External"/><Relationship Id="rId_hyperlink_1533" Type="http://schemas.openxmlformats.org/officeDocument/2006/relationships/hyperlink" Target="https://b2beez.ru/images/detailed/0/" TargetMode="External"/><Relationship Id="rId_hyperlink_1534" Type="http://schemas.openxmlformats.org/officeDocument/2006/relationships/hyperlink" Target="https://b2beez.ru/images/detailed/159/6689546296.jpg" TargetMode="External"/><Relationship Id="rId_hyperlink_1535" Type="http://schemas.openxmlformats.org/officeDocument/2006/relationships/hyperlink" Target="https://b2beez.ru/images/detailed/158/6144150878.jpg" TargetMode="External"/><Relationship Id="rId_hyperlink_1536" Type="http://schemas.openxmlformats.org/officeDocument/2006/relationships/hyperlink" Target="https://b2beez.ru/images/detailed/0/" TargetMode="External"/><Relationship Id="rId_hyperlink_1537" Type="http://schemas.openxmlformats.org/officeDocument/2006/relationships/hyperlink" Target="https://b2beez.ru/images/detailed/176/orig_qerd-0q.jpg" TargetMode="External"/><Relationship Id="rId_hyperlink_1538" Type="http://schemas.openxmlformats.org/officeDocument/2006/relationships/hyperlink" Target="https://b2beez.ru/images/detailed/0/" TargetMode="External"/><Relationship Id="rId_hyperlink_1539" Type="http://schemas.openxmlformats.org/officeDocument/2006/relationships/hyperlink" Target="https://b2beez.ru/images/detailed/158/6144150901.jpg" TargetMode="External"/><Relationship Id="rId_hyperlink_1540" Type="http://schemas.openxmlformats.org/officeDocument/2006/relationships/hyperlink" Target="https://b2beez.ru/images/detailed/158/6144150816.jpg" TargetMode="External"/><Relationship Id="rId_hyperlink_1541" Type="http://schemas.openxmlformats.org/officeDocument/2006/relationships/hyperlink" Target="https://b2beez.ru/images/detailed/158/6144150470.jpg" TargetMode="External"/><Relationship Id="rId_hyperlink_1542" Type="http://schemas.openxmlformats.org/officeDocument/2006/relationships/hyperlink" Target="https://b2beez.ru/images/detailed/158/orig_4ebs-zo.jpg" TargetMode="External"/><Relationship Id="rId_hyperlink_1543" Type="http://schemas.openxmlformats.org/officeDocument/2006/relationships/hyperlink" Target="https://b2beez.ru/images/detailed/158/orig_orwy-ow.jpg" TargetMode="External"/><Relationship Id="rId_hyperlink_1544" Type="http://schemas.openxmlformats.org/officeDocument/2006/relationships/hyperlink" Target="https://b2beez.ru/images/detailed/158/orig_dcvs-25.jpg" TargetMode="External"/><Relationship Id="rId_hyperlink_1545" Type="http://schemas.openxmlformats.org/officeDocument/2006/relationships/hyperlink" Target="https://b2beez.ru/images/detailed/154/6144150557.jpg" TargetMode="External"/><Relationship Id="rId_hyperlink_1546" Type="http://schemas.openxmlformats.org/officeDocument/2006/relationships/hyperlink" Target="https://b2beez.ru/images/detailed/154/6144150671.jpg" TargetMode="External"/><Relationship Id="rId_hyperlink_1547" Type="http://schemas.openxmlformats.org/officeDocument/2006/relationships/hyperlink" Target="https://b2beez.ru/images/detailed/154/orig_lcq4-2w.jpg" TargetMode="External"/><Relationship Id="rId_hyperlink_1548" Type="http://schemas.openxmlformats.org/officeDocument/2006/relationships/hyperlink" Target="https://b2beez.ru/images/detailed/154/6144150568.jpg" TargetMode="External"/><Relationship Id="rId_hyperlink_1549" Type="http://schemas.openxmlformats.org/officeDocument/2006/relationships/hyperlink" Target="https://b2beez.ru/images/detailed/154/6144150897.jpg" TargetMode="External"/><Relationship Id="rId_hyperlink_1550" Type="http://schemas.openxmlformats.org/officeDocument/2006/relationships/hyperlink" Target="https://b2beez.ru/images/detailed/154/6144637071.jpg" TargetMode="External"/><Relationship Id="rId_hyperlink_1551" Type="http://schemas.openxmlformats.org/officeDocument/2006/relationships/hyperlink" Target="https://b2beez.ru/images/detailed/154/6144150963.jpg" TargetMode="External"/><Relationship Id="rId_hyperlink_1552" Type="http://schemas.openxmlformats.org/officeDocument/2006/relationships/hyperlink" Target="https://b2beez.ru/images/detailed/154/6144150910.jpg" TargetMode="External"/><Relationship Id="rId_hyperlink_1553" Type="http://schemas.openxmlformats.org/officeDocument/2006/relationships/hyperlink" Target="https://b2beez.ru/images/detailed/154/orig_cu8t-s6.jpg" TargetMode="External"/><Relationship Id="rId_hyperlink_1554" Type="http://schemas.openxmlformats.org/officeDocument/2006/relationships/hyperlink" Target="https://b2beez.ru/images/detailed/154/6144150758.jpg" TargetMode="External"/><Relationship Id="rId_hyperlink_1555" Type="http://schemas.openxmlformats.org/officeDocument/2006/relationships/hyperlink" Target="https://b2beez.ru/images/detailed/154/6144151142.jpg" TargetMode="External"/><Relationship Id="rId_hyperlink_1556" Type="http://schemas.openxmlformats.org/officeDocument/2006/relationships/hyperlink" Target="https://b2beez.ru/images/detailed/154/orig_6miv-kh.jpg" TargetMode="External"/><Relationship Id="rId_hyperlink_1557" Type="http://schemas.openxmlformats.org/officeDocument/2006/relationships/hyperlink" Target="https://b2beez.ru/images/detailed/154/orig_7b57-w7.jpg" TargetMode="External"/><Relationship Id="rId_hyperlink_1558" Type="http://schemas.openxmlformats.org/officeDocument/2006/relationships/hyperlink" Target="https://b2beez.ru/images/detailed/154/6459834172.jpg" TargetMode="External"/><Relationship Id="rId_hyperlink_1559" Type="http://schemas.openxmlformats.org/officeDocument/2006/relationships/hyperlink" Target="https://b2beez.ru/images/detailed/154/6148420818.jpg" TargetMode="External"/><Relationship Id="rId_hyperlink_1560" Type="http://schemas.openxmlformats.org/officeDocument/2006/relationships/hyperlink" Target="https://b2beez.ru/images/detailed/154/6459834890.jpg" TargetMode="External"/><Relationship Id="rId_hyperlink_1561" Type="http://schemas.openxmlformats.org/officeDocument/2006/relationships/hyperlink" Target="https://b2beez.ru/images/detailed/154/6459837390.jpg" TargetMode="External"/><Relationship Id="rId_hyperlink_1562" Type="http://schemas.openxmlformats.org/officeDocument/2006/relationships/hyperlink" Target="https://b2beez.ru/images/detailed/154/6459836863.jpg" TargetMode="External"/><Relationship Id="rId_hyperlink_1563" Type="http://schemas.openxmlformats.org/officeDocument/2006/relationships/hyperlink" Target="https://b2beez.ru/images/detailed/154/orig_ztsw-bm.jpg" TargetMode="External"/><Relationship Id="rId_hyperlink_1564" Type="http://schemas.openxmlformats.org/officeDocument/2006/relationships/hyperlink" Target="https://b2beez.ru/images/detailed/154/orig_axgf-g0.jpg" TargetMode="External"/><Relationship Id="rId_hyperlink_1565" Type="http://schemas.openxmlformats.org/officeDocument/2006/relationships/hyperlink" Target="https://b2beez.ru/images/detailed/154/6144150923.jpg" TargetMode="External"/><Relationship Id="rId_hyperlink_1566" Type="http://schemas.openxmlformats.org/officeDocument/2006/relationships/hyperlink" Target="https://b2beez.ru/images/detailed/157/orig_abad-l3.jpg" TargetMode="External"/><Relationship Id="rId_hyperlink_1567" Type="http://schemas.openxmlformats.org/officeDocument/2006/relationships/hyperlink" Target="https://b2beez.ru/images/detailed/157/orig_f43w-qv.jpg" TargetMode="External"/><Relationship Id="rId_hyperlink_1568" Type="http://schemas.openxmlformats.org/officeDocument/2006/relationships/hyperlink" Target="https://b2beez.ru/images/detailed/157/orig_lkp5-s5.jpg" TargetMode="External"/><Relationship Id="rId_hyperlink_1569" Type="http://schemas.openxmlformats.org/officeDocument/2006/relationships/hyperlink" Target="https://b2beez.ru/images/detailed/157/orig_x1o8-e2.jpg" TargetMode="External"/><Relationship Id="rId_hyperlink_1570" Type="http://schemas.openxmlformats.org/officeDocument/2006/relationships/hyperlink" Target="https://b2beez.ru/images/detailed/157/orig_gu0d-le.jpg" TargetMode="External"/><Relationship Id="rId_hyperlink_1571" Type="http://schemas.openxmlformats.org/officeDocument/2006/relationships/hyperlink" Target="https://b2beez.ru/images/detailed/157/orig_4qkq-wa.jpg" TargetMode="External"/><Relationship Id="rId_hyperlink_1572" Type="http://schemas.openxmlformats.org/officeDocument/2006/relationships/hyperlink" Target="https://b2beez.ru/images/detailed/157/orig_lniw-tx.jpg" TargetMode="External"/><Relationship Id="rId_hyperlink_1573" Type="http://schemas.openxmlformats.org/officeDocument/2006/relationships/hyperlink" Target="https://b2beez.ru/images/detailed/157/6144151085_5hp3-pk.jpg" TargetMode="External"/><Relationship Id="rId_hyperlink_1574" Type="http://schemas.openxmlformats.org/officeDocument/2006/relationships/hyperlink" Target="https://b2beez.ru/images/detailed/157/orig_ebik-pi.jpg" TargetMode="External"/><Relationship Id="rId_hyperlink_1575" Type="http://schemas.openxmlformats.org/officeDocument/2006/relationships/hyperlink" Target="https://b2beez.ru/images/detailed/157/orig_hg8a-ei.jpg" TargetMode="External"/><Relationship Id="rId_hyperlink_1576" Type="http://schemas.openxmlformats.org/officeDocument/2006/relationships/hyperlink" Target="https://b2beez.ru/images/detailed/157/6144151100.jpg" TargetMode="External"/><Relationship Id="rId_hyperlink_1577" Type="http://schemas.openxmlformats.org/officeDocument/2006/relationships/hyperlink" Target="https://b2beez.ru/images/detailed/157/orig_citn-j2.jpg" TargetMode="External"/><Relationship Id="rId_hyperlink_1578" Type="http://schemas.openxmlformats.org/officeDocument/2006/relationships/hyperlink" Target="https://b2beez.ru/images/detailed/157/orig_p45c-kp.jpg" TargetMode="External"/><Relationship Id="rId_hyperlink_1579" Type="http://schemas.openxmlformats.org/officeDocument/2006/relationships/hyperlink" Target="https://b2beez.ru/images/detailed/157/orig_d0pc-3c.jpg" TargetMode="External"/><Relationship Id="rId_hyperlink_1580" Type="http://schemas.openxmlformats.org/officeDocument/2006/relationships/hyperlink" Target="https://b2beez.ru/images/detailed/157/orig_8sax-xh.jpg" TargetMode="External"/><Relationship Id="rId_hyperlink_1581" Type="http://schemas.openxmlformats.org/officeDocument/2006/relationships/hyperlink" Target="https://b2beez.ru/images/detailed/157/orig_5bn6-yz.jpg" TargetMode="External"/><Relationship Id="rId_hyperlink_1582" Type="http://schemas.openxmlformats.org/officeDocument/2006/relationships/hyperlink" Target="https://b2beez.ru/images/detailed/157/orig_vcjh-w9.jpg" TargetMode="External"/><Relationship Id="rId_hyperlink_1583" Type="http://schemas.openxmlformats.org/officeDocument/2006/relationships/hyperlink" Target="https://b2beez.ru/images/detailed/157/6144151111.jpg" TargetMode="External"/><Relationship Id="rId_hyperlink_1584" Type="http://schemas.openxmlformats.org/officeDocument/2006/relationships/hyperlink" Target="https://b2beez.ru/images/detailed/157/orig_21m2-9c.jpg" TargetMode="External"/><Relationship Id="rId_hyperlink_1585" Type="http://schemas.openxmlformats.org/officeDocument/2006/relationships/hyperlink" Target="https://b2beez.ru/images/detailed/157/orig_oleh-5s.jpg" TargetMode="External"/><Relationship Id="rId_hyperlink_1586" Type="http://schemas.openxmlformats.org/officeDocument/2006/relationships/hyperlink" Target="https://b2beez.ru/images/detailed/204/D-1254.jpg" TargetMode="External"/><Relationship Id="rId_hyperlink_1587" Type="http://schemas.openxmlformats.org/officeDocument/2006/relationships/hyperlink" Target="https://b2beez.ru/images/detailed/157/orig_f2hr-hi.jpg" TargetMode="External"/><Relationship Id="rId_hyperlink_1588" Type="http://schemas.openxmlformats.org/officeDocument/2006/relationships/hyperlink" Target="https://b2beez.ru/images/detailed/157/orig_qudg-oy.jpg" TargetMode="External"/><Relationship Id="rId_hyperlink_1589" Type="http://schemas.openxmlformats.org/officeDocument/2006/relationships/hyperlink" Target="https://b2beez.ru/images/detailed/157/orig_4qij-wj.jpg" TargetMode="External"/><Relationship Id="rId_hyperlink_1590" Type="http://schemas.openxmlformats.org/officeDocument/2006/relationships/hyperlink" Target="https://b2beez.ru/images/detailed/157/orig_4qcr-d0.jpg" TargetMode="External"/><Relationship Id="rId_hyperlink_1591" Type="http://schemas.openxmlformats.org/officeDocument/2006/relationships/hyperlink" Target="https://b2beez.ru/images/detailed/157/orig_zng8-ij.jpg" TargetMode="External"/><Relationship Id="rId_hyperlink_1592" Type="http://schemas.openxmlformats.org/officeDocument/2006/relationships/hyperlink" Target="https://b2beez.ru/images/detailed/157/orig_zbll-66.jpg" TargetMode="External"/><Relationship Id="rId_hyperlink_1593" Type="http://schemas.openxmlformats.org/officeDocument/2006/relationships/hyperlink" Target="https://b2beez.ru/images/detailed/157/6144150874.jpg" TargetMode="External"/><Relationship Id="rId_hyperlink_1594" Type="http://schemas.openxmlformats.org/officeDocument/2006/relationships/hyperlink" Target="https://b2beez.ru/images/detailed/157/orig_mbrk-u5.jpg" TargetMode="External"/><Relationship Id="rId_hyperlink_1595" Type="http://schemas.openxmlformats.org/officeDocument/2006/relationships/hyperlink" Target="https://b2beez.ru/images/detailed/157/6144150702_49z0-a8.jpg" TargetMode="External"/><Relationship Id="rId_hyperlink_1596" Type="http://schemas.openxmlformats.org/officeDocument/2006/relationships/hyperlink" Target="https://b2beez.ru/images/detailed/157/orig_f6hb-mp.jpg" TargetMode="External"/><Relationship Id="rId_hyperlink_1597" Type="http://schemas.openxmlformats.org/officeDocument/2006/relationships/hyperlink" Target="https://b2beez.ru/images/detailed/157/6144150617.jpg" TargetMode="External"/><Relationship Id="rId_hyperlink_1598" Type="http://schemas.openxmlformats.org/officeDocument/2006/relationships/hyperlink" Target="https://b2beez.ru/images/detailed/157/orig_tlc4-up.jpg" TargetMode="External"/><Relationship Id="rId_hyperlink_1599" Type="http://schemas.openxmlformats.org/officeDocument/2006/relationships/hyperlink" Target="https://b2beez.ru/images/detailed/157/orig_h681-hz.jpg" TargetMode="External"/><Relationship Id="rId_hyperlink_1600" Type="http://schemas.openxmlformats.org/officeDocument/2006/relationships/hyperlink" Target="https://b2beez.ru/images/detailed/158/orig_lou0-fq.jpg" TargetMode="External"/><Relationship Id="rId_hyperlink_1601" Type="http://schemas.openxmlformats.org/officeDocument/2006/relationships/hyperlink" Target="https://b2beez.ru/images/detailed/158/orig_qsb6-23.jpg" TargetMode="External"/><Relationship Id="rId_hyperlink_1602" Type="http://schemas.openxmlformats.org/officeDocument/2006/relationships/hyperlink" Target="https://b2beez.ru/images/detailed/158/orig_j7zt-ku.jpg" TargetMode="External"/><Relationship Id="rId_hyperlink_1603" Type="http://schemas.openxmlformats.org/officeDocument/2006/relationships/hyperlink" Target="https://b2beez.ru/images/detailed/158/orig_7pb0-qy.jpg" TargetMode="External"/><Relationship Id="rId_hyperlink_1604" Type="http://schemas.openxmlformats.org/officeDocument/2006/relationships/hyperlink" Target="https://b2beez.ru/images/detailed/158/orig_t7sp-1w.jpg" TargetMode="External"/><Relationship Id="rId_hyperlink_1605" Type="http://schemas.openxmlformats.org/officeDocument/2006/relationships/hyperlink" Target="https://b2beez.ru/images/detailed/158/orig_mkb1-gi.jpg" TargetMode="External"/><Relationship Id="rId_hyperlink_1606" Type="http://schemas.openxmlformats.org/officeDocument/2006/relationships/hyperlink" Target="https://b2beez.ru/images/detailed/158/orig_gv66-p9.jpg" TargetMode="External"/><Relationship Id="rId_hyperlink_1607" Type="http://schemas.openxmlformats.org/officeDocument/2006/relationships/hyperlink" Target="https://b2beez.ru/images/detailed/158/orig_84wz-bw.jpg" TargetMode="External"/><Relationship Id="rId_hyperlink_1608" Type="http://schemas.openxmlformats.org/officeDocument/2006/relationships/hyperlink" Target="https://b2beez.ru/images/detailed/158/orig_bc4m-ei.jpg" TargetMode="External"/><Relationship Id="rId_hyperlink_1609" Type="http://schemas.openxmlformats.org/officeDocument/2006/relationships/hyperlink" Target="https://b2beez.ru/images/detailed/158/orig_6b2r-12.jpg" TargetMode="External"/><Relationship Id="rId_hyperlink_1610" Type="http://schemas.openxmlformats.org/officeDocument/2006/relationships/hyperlink" Target="https://b2beez.ru/images/detailed/158/orig_4766-90.jpg" TargetMode="External"/><Relationship Id="rId_hyperlink_1611" Type="http://schemas.openxmlformats.org/officeDocument/2006/relationships/hyperlink" Target="https://b2beez.ru/images/detailed/158/orig_a4ou-us.jpg" TargetMode="External"/><Relationship Id="rId_hyperlink_1612" Type="http://schemas.openxmlformats.org/officeDocument/2006/relationships/hyperlink" Target="https://b2beez.ru/images/detailed/158/6144150964.jpg" TargetMode="External"/><Relationship Id="rId_hyperlink_1613" Type="http://schemas.openxmlformats.org/officeDocument/2006/relationships/hyperlink" Target="https://b2beez.ru/images/detailed/158/6150416945.jpg" TargetMode="External"/><Relationship Id="rId_hyperlink_1614" Type="http://schemas.openxmlformats.org/officeDocument/2006/relationships/hyperlink" Target="https://b2beez.ru/images/detailed/158/orig_ymco-ja.jpg" TargetMode="External"/><Relationship Id="rId_hyperlink_1615" Type="http://schemas.openxmlformats.org/officeDocument/2006/relationships/hyperlink" Target="https://b2beez.ru/images/detailed/158/orig_2h4h-dj.jpg" TargetMode="External"/><Relationship Id="rId_hyperlink_1616" Type="http://schemas.openxmlformats.org/officeDocument/2006/relationships/hyperlink" Target="https://b2beez.ru/images/detailed/158/orig_a1go-09.jpg" TargetMode="External"/><Relationship Id="rId_hyperlink_1617" Type="http://schemas.openxmlformats.org/officeDocument/2006/relationships/hyperlink" Target="https://b2beez.ru/images/detailed/158/orig_qc0e-67.jpg" TargetMode="External"/><Relationship Id="rId_hyperlink_1618" Type="http://schemas.openxmlformats.org/officeDocument/2006/relationships/hyperlink" Target="https://b2beez.ru/images/detailed/158/orig_y4bn-qb.jpg" TargetMode="External"/><Relationship Id="rId_hyperlink_1619" Type="http://schemas.openxmlformats.org/officeDocument/2006/relationships/hyperlink" Target="https://b2beez.ru/images/detailed/158/6144150648_xixg-mk.jpg" TargetMode="External"/><Relationship Id="rId_hyperlink_1620" Type="http://schemas.openxmlformats.org/officeDocument/2006/relationships/hyperlink" Target="https://b2beez.ru/images/detailed/0/" TargetMode="External"/><Relationship Id="rId_hyperlink_1621" Type="http://schemas.openxmlformats.org/officeDocument/2006/relationships/hyperlink" Target="https://b2beez.ru/images/detailed/158/orig_wkvg-yk.jpg" TargetMode="External"/><Relationship Id="rId_hyperlink_1622" Type="http://schemas.openxmlformats.org/officeDocument/2006/relationships/hyperlink" Target="https://b2beez.ru/images/detailed/158/orig_1ory-x7.jpg" TargetMode="External"/><Relationship Id="rId_hyperlink_1623" Type="http://schemas.openxmlformats.org/officeDocument/2006/relationships/hyperlink" Target="https://b2beez.ru/images/detailed/158/6144150770.jpg" TargetMode="External"/><Relationship Id="rId_hyperlink_1624" Type="http://schemas.openxmlformats.org/officeDocument/2006/relationships/hyperlink" Target="https://b2beez.ru/images/detailed/158/orig_7om7-8l.jpg" TargetMode="External"/><Relationship Id="rId_hyperlink_1625" Type="http://schemas.openxmlformats.org/officeDocument/2006/relationships/hyperlink" Target="https://b2beez.ru/images/detailed/158/orig_uzfh-dl.jpg" TargetMode="External"/><Relationship Id="rId_hyperlink_1626" Type="http://schemas.openxmlformats.org/officeDocument/2006/relationships/hyperlink" Target="https://b2beez.ru/images/detailed/158/orig_y0d5-ht.jpg" TargetMode="External"/><Relationship Id="rId_hyperlink_1627" Type="http://schemas.openxmlformats.org/officeDocument/2006/relationships/hyperlink" Target="https://b2beez.ru/images/detailed/158/orig_eojc-6q.jpg" TargetMode="External"/><Relationship Id="rId_hyperlink_1628" Type="http://schemas.openxmlformats.org/officeDocument/2006/relationships/hyperlink" Target="https://b2beez.ru/images/detailed/158/orig_qv95-f0.jpg" TargetMode="External"/><Relationship Id="rId_hyperlink_1629" Type="http://schemas.openxmlformats.org/officeDocument/2006/relationships/hyperlink" Target="https://b2beez.ru/images/detailed/158/6459281871.jpg" TargetMode="External"/><Relationship Id="rId_hyperlink_1630" Type="http://schemas.openxmlformats.org/officeDocument/2006/relationships/hyperlink" Target="https://b2beez.ru/images/detailed/158/orig_59qj-wy.jpg" TargetMode="External"/><Relationship Id="rId_hyperlink_1631" Type="http://schemas.openxmlformats.org/officeDocument/2006/relationships/hyperlink" Target="https://b2beez.ru/images/detailed/159/6144150972.jpg" TargetMode="External"/><Relationship Id="rId_hyperlink_1632" Type="http://schemas.openxmlformats.org/officeDocument/2006/relationships/hyperlink" Target="https://b2beez.ru/images/detailed/159/orig_5gnq-ew.jpg" TargetMode="External"/><Relationship Id="rId_hyperlink_1633" Type="http://schemas.openxmlformats.org/officeDocument/2006/relationships/hyperlink" Target="https://b2beez.ru/images/detailed/159/orig_nb4n-2c.jpg" TargetMode="External"/><Relationship Id="rId_hyperlink_1634" Type="http://schemas.openxmlformats.org/officeDocument/2006/relationships/hyperlink" Target="https://b2beez.ru/images/detailed/159/orig_vslb-z3.jpg" TargetMode="External"/><Relationship Id="rId_hyperlink_1635" Type="http://schemas.openxmlformats.org/officeDocument/2006/relationships/hyperlink" Target="https://b2beez.ru/images/detailed/159/orig_ln7v-4d.jpg" TargetMode="External"/><Relationship Id="rId_hyperlink_1636" Type="http://schemas.openxmlformats.org/officeDocument/2006/relationships/hyperlink" Target="https://b2beez.ru/images/detailed/159/7180990146.jpg" TargetMode="External"/><Relationship Id="rId_hyperlink_1637" Type="http://schemas.openxmlformats.org/officeDocument/2006/relationships/hyperlink" Target="https://b2beez.ru/images/detailed/159/orig_uoya-yl.jpg" TargetMode="External"/><Relationship Id="rId_hyperlink_1638" Type="http://schemas.openxmlformats.org/officeDocument/2006/relationships/hyperlink" Target="https://b2beez.ru/images/detailed/159/orig_470e-n7.jpg" TargetMode="External"/><Relationship Id="rId_hyperlink_1639" Type="http://schemas.openxmlformats.org/officeDocument/2006/relationships/hyperlink" Target="https://b2beez.ru/images/detailed/159/6148420936.jpg" TargetMode="External"/><Relationship Id="rId_hyperlink_1640" Type="http://schemas.openxmlformats.org/officeDocument/2006/relationships/hyperlink" Target="https://b2beez.ru/images/detailed/159/orig_g622-6n.jpg" TargetMode="External"/><Relationship Id="rId_hyperlink_1641" Type="http://schemas.openxmlformats.org/officeDocument/2006/relationships/hyperlink" Target="https://b2beez.ru/images/detailed/159/6144670895.jpg" TargetMode="External"/><Relationship Id="rId_hyperlink_1642" Type="http://schemas.openxmlformats.org/officeDocument/2006/relationships/hyperlink" Target="https://b2beez.ru/images/detailed/159/orig_sj4v-kt.jpg" TargetMode="External"/><Relationship Id="rId_hyperlink_1643" Type="http://schemas.openxmlformats.org/officeDocument/2006/relationships/hyperlink" Target="https://b2beez.ru/images/detailed/159/orig_xq7d-yc.jpg" TargetMode="External"/><Relationship Id="rId_hyperlink_1644" Type="http://schemas.openxmlformats.org/officeDocument/2006/relationships/hyperlink" Target="https://b2beez.ru/images/detailed/159/6144151059.jpg" TargetMode="External"/><Relationship Id="rId_hyperlink_1645" Type="http://schemas.openxmlformats.org/officeDocument/2006/relationships/hyperlink" Target="https://b2beez.ru/images/detailed/159/orig_jd64-ox.jpg" TargetMode="External"/><Relationship Id="rId_hyperlink_1646" Type="http://schemas.openxmlformats.org/officeDocument/2006/relationships/hyperlink" Target="https://b2beez.ru/images/detailed/159/6144151044.jpg" TargetMode="External"/><Relationship Id="rId_hyperlink_1647" Type="http://schemas.openxmlformats.org/officeDocument/2006/relationships/hyperlink" Target="https://b2beez.ru/images/detailed/159/6144150980.jpg" TargetMode="External"/><Relationship Id="rId_hyperlink_1648" Type="http://schemas.openxmlformats.org/officeDocument/2006/relationships/hyperlink" Target="https://b2beez.ru/images/detailed/159/orig_gmam-ln.jpg" TargetMode="External"/><Relationship Id="rId_hyperlink_1649" Type="http://schemas.openxmlformats.org/officeDocument/2006/relationships/hyperlink" Target="https://b2beez.ru/images/detailed/159/orig_0iah-z2.jpg" TargetMode="External"/><Relationship Id="rId_hyperlink_1650" Type="http://schemas.openxmlformats.org/officeDocument/2006/relationships/hyperlink" Target="https://b2beez.ru/images/detailed/159/6144066366.jpg" TargetMode="External"/><Relationship Id="rId_hyperlink_1651" Type="http://schemas.openxmlformats.org/officeDocument/2006/relationships/hyperlink" Target="https://b2beez.ru/images/detailed/159/orig_9uph-hf.jpg" TargetMode="External"/><Relationship Id="rId_hyperlink_1652" Type="http://schemas.openxmlformats.org/officeDocument/2006/relationships/hyperlink" Target="https://b2beez.ru/images/detailed/159/6144151173.jpg" TargetMode="External"/><Relationship Id="rId_hyperlink_1653" Type="http://schemas.openxmlformats.org/officeDocument/2006/relationships/hyperlink" Target="https://b2beez.ru/images/detailed/159/orig_kp5r-gn.jpg" TargetMode="External"/><Relationship Id="rId_hyperlink_1654" Type="http://schemas.openxmlformats.org/officeDocument/2006/relationships/hyperlink" Target="https://b2beez.ru/images/detailed/159/orig_nao3-37.jpg" TargetMode="External"/><Relationship Id="rId_hyperlink_1655" Type="http://schemas.openxmlformats.org/officeDocument/2006/relationships/hyperlink" Target="https://b2beez.ru/images/detailed/159/orig_5y91-j5.jpg" TargetMode="External"/><Relationship Id="rId_hyperlink_1656" Type="http://schemas.openxmlformats.org/officeDocument/2006/relationships/hyperlink" Target="https://b2beez.ru/images/detailed/159/orig_xx5a-aj.jpg" TargetMode="External"/><Relationship Id="rId_hyperlink_1657" Type="http://schemas.openxmlformats.org/officeDocument/2006/relationships/hyperlink" Target="https://b2beez.ru/images/detailed/159/orig_7s37-58.jpg" TargetMode="External"/><Relationship Id="rId_hyperlink_1658" Type="http://schemas.openxmlformats.org/officeDocument/2006/relationships/hyperlink" Target="https://b2beez.ru/images/detailed/159/orig_biqw-b3.jpg" TargetMode="External"/><Relationship Id="rId_hyperlink_1659" Type="http://schemas.openxmlformats.org/officeDocument/2006/relationships/hyperlink" Target="https://b2beez.ru/images/detailed/159/orig_cfd6-qq.jpg" TargetMode="External"/><Relationship Id="rId_hyperlink_1660" Type="http://schemas.openxmlformats.org/officeDocument/2006/relationships/hyperlink" Target="https://b2beez.ru/images/detailed/159/orig_0mdv-27.jpg" TargetMode="External"/><Relationship Id="rId_hyperlink_1661" Type="http://schemas.openxmlformats.org/officeDocument/2006/relationships/hyperlink" Target="https://b2beez.ru/images/detailed/159/orig_q6d2-vb.jpg" TargetMode="External"/><Relationship Id="rId_hyperlink_1662" Type="http://schemas.openxmlformats.org/officeDocument/2006/relationships/hyperlink" Target="https://b2beez.ru/images/detailed/159/orig_tog5-fj.jpg" TargetMode="External"/><Relationship Id="rId_hyperlink_1663" Type="http://schemas.openxmlformats.org/officeDocument/2006/relationships/hyperlink" Target="https://b2beez.ru/images/detailed/159/orig_jbon-dy.jpg" TargetMode="External"/><Relationship Id="rId_hyperlink_1664" Type="http://schemas.openxmlformats.org/officeDocument/2006/relationships/hyperlink" Target="https://b2beez.ru/images/detailed/159/6144151138.jpg" TargetMode="External"/><Relationship Id="rId_hyperlink_1665" Type="http://schemas.openxmlformats.org/officeDocument/2006/relationships/hyperlink" Target="https://b2beez.ru/images/detailed/159/6144824023.jpg" TargetMode="External"/><Relationship Id="rId_hyperlink_1666" Type="http://schemas.openxmlformats.org/officeDocument/2006/relationships/hyperlink" Target="https://b2beez.ru/images/detailed/159/6144151191.jpg" TargetMode="External"/><Relationship Id="rId_hyperlink_1667" Type="http://schemas.openxmlformats.org/officeDocument/2006/relationships/hyperlink" Target="https://b2beez.ru/images/detailed/159/orig_61d6-sv.jpg" TargetMode="External"/><Relationship Id="rId_hyperlink_1668" Type="http://schemas.openxmlformats.org/officeDocument/2006/relationships/hyperlink" Target="https://b2beez.ru/images/detailed/159/orig_tfj6-lf.jpg" TargetMode="External"/><Relationship Id="rId_hyperlink_1669" Type="http://schemas.openxmlformats.org/officeDocument/2006/relationships/hyperlink" Target="https://b2beez.ru/images/detailed/159/orig_qwky-rr.jpg" TargetMode="External"/><Relationship Id="rId_hyperlink_1670" Type="http://schemas.openxmlformats.org/officeDocument/2006/relationships/hyperlink" Target="https://b2beez.ru/images/detailed/159/orig_mprx-47.jpg" TargetMode="External"/><Relationship Id="rId_hyperlink_1671" Type="http://schemas.openxmlformats.org/officeDocument/2006/relationships/hyperlink" Target="https://b2beez.ru/images/detailed/159/orig_2fju-pw.jpg" TargetMode="External"/><Relationship Id="rId_hyperlink_1672" Type="http://schemas.openxmlformats.org/officeDocument/2006/relationships/hyperlink" Target="https://b2beez.ru/images/detailed/159/orig_jmnl-15.jpg" TargetMode="External"/><Relationship Id="rId_hyperlink_1673" Type="http://schemas.openxmlformats.org/officeDocument/2006/relationships/hyperlink" Target="https://b2beez.ru/images/detailed/159/orig_qxo5-um.jpg" TargetMode="External"/><Relationship Id="rId_hyperlink_1674" Type="http://schemas.openxmlformats.org/officeDocument/2006/relationships/hyperlink" Target="https://b2beez.ru/images/detailed/159/orig_oykz-83.jpg" TargetMode="External"/><Relationship Id="rId_hyperlink_1675" Type="http://schemas.openxmlformats.org/officeDocument/2006/relationships/hyperlink" Target="https://b2beez.ru/images/detailed/160/orig_dgbt-7n.jpg" TargetMode="External"/><Relationship Id="rId_hyperlink_1676" Type="http://schemas.openxmlformats.org/officeDocument/2006/relationships/hyperlink" Target="https://b2beez.ru/images/detailed/160/orig_xhpi-8y.jpg" TargetMode="External"/><Relationship Id="rId_hyperlink_1677" Type="http://schemas.openxmlformats.org/officeDocument/2006/relationships/hyperlink" Target="https://b2beez.ru/images/detailed/160/orig_poc6-gz.jpg" TargetMode="External"/><Relationship Id="rId_hyperlink_1678" Type="http://schemas.openxmlformats.org/officeDocument/2006/relationships/hyperlink" Target="https://b2beez.ru/images/detailed/160/orig_08md-m9.jpg" TargetMode="External"/><Relationship Id="rId_hyperlink_1679" Type="http://schemas.openxmlformats.org/officeDocument/2006/relationships/hyperlink" Target="https://b2beez.ru/images/detailed/160/orig_z8y0-xd.jpg" TargetMode="External"/><Relationship Id="rId_hyperlink_1680" Type="http://schemas.openxmlformats.org/officeDocument/2006/relationships/hyperlink" Target="https://b2beez.ru/images/detailed/160/6144151154.jpg" TargetMode="External"/><Relationship Id="rId_hyperlink_1681" Type="http://schemas.openxmlformats.org/officeDocument/2006/relationships/hyperlink" Target="https://b2beez.ru/images/detailed/160/orig_cju3-ew.jpg" TargetMode="External"/><Relationship Id="rId_hyperlink_1682" Type="http://schemas.openxmlformats.org/officeDocument/2006/relationships/hyperlink" Target="https://b2beez.ru/images/detailed/160/6144151087.jpg" TargetMode="External"/><Relationship Id="rId_hyperlink_1683" Type="http://schemas.openxmlformats.org/officeDocument/2006/relationships/hyperlink" Target="https://b2beez.ru/images/detailed/160/6144151182.jpg" TargetMode="External"/><Relationship Id="rId_hyperlink_1684" Type="http://schemas.openxmlformats.org/officeDocument/2006/relationships/hyperlink" Target="https://b2beez.ru/images/detailed/160/orig_c71m-jf.jpg" TargetMode="External"/><Relationship Id="rId_hyperlink_1685" Type="http://schemas.openxmlformats.org/officeDocument/2006/relationships/hyperlink" Target="https://b2beez.ru/images/detailed/160/orig_ekdw-vz.jpg" TargetMode="External"/><Relationship Id="rId_hyperlink_1686" Type="http://schemas.openxmlformats.org/officeDocument/2006/relationships/hyperlink" Target="https://b2beez.ru/images/detailed/160/orig_ze6e-4k.jpg" TargetMode="External"/><Relationship Id="rId_hyperlink_1687" Type="http://schemas.openxmlformats.org/officeDocument/2006/relationships/hyperlink" Target="https://b2beez.ru/images/detailed/160/orig_v3wq-bi.jpg" TargetMode="External"/><Relationship Id="rId_hyperlink_1688" Type="http://schemas.openxmlformats.org/officeDocument/2006/relationships/hyperlink" Target="https://b2beez.ru/images/detailed/160/orig_f85y-ab.jpg" TargetMode="External"/><Relationship Id="rId_hyperlink_1689" Type="http://schemas.openxmlformats.org/officeDocument/2006/relationships/hyperlink" Target="https://b2beez.ru/images/detailed/160/orig_c7fl-89.jpg" TargetMode="External"/><Relationship Id="rId_hyperlink_1690" Type="http://schemas.openxmlformats.org/officeDocument/2006/relationships/hyperlink" Target="https://b2beez.ru/images/detailed/160/orig_e5ss-tq.jpg" TargetMode="External"/><Relationship Id="rId_hyperlink_1691" Type="http://schemas.openxmlformats.org/officeDocument/2006/relationships/hyperlink" Target="https://b2beez.ru/images/detailed/160/orig_rfr9-id.jpg" TargetMode="External"/><Relationship Id="rId_hyperlink_1692" Type="http://schemas.openxmlformats.org/officeDocument/2006/relationships/hyperlink" Target="https://b2beez.ru/images/detailed/160/orig_aqlz-r9.jpg" TargetMode="External"/><Relationship Id="rId_hyperlink_1693" Type="http://schemas.openxmlformats.org/officeDocument/2006/relationships/hyperlink" Target="https://b2beez.ru/images/detailed/160/6144150569.jpg" TargetMode="External"/><Relationship Id="rId_hyperlink_1694" Type="http://schemas.openxmlformats.org/officeDocument/2006/relationships/hyperlink" Target="https://b2beez.ru/images/detailed/160/orig_lu7c-w9.jpg" TargetMode="External"/><Relationship Id="rId_hyperlink_1695" Type="http://schemas.openxmlformats.org/officeDocument/2006/relationships/hyperlink" Target="https://b2beez.ru/images/detailed/160/6144150650.jpg" TargetMode="External"/><Relationship Id="rId_hyperlink_1696" Type="http://schemas.openxmlformats.org/officeDocument/2006/relationships/hyperlink" Target="https://b2beez.ru/images/detailed/160/6148420997.jpg" TargetMode="External"/><Relationship Id="rId_hyperlink_1697" Type="http://schemas.openxmlformats.org/officeDocument/2006/relationships/hyperlink" Target="https://b2beez.ru/images/detailed/160/orig_sh7v-im.jpg" TargetMode="External"/><Relationship Id="rId_hyperlink_1698" Type="http://schemas.openxmlformats.org/officeDocument/2006/relationships/hyperlink" Target="https://b2beez.ru/images/detailed/160/orig_8oqq-91.jpg" TargetMode="External"/><Relationship Id="rId_hyperlink_1699" Type="http://schemas.openxmlformats.org/officeDocument/2006/relationships/hyperlink" Target="https://b2beez.ru/images/detailed/160/orig_fzv1-iq.jpg" TargetMode="External"/><Relationship Id="rId_hyperlink_1700" Type="http://schemas.openxmlformats.org/officeDocument/2006/relationships/hyperlink" Target="https://b2beez.ru/images/detailed/160/orig_4123-20.jpg" TargetMode="External"/><Relationship Id="rId_hyperlink_1701" Type="http://schemas.openxmlformats.org/officeDocument/2006/relationships/hyperlink" Target="https://b2beez.ru/images/detailed/160/6144150736.jpg" TargetMode="External"/><Relationship Id="rId_hyperlink_1702" Type="http://schemas.openxmlformats.org/officeDocument/2006/relationships/hyperlink" Target="https://b2beez.ru/images/detailed/160/orig_5prk-xa.jpg" TargetMode="External"/><Relationship Id="rId_hyperlink_1703" Type="http://schemas.openxmlformats.org/officeDocument/2006/relationships/hyperlink" Target="https://b2beez.ru/images/detailed/160/6144150852.jpg" TargetMode="External"/><Relationship Id="rId_hyperlink_1704" Type="http://schemas.openxmlformats.org/officeDocument/2006/relationships/hyperlink" Target="https://b2beez.ru/images/detailed/160/orig_z4e6-k8.jpg" TargetMode="External"/><Relationship Id="rId_hyperlink_1705" Type="http://schemas.openxmlformats.org/officeDocument/2006/relationships/hyperlink" Target="https://b2beez.ru/images/detailed/160/orig_8rvz-2d.jpg" TargetMode="External"/><Relationship Id="rId_hyperlink_1706" Type="http://schemas.openxmlformats.org/officeDocument/2006/relationships/hyperlink" Target="https://b2beez.ru/images/detailed/160/orig_culc-iz.jpg" TargetMode="External"/><Relationship Id="rId_hyperlink_1707" Type="http://schemas.openxmlformats.org/officeDocument/2006/relationships/hyperlink" Target="https://b2beez.ru/images/detailed/160/orig_faw3-mi.jpg" TargetMode="External"/><Relationship Id="rId_hyperlink_1708" Type="http://schemas.openxmlformats.org/officeDocument/2006/relationships/hyperlink" Target="https://b2beez.ru/images/detailed/160/6144150979.jpg" TargetMode="External"/><Relationship Id="rId_hyperlink_1709" Type="http://schemas.openxmlformats.org/officeDocument/2006/relationships/hyperlink" Target="https://b2beez.ru/images/detailed/160/orig_61p2-ev.jpg" TargetMode="External"/><Relationship Id="rId_hyperlink_1710" Type="http://schemas.openxmlformats.org/officeDocument/2006/relationships/hyperlink" Target="https://b2beez.ru/images/detailed/160/orig_j8sc-gb.jpg" TargetMode="External"/><Relationship Id="rId_hyperlink_1711" Type="http://schemas.openxmlformats.org/officeDocument/2006/relationships/hyperlink" Target="https://b2beez.ru/images/detailed/160/orig_8lur-5n.jpg" TargetMode="External"/><Relationship Id="rId_hyperlink_1712" Type="http://schemas.openxmlformats.org/officeDocument/2006/relationships/hyperlink" Target="https://b2beez.ru/images/detailed/160/orig_qeiu-8w.jpg" TargetMode="External"/><Relationship Id="rId_hyperlink_1713" Type="http://schemas.openxmlformats.org/officeDocument/2006/relationships/hyperlink" Target="https://b2beez.ru/images/detailed/160/orig_sp4e-dp.jpg" TargetMode="External"/><Relationship Id="rId_hyperlink_1714" Type="http://schemas.openxmlformats.org/officeDocument/2006/relationships/hyperlink" Target="https://b2beez.ru/images/detailed/160/orig_1coh-ei.jpg" TargetMode="External"/><Relationship Id="rId_hyperlink_1715" Type="http://schemas.openxmlformats.org/officeDocument/2006/relationships/hyperlink" Target="https://b2beez.ru/images/detailed/160/orig_vzw7-8o.jpg" TargetMode="External"/><Relationship Id="rId_hyperlink_1716" Type="http://schemas.openxmlformats.org/officeDocument/2006/relationships/hyperlink" Target="https://b2beez.ru/images/detailed/160/orig_flsy-b9.jpg" TargetMode="External"/><Relationship Id="rId_hyperlink_1717" Type="http://schemas.openxmlformats.org/officeDocument/2006/relationships/hyperlink" Target="https://b2beez.ru/images/detailed/160/orig_6v49-yg.jpg" TargetMode="External"/><Relationship Id="rId_hyperlink_1718" Type="http://schemas.openxmlformats.org/officeDocument/2006/relationships/hyperlink" Target="https://b2beez.ru/images/detailed/160/6144150529.jpg" TargetMode="External"/><Relationship Id="rId_hyperlink_1719" Type="http://schemas.openxmlformats.org/officeDocument/2006/relationships/hyperlink" Target="https://b2beez.ru/images/detailed/160/orig_x9ve-d6.jpg" TargetMode="External"/><Relationship Id="rId_hyperlink_1720" Type="http://schemas.openxmlformats.org/officeDocument/2006/relationships/hyperlink" Target="https://b2beez.ru/images/detailed/160/orig_ko0j-vb.jpg" TargetMode="External"/><Relationship Id="rId_hyperlink_1721" Type="http://schemas.openxmlformats.org/officeDocument/2006/relationships/hyperlink" Target="https://b2beez.ru/images/detailed/160/6148421004.jpg" TargetMode="External"/><Relationship Id="rId_hyperlink_1722" Type="http://schemas.openxmlformats.org/officeDocument/2006/relationships/hyperlink" Target="https://b2beez.ru/images/detailed/160/orig_efld-9t.jpg" TargetMode="External"/><Relationship Id="rId_hyperlink_1723" Type="http://schemas.openxmlformats.org/officeDocument/2006/relationships/hyperlink" Target="https://b2beez.ru/images/detailed/160/orig_qtxs-3y.jpg" TargetMode="External"/><Relationship Id="rId_hyperlink_1724" Type="http://schemas.openxmlformats.org/officeDocument/2006/relationships/hyperlink" Target="https://b2beez.ru/images/detailed/160/orig_kd2o-qq.jpg" TargetMode="External"/><Relationship Id="rId_hyperlink_1725" Type="http://schemas.openxmlformats.org/officeDocument/2006/relationships/hyperlink" Target="https://b2beez.ru/images/detailed/160/orig_qi27-os.jpg" TargetMode="External"/><Relationship Id="rId_hyperlink_1726" Type="http://schemas.openxmlformats.org/officeDocument/2006/relationships/hyperlink" Target="https://b2beez.ru/images/detailed/160/orig_r5ia-0h.jpg" TargetMode="External"/><Relationship Id="rId_hyperlink_1727" Type="http://schemas.openxmlformats.org/officeDocument/2006/relationships/hyperlink" Target="https://b2beez.ru/images/detailed/166/orig_qkfq-xm.jpg" TargetMode="External"/><Relationship Id="rId_hyperlink_1728" Type="http://schemas.openxmlformats.org/officeDocument/2006/relationships/hyperlink" Target="https://b2beez.ru/images/detailed/166/6148421007.jpg" TargetMode="External"/><Relationship Id="rId_hyperlink_1729" Type="http://schemas.openxmlformats.org/officeDocument/2006/relationships/hyperlink" Target="https://b2beez.ru/images/detailed/170/6148421012.jpg" TargetMode="External"/><Relationship Id="rId_hyperlink_1730" Type="http://schemas.openxmlformats.org/officeDocument/2006/relationships/hyperlink" Target="https://b2beez.ru/images/detailed/173/orig_c03h-nv.jpg" TargetMode="External"/><Relationship Id="rId_hyperlink_1731" Type="http://schemas.openxmlformats.org/officeDocument/2006/relationships/hyperlink" Target="https://b2beez.ru/images/detailed/176/orig_8hiv-2b.jpg" TargetMode="External"/><Relationship Id="rId_hyperlink_1732" Type="http://schemas.openxmlformats.org/officeDocument/2006/relationships/hyperlink" Target="https://b2beez.ru/images/detailed/176/orig_wk5n-zh.jpg" TargetMode="External"/><Relationship Id="rId_hyperlink_1733" Type="http://schemas.openxmlformats.org/officeDocument/2006/relationships/hyperlink" Target="https://b2beez.ru/images/detailed/176/orig_neym-h3.jpg" TargetMode="External"/><Relationship Id="rId_hyperlink_1734" Type="http://schemas.openxmlformats.org/officeDocument/2006/relationships/hyperlink" Target="https://b2beez.ru/images/detailed/176/orig_nqsf-jh.jpg" TargetMode="External"/><Relationship Id="rId_hyperlink_1735" Type="http://schemas.openxmlformats.org/officeDocument/2006/relationships/hyperlink" Target="https://b2beez.ru/images/detailed/176/6129741698_l6mh-5c.jpg" TargetMode="External"/><Relationship Id="rId_hyperlink_1736" Type="http://schemas.openxmlformats.org/officeDocument/2006/relationships/hyperlink" Target="https://b2beez.ru/images/detailed/176/6129722998_pykk-1g.jpg" TargetMode="External"/><Relationship Id="rId_hyperlink_1737" Type="http://schemas.openxmlformats.org/officeDocument/2006/relationships/hyperlink" Target="https://b2beez.ru/images/detailed/176/orig_txnn-rl.jpg" TargetMode="External"/><Relationship Id="rId_hyperlink_1738" Type="http://schemas.openxmlformats.org/officeDocument/2006/relationships/hyperlink" Target="https://b2beez.ru/images/detailed/176/6129722998_5tz1-h7.jpg" TargetMode="External"/><Relationship Id="rId_hyperlink_1739" Type="http://schemas.openxmlformats.org/officeDocument/2006/relationships/hyperlink" Target="https://b2beez.ru/images/detailed/176/orig_n928-ut.jpg" TargetMode="External"/><Relationship Id="rId_hyperlink_1740" Type="http://schemas.openxmlformats.org/officeDocument/2006/relationships/hyperlink" Target="https://b2beez.ru/images/detailed/176/orig_1n8c-ka.jpg" TargetMode="External"/><Relationship Id="rId_hyperlink_1741" Type="http://schemas.openxmlformats.org/officeDocument/2006/relationships/hyperlink" Target="https://b2beez.ru/images/detailed/176/6129621463.jpg" TargetMode="External"/><Relationship Id="rId_hyperlink_1742" Type="http://schemas.openxmlformats.org/officeDocument/2006/relationships/hyperlink" Target="https://b2beez.ru/images/detailed/176/orig_rind-n6.jpg" TargetMode="External"/><Relationship Id="rId_hyperlink_1743" Type="http://schemas.openxmlformats.org/officeDocument/2006/relationships/hyperlink" Target="https://b2beez.ru/images/detailed/176/orig_pkx8-07.jpg" TargetMode="External"/><Relationship Id="rId_hyperlink_1744" Type="http://schemas.openxmlformats.org/officeDocument/2006/relationships/hyperlink" Target="https://b2beez.ru/images/detailed/176/orig_rmqk-z9.jpg" TargetMode="External"/><Relationship Id="rId_hyperlink_1745" Type="http://schemas.openxmlformats.org/officeDocument/2006/relationships/hyperlink" Target="https://b2beez.ru/images/detailed/176/orig_5097-38.jpg" TargetMode="External"/><Relationship Id="rId_hyperlink_1746" Type="http://schemas.openxmlformats.org/officeDocument/2006/relationships/hyperlink" Target="https://b2beez.ru/images/detailed/182/orig_di7n-ah.jpg" TargetMode="External"/><Relationship Id="rId_hyperlink_1747" Type="http://schemas.openxmlformats.org/officeDocument/2006/relationships/hyperlink" Target="https://b2beez.ru/images/detailed/182/orig_43y8-ae.jpg" TargetMode="External"/><Relationship Id="rId_hyperlink_1748" Type="http://schemas.openxmlformats.org/officeDocument/2006/relationships/hyperlink" Target="https://b2beez.ru/images/detailed/182/orig_8sya-dk.jpg" TargetMode="External"/><Relationship Id="rId_hyperlink_1749" Type="http://schemas.openxmlformats.org/officeDocument/2006/relationships/hyperlink" Target="https://b2beez.ru/images/detailed/157/orig_isr1-1q.jpg" TargetMode="External"/><Relationship Id="rId_hyperlink_1750" Type="http://schemas.openxmlformats.org/officeDocument/2006/relationships/hyperlink" Target="https://b2beez.ru/images/detailed/157/6144151020.jpg" TargetMode="External"/><Relationship Id="rId_hyperlink_1751" Type="http://schemas.openxmlformats.org/officeDocument/2006/relationships/hyperlink" Target="https://b2beez.ru/images/detailed/157/orig_ts8v-cm.jpg" TargetMode="External"/><Relationship Id="rId_hyperlink_1752" Type="http://schemas.openxmlformats.org/officeDocument/2006/relationships/hyperlink" Target="https://b2beez.ru/images/detailed/157/orig_ko6i-rf.jpg" TargetMode="External"/><Relationship Id="rId_hyperlink_1753" Type="http://schemas.openxmlformats.org/officeDocument/2006/relationships/hyperlink" Target="https://b2beez.ru/images/detailed/157/orig_5p4k-rg.jpg" TargetMode="External"/><Relationship Id="rId_hyperlink_1754" Type="http://schemas.openxmlformats.org/officeDocument/2006/relationships/hyperlink" Target="https://b2beez.ru/images/detailed/157/orig_zvui-sf.jpg" TargetMode="External"/><Relationship Id="rId_hyperlink_1755" Type="http://schemas.openxmlformats.org/officeDocument/2006/relationships/hyperlink" Target="https://b2beez.ru/images/detailed/157/6144150563.jpg" TargetMode="External"/><Relationship Id="rId_hyperlink_1756" Type="http://schemas.openxmlformats.org/officeDocument/2006/relationships/hyperlink" Target="https://b2beez.ru/images/detailed/157/orig_r4sd-6a.jpg" TargetMode="External"/><Relationship Id="rId_hyperlink_1757" Type="http://schemas.openxmlformats.org/officeDocument/2006/relationships/hyperlink" Target="https://b2beez.ru/images/detailed/157/orig_nyq2-bz.jpg" TargetMode="External"/><Relationship Id="rId_hyperlink_1758" Type="http://schemas.openxmlformats.org/officeDocument/2006/relationships/hyperlink" Target="https://b2beez.ru/images/detailed/157/6144150893.jpg" TargetMode="External"/><Relationship Id="rId_hyperlink_1759" Type="http://schemas.openxmlformats.org/officeDocument/2006/relationships/hyperlink" Target="https://b2beez.ru/images/detailed/157/orig_c5fa-r6.jpg" TargetMode="External"/><Relationship Id="rId_hyperlink_1760" Type="http://schemas.openxmlformats.org/officeDocument/2006/relationships/hyperlink" Target="https://b2beez.ru/images/detailed/157/6144150732.jpg" TargetMode="External"/><Relationship Id="rId_hyperlink_1761" Type="http://schemas.openxmlformats.org/officeDocument/2006/relationships/hyperlink" Target="https://b2beez.ru/images/detailed/157/orig_eht7-4r.jpg" TargetMode="External"/><Relationship Id="rId_hyperlink_1762" Type="http://schemas.openxmlformats.org/officeDocument/2006/relationships/hyperlink" Target="https://b2beez.ru/images/detailed/157/orig_gjke-2b.jpg" TargetMode="External"/><Relationship Id="rId_hyperlink_1763" Type="http://schemas.openxmlformats.org/officeDocument/2006/relationships/hyperlink" Target="https://b2beez.ru/images/detailed/157/orig_q1o5-7b.jpg" TargetMode="External"/><Relationship Id="rId_hyperlink_1764" Type="http://schemas.openxmlformats.org/officeDocument/2006/relationships/hyperlink" Target="https://b2beez.ru/images/detailed/157/orig_sl0g-mw.jpg" TargetMode="External"/><Relationship Id="rId_hyperlink_1765" Type="http://schemas.openxmlformats.org/officeDocument/2006/relationships/hyperlink" Target="https://b2beez.ru/images/detailed/157/orig_4o6e-a9.jpg" TargetMode="External"/><Relationship Id="rId_hyperlink_1766" Type="http://schemas.openxmlformats.org/officeDocument/2006/relationships/hyperlink" Target="https://b2beez.ru/images/detailed/157/orig_p6wl-ck.jpg" TargetMode="External"/><Relationship Id="rId_hyperlink_1767" Type="http://schemas.openxmlformats.org/officeDocument/2006/relationships/hyperlink" Target="https://b2beez.ru/images/detailed/157/orig_3bhy-ah.jpg" TargetMode="External"/><Relationship Id="rId_hyperlink_1768" Type="http://schemas.openxmlformats.org/officeDocument/2006/relationships/hyperlink" Target="https://b2beez.ru/images/detailed/157/orig_q4oi-ll.jpg" TargetMode="External"/><Relationship Id="rId_hyperlink_1769" Type="http://schemas.openxmlformats.org/officeDocument/2006/relationships/hyperlink" Target="https://b2beez.ru/images/detailed/157/orig_hl5c-yn.jpg" TargetMode="External"/><Relationship Id="rId_hyperlink_1770" Type="http://schemas.openxmlformats.org/officeDocument/2006/relationships/hyperlink" Target="https://b2beez.ru/images/detailed/157/orig_w0ve-7q.jpg" TargetMode="External"/><Relationship Id="rId_hyperlink_1771" Type="http://schemas.openxmlformats.org/officeDocument/2006/relationships/hyperlink" Target="https://b2beez.ru/images/detailed/157/6144150818.jpg" TargetMode="External"/><Relationship Id="rId_hyperlink_1772" Type="http://schemas.openxmlformats.org/officeDocument/2006/relationships/hyperlink" Target="https://b2beez.ru/images/detailed/157/orig_5ojs-b3.jpg" TargetMode="External"/><Relationship Id="rId_hyperlink_1773" Type="http://schemas.openxmlformats.org/officeDocument/2006/relationships/hyperlink" Target="https://b2beez.ru/images/detailed/157/6144150499.jpg" TargetMode="External"/><Relationship Id="rId_hyperlink_1774" Type="http://schemas.openxmlformats.org/officeDocument/2006/relationships/hyperlink" Target="https://b2beez.ru/images/detailed/157/orig_k618-84.jpg" TargetMode="External"/><Relationship Id="rId_hyperlink_1775" Type="http://schemas.openxmlformats.org/officeDocument/2006/relationships/hyperlink" Target="https://b2beez.ru/images/detailed/157/orig_qrf7-we.jpg" TargetMode="External"/><Relationship Id="rId_hyperlink_1776" Type="http://schemas.openxmlformats.org/officeDocument/2006/relationships/hyperlink" Target="https://b2beez.ru/images/detailed/157/orig_ilvx-vt.jpg" TargetMode="External"/><Relationship Id="rId_hyperlink_1777" Type="http://schemas.openxmlformats.org/officeDocument/2006/relationships/hyperlink" Target="https://b2beez.ru/images/detailed/157/orig_ciw2-l7.jpg" TargetMode="External"/><Relationship Id="rId_hyperlink_1778" Type="http://schemas.openxmlformats.org/officeDocument/2006/relationships/hyperlink" Target="https://b2beez.ru/images/detailed/157/orig_2ksi-q7.jpg" TargetMode="External"/><Relationship Id="rId_hyperlink_1779" Type="http://schemas.openxmlformats.org/officeDocument/2006/relationships/hyperlink" Target="https://b2beez.ru/images/detailed/157/orig_l808-1h.jpg" TargetMode="External"/><Relationship Id="rId_hyperlink_1780" Type="http://schemas.openxmlformats.org/officeDocument/2006/relationships/hyperlink" Target="https://b2beez.ru/images/detailed/157/orig_s0ls-w6.jpg" TargetMode="External"/><Relationship Id="rId_hyperlink_1781" Type="http://schemas.openxmlformats.org/officeDocument/2006/relationships/hyperlink" Target="https://b2beez.ru/images/detailed/157/orig_rdbc-jq.jpg" TargetMode="External"/><Relationship Id="rId_hyperlink_1782" Type="http://schemas.openxmlformats.org/officeDocument/2006/relationships/hyperlink" Target="https://b2beez.ru/images/detailed/157/6148420844.jpg" TargetMode="External"/><Relationship Id="rId_hyperlink_1783" Type="http://schemas.openxmlformats.org/officeDocument/2006/relationships/hyperlink" Target="https://b2beez.ru/images/detailed/157/orig_9zcy-qy.jpg" TargetMode="External"/><Relationship Id="rId_hyperlink_1784" Type="http://schemas.openxmlformats.org/officeDocument/2006/relationships/hyperlink" Target="https://b2beez.ru/images/detailed/157/6144151133.jpg" TargetMode="External"/><Relationship Id="rId_hyperlink_1785" Type="http://schemas.openxmlformats.org/officeDocument/2006/relationships/hyperlink" Target="https://b2beez.ru/images/detailed/157/orig_p9vx-mv.jpg" TargetMode="External"/><Relationship Id="rId_hyperlink_1786" Type="http://schemas.openxmlformats.org/officeDocument/2006/relationships/hyperlink" Target="https://b2beez.ru/images/detailed/157/6144151045.jpg" TargetMode="External"/><Relationship Id="rId_hyperlink_1787" Type="http://schemas.openxmlformats.org/officeDocument/2006/relationships/hyperlink" Target="https://b2beez.ru/images/detailed/157/orig_i3sd-4e.jpg" TargetMode="External"/><Relationship Id="rId_hyperlink_1788" Type="http://schemas.openxmlformats.org/officeDocument/2006/relationships/hyperlink" Target="https://b2beez.ru/images/detailed/157/orig_z0jv-ca.jpg" TargetMode="External"/><Relationship Id="rId_hyperlink_1789" Type="http://schemas.openxmlformats.org/officeDocument/2006/relationships/hyperlink" Target="https://b2beez.ru/images/detailed/157/orig_9cyq-ci.jpg" TargetMode="External"/><Relationship Id="rId_hyperlink_1790" Type="http://schemas.openxmlformats.org/officeDocument/2006/relationships/hyperlink" Target="https://b2beez.ru/images/detailed/157/orig_93xq-l0.jpg" TargetMode="External"/><Relationship Id="rId_hyperlink_1791" Type="http://schemas.openxmlformats.org/officeDocument/2006/relationships/hyperlink" Target="https://b2beez.ru/images/detailed/157/orig_849a-lm.jpg" TargetMode="External"/><Relationship Id="rId_hyperlink_1792" Type="http://schemas.openxmlformats.org/officeDocument/2006/relationships/hyperlink" Target="https://b2beez.ru/images/detailed/157/6144150519.jpg" TargetMode="External"/><Relationship Id="rId_hyperlink_1793" Type="http://schemas.openxmlformats.org/officeDocument/2006/relationships/hyperlink" Target="https://b2beez.ru/images/detailed/157/orig_uxpq-bz.jpg" TargetMode="External"/><Relationship Id="rId_hyperlink_1794" Type="http://schemas.openxmlformats.org/officeDocument/2006/relationships/hyperlink" Target="https://b2beez.ru/images/detailed/157/orig_jxqw-sl.jpg" TargetMode="External"/><Relationship Id="rId_hyperlink_1795" Type="http://schemas.openxmlformats.org/officeDocument/2006/relationships/hyperlink" Target="https://b2beez.ru/images/detailed/157/6144150782.jpg" TargetMode="External"/><Relationship Id="rId_hyperlink_1796" Type="http://schemas.openxmlformats.org/officeDocument/2006/relationships/hyperlink" Target="https://b2beez.ru/images/detailed/157/6144151157.jpg" TargetMode="External"/><Relationship Id="rId_hyperlink_1797" Type="http://schemas.openxmlformats.org/officeDocument/2006/relationships/hyperlink" Target="https://b2beez.ru/images/detailed/157/orig_dpo2-53.jpg" TargetMode="External"/><Relationship Id="rId_hyperlink_1798" Type="http://schemas.openxmlformats.org/officeDocument/2006/relationships/hyperlink" Target="https://b2beez.ru/images/detailed/157/6144151073.jpg" TargetMode="External"/><Relationship Id="rId_hyperlink_1799" Type="http://schemas.openxmlformats.org/officeDocument/2006/relationships/hyperlink" Target="https://b2beez.ru/images/detailed/157/orig_fwms-e6.jpg" TargetMode="External"/><Relationship Id="rId_hyperlink_1800" Type="http://schemas.openxmlformats.org/officeDocument/2006/relationships/hyperlink" Target="https://b2beez.ru/images/detailed/157/6144151146.jpg" TargetMode="External"/><Relationship Id="rId_hyperlink_1801" Type="http://schemas.openxmlformats.org/officeDocument/2006/relationships/hyperlink" Target="https://b2beez.ru/images/detailed/157/orig_5cbb-83.jpg" TargetMode="External"/><Relationship Id="rId_hyperlink_1802" Type="http://schemas.openxmlformats.org/officeDocument/2006/relationships/hyperlink" Target="https://b2beez.ru/images/detailed/157/orig_h6g6-et.jpg" TargetMode="External"/><Relationship Id="rId_hyperlink_1803" Type="http://schemas.openxmlformats.org/officeDocument/2006/relationships/hyperlink" Target="https://b2beez.ru/images/detailed/157/orig_6tb2-sw.jpg" TargetMode="External"/><Relationship Id="rId_hyperlink_1804" Type="http://schemas.openxmlformats.org/officeDocument/2006/relationships/hyperlink" Target="https://b2beez.ru/images/detailed/157/orig_24py-ur.jpg" TargetMode="External"/><Relationship Id="rId_hyperlink_1805" Type="http://schemas.openxmlformats.org/officeDocument/2006/relationships/hyperlink" Target="https://b2beez.ru/images/detailed/157/6144150484.jpg" TargetMode="External"/><Relationship Id="rId_hyperlink_1806" Type="http://schemas.openxmlformats.org/officeDocument/2006/relationships/hyperlink" Target="https://b2beez.ru/images/detailed/157/6144150670.jpg" TargetMode="External"/><Relationship Id="rId_hyperlink_1807" Type="http://schemas.openxmlformats.org/officeDocument/2006/relationships/hyperlink" Target="https://b2beez.ru/images/detailed/157/orig_727g-fz.jpg" TargetMode="External"/><Relationship Id="rId_hyperlink_1808" Type="http://schemas.openxmlformats.org/officeDocument/2006/relationships/hyperlink" Target="https://b2beez.ru/images/detailed/157/orig_a6fg-9t.jpg" TargetMode="External"/><Relationship Id="rId_hyperlink_1809" Type="http://schemas.openxmlformats.org/officeDocument/2006/relationships/hyperlink" Target="https://b2beez.ru/images/detailed/157/6144151062.jpg" TargetMode="External"/><Relationship Id="rId_hyperlink_1810" Type="http://schemas.openxmlformats.org/officeDocument/2006/relationships/hyperlink" Target="https://b2beez.ru/images/detailed/157/orig_7m8q-77.jpg" TargetMode="External"/><Relationship Id="rId_hyperlink_1811" Type="http://schemas.openxmlformats.org/officeDocument/2006/relationships/hyperlink" Target="https://b2beez.ru/images/detailed/157/orig_yjsh-pq.jpg" TargetMode="External"/><Relationship Id="rId_hyperlink_1812" Type="http://schemas.openxmlformats.org/officeDocument/2006/relationships/hyperlink" Target="https://b2beez.ru/images/detailed/157/orig_cxhe-ml.jpg" TargetMode="External"/><Relationship Id="rId_hyperlink_1813" Type="http://schemas.openxmlformats.org/officeDocument/2006/relationships/hyperlink" Target="https://b2beez.ru/images/detailed/204/D-1835-3.jpg" TargetMode="External"/><Relationship Id="rId_hyperlink_1814" Type="http://schemas.openxmlformats.org/officeDocument/2006/relationships/hyperlink" Target="https://b2beez.ru/images/detailed/157/orig_veqy-tw.jpg" TargetMode="External"/><Relationship Id="rId_hyperlink_1815" Type="http://schemas.openxmlformats.org/officeDocument/2006/relationships/hyperlink" Target="https://b2beez.ru/images/detailed/158/orig.jpg" TargetMode="External"/><Relationship Id="rId_hyperlink_1816" Type="http://schemas.openxmlformats.org/officeDocument/2006/relationships/hyperlink" Target="https://b2beez.ru/images/detailed/158/orig_sd1u-jb.jpg" TargetMode="External"/><Relationship Id="rId_hyperlink_1817" Type="http://schemas.openxmlformats.org/officeDocument/2006/relationships/hyperlink" Target="https://b2beez.ru/images/detailed/158/orig_4k2x-9a.jpg" TargetMode="External"/><Relationship Id="rId_hyperlink_1818" Type="http://schemas.openxmlformats.org/officeDocument/2006/relationships/hyperlink" Target="https://b2beez.ru/images/detailed/158/6144150820.jpg" TargetMode="External"/><Relationship Id="rId_hyperlink_1819" Type="http://schemas.openxmlformats.org/officeDocument/2006/relationships/hyperlink" Target="https://b2beez.ru/images/detailed/158/6144150730.jpg" TargetMode="External"/><Relationship Id="rId_hyperlink_1820" Type="http://schemas.openxmlformats.org/officeDocument/2006/relationships/hyperlink" Target="https://b2beez.ru/images/detailed/158/6144150733.jpg" TargetMode="External"/><Relationship Id="rId_hyperlink_1821" Type="http://schemas.openxmlformats.org/officeDocument/2006/relationships/hyperlink" Target="https://b2beez.ru/images/detailed/158/orig_9eqa-gn.jpg" TargetMode="External"/><Relationship Id="rId_hyperlink_1822" Type="http://schemas.openxmlformats.org/officeDocument/2006/relationships/hyperlink" Target="https://b2beez.ru/images/detailed/158/orig_1z94-9o.jpg" TargetMode="External"/><Relationship Id="rId_hyperlink_1823" Type="http://schemas.openxmlformats.org/officeDocument/2006/relationships/hyperlink" Target="https://b2beez.ru/images/detailed/158/orig_gweb-ce.jpg" TargetMode="External"/><Relationship Id="rId_hyperlink_1824" Type="http://schemas.openxmlformats.org/officeDocument/2006/relationships/hyperlink" Target="https://b2beez.ru/images/detailed/158/orig_zwtf-ux.jpg" TargetMode="External"/><Relationship Id="rId_hyperlink_1825" Type="http://schemas.openxmlformats.org/officeDocument/2006/relationships/hyperlink" Target="https://b2beez.ru/images/detailed/158/orig_9ubt-hj.jpg" TargetMode="External"/><Relationship Id="rId_hyperlink_1826" Type="http://schemas.openxmlformats.org/officeDocument/2006/relationships/hyperlink" Target="https://b2beez.ru/images/detailed/158/orig_evv7-ei.jpg" TargetMode="External"/><Relationship Id="rId_hyperlink_1827" Type="http://schemas.openxmlformats.org/officeDocument/2006/relationships/hyperlink" Target="https://b2beez.ru/images/detailed/158/orig_fswn-wr.jpg" TargetMode="External"/><Relationship Id="rId_hyperlink_1828" Type="http://schemas.openxmlformats.org/officeDocument/2006/relationships/hyperlink" Target="https://b2beez.ru/images/detailed/158/orig_voy4-2n.jpg" TargetMode="External"/><Relationship Id="rId_hyperlink_1829" Type="http://schemas.openxmlformats.org/officeDocument/2006/relationships/hyperlink" Target="https://b2beez.ru/images/detailed/158/orig_6zn1-ld.jpg" TargetMode="External"/><Relationship Id="rId_hyperlink_1830" Type="http://schemas.openxmlformats.org/officeDocument/2006/relationships/hyperlink" Target="https://b2beez.ru/images/detailed/158/6144151145.jpg" TargetMode="External"/><Relationship Id="rId_hyperlink_1831" Type="http://schemas.openxmlformats.org/officeDocument/2006/relationships/hyperlink" Target="https://b2beez.ru/images/detailed/158/orig_7271-wn.jpg" TargetMode="External"/><Relationship Id="rId_hyperlink_1832" Type="http://schemas.openxmlformats.org/officeDocument/2006/relationships/hyperlink" Target="https://b2beez.ru/images/detailed/158/orig_wsaz-wm.jpg" TargetMode="External"/><Relationship Id="rId_hyperlink_1833" Type="http://schemas.openxmlformats.org/officeDocument/2006/relationships/hyperlink" Target="https://b2beez.ru/images/detailed/158/orig_vym2-o1.jpg" TargetMode="External"/><Relationship Id="rId_hyperlink_1834" Type="http://schemas.openxmlformats.org/officeDocument/2006/relationships/hyperlink" Target="https://b2beez.ru/images/detailed/158/orig_7uie-4v.jpg" TargetMode="External"/><Relationship Id="rId_hyperlink_1835" Type="http://schemas.openxmlformats.org/officeDocument/2006/relationships/hyperlink" Target="https://b2beez.ru/images/detailed/158/6144150809.jpg" TargetMode="External"/><Relationship Id="rId_hyperlink_1836" Type="http://schemas.openxmlformats.org/officeDocument/2006/relationships/hyperlink" Target="https://b2beez.ru/images/detailed/158/orig_nwy7-zw.jpg" TargetMode="External"/><Relationship Id="rId_hyperlink_1837" Type="http://schemas.openxmlformats.org/officeDocument/2006/relationships/hyperlink" Target="https://b2beez.ru/images/detailed/158/orig_xope-gr.jpg" TargetMode="External"/><Relationship Id="rId_hyperlink_1838" Type="http://schemas.openxmlformats.org/officeDocument/2006/relationships/hyperlink" Target="https://b2beez.ru/images/detailed/158/orig_363d-0b.jpg" TargetMode="External"/><Relationship Id="rId_hyperlink_1839" Type="http://schemas.openxmlformats.org/officeDocument/2006/relationships/hyperlink" Target="https://b2beez.ru/images/detailed/158/orig_sy0m-pd.jpg" TargetMode="External"/><Relationship Id="rId_hyperlink_1840" Type="http://schemas.openxmlformats.org/officeDocument/2006/relationships/hyperlink" Target="https://b2beez.ru/images/detailed/158/orig_bwr1-an.jpg" TargetMode="External"/><Relationship Id="rId_hyperlink_1841" Type="http://schemas.openxmlformats.org/officeDocument/2006/relationships/hyperlink" Target="https://b2beez.ru/images/detailed/158/orig_kz0q-jm.jpg" TargetMode="External"/><Relationship Id="rId_hyperlink_1842" Type="http://schemas.openxmlformats.org/officeDocument/2006/relationships/hyperlink" Target="https://b2beez.ru/images/detailed/158/orig_82kb-0r.jpg" TargetMode="External"/><Relationship Id="rId_hyperlink_1843" Type="http://schemas.openxmlformats.org/officeDocument/2006/relationships/hyperlink" Target="https://b2beez.ru/images/detailed/158/orig_il5i-k1.jpg" TargetMode="External"/><Relationship Id="rId_hyperlink_1844" Type="http://schemas.openxmlformats.org/officeDocument/2006/relationships/hyperlink" Target="https://b2beez.ru/images/detailed/158/6144150856.jpg" TargetMode="External"/><Relationship Id="rId_hyperlink_1845" Type="http://schemas.openxmlformats.org/officeDocument/2006/relationships/hyperlink" Target="https://b2beez.ru/images/detailed/158/orig_nd9d-id.jpg" TargetMode="External"/><Relationship Id="rId_hyperlink_1846" Type="http://schemas.openxmlformats.org/officeDocument/2006/relationships/hyperlink" Target="https://b2beez.ru/images/detailed/158/orig_773w-ps.jpg" TargetMode="External"/><Relationship Id="rId_hyperlink_1847" Type="http://schemas.openxmlformats.org/officeDocument/2006/relationships/hyperlink" Target="https://b2beez.ru/images/detailed/158/orig_9aaw-61.jpg" TargetMode="External"/><Relationship Id="rId_hyperlink_1848" Type="http://schemas.openxmlformats.org/officeDocument/2006/relationships/hyperlink" Target="https://b2beez.ru/images/detailed/158/orig_84zw-qm.jpg" TargetMode="External"/><Relationship Id="rId_hyperlink_1849" Type="http://schemas.openxmlformats.org/officeDocument/2006/relationships/hyperlink" Target="https://b2beez.ru/images/detailed/158/orig_u6tt-06.jpg" TargetMode="External"/><Relationship Id="rId_hyperlink_1850" Type="http://schemas.openxmlformats.org/officeDocument/2006/relationships/hyperlink" Target="https://b2beez.ru/images/detailed/158/6144150959.jpg" TargetMode="External"/><Relationship Id="rId_hyperlink_1851" Type="http://schemas.openxmlformats.org/officeDocument/2006/relationships/hyperlink" Target="https://b2beez.ru/images/detailed/158/6144150904.jpg" TargetMode="External"/><Relationship Id="rId_hyperlink_1852" Type="http://schemas.openxmlformats.org/officeDocument/2006/relationships/hyperlink" Target="https://b2beez.ru/images/detailed/158/orig_a3bg-rl.jpg" TargetMode="External"/><Relationship Id="rId_hyperlink_1853" Type="http://schemas.openxmlformats.org/officeDocument/2006/relationships/hyperlink" Target="https://b2beez.ru/images/detailed/158/orig_zdyi-05.jpg" TargetMode="External"/><Relationship Id="rId_hyperlink_1854" Type="http://schemas.openxmlformats.org/officeDocument/2006/relationships/hyperlink" Target="https://b2beez.ru/images/detailed/158/orig_o1ob-9k.jpg" TargetMode="External"/><Relationship Id="rId_hyperlink_1855" Type="http://schemas.openxmlformats.org/officeDocument/2006/relationships/hyperlink" Target="https://b2beez.ru/images/detailed/158/orig_s4ku-0t.jpg" TargetMode="External"/><Relationship Id="rId_hyperlink_1856" Type="http://schemas.openxmlformats.org/officeDocument/2006/relationships/hyperlink" Target="https://b2beez.ru/images/detailed/158/orig_nu6p-gk.jpg" TargetMode="External"/><Relationship Id="rId_hyperlink_1857" Type="http://schemas.openxmlformats.org/officeDocument/2006/relationships/hyperlink" Target="https://b2beez.ru/images/detailed/158/orig_jcnd-1j.jpg" TargetMode="External"/><Relationship Id="rId_hyperlink_1858" Type="http://schemas.openxmlformats.org/officeDocument/2006/relationships/hyperlink" Target="https://b2beez.ru/images/detailed/158/orig_615r-1q.jpg" TargetMode="External"/><Relationship Id="rId_hyperlink_1859" Type="http://schemas.openxmlformats.org/officeDocument/2006/relationships/hyperlink" Target="https://b2beez.ru/images/detailed/158/orig_qjr1-71.jpg" TargetMode="External"/><Relationship Id="rId_hyperlink_1860" Type="http://schemas.openxmlformats.org/officeDocument/2006/relationships/hyperlink" Target="https://b2beez.ru/images/detailed/158/6144150838.jpg" TargetMode="External"/><Relationship Id="rId_hyperlink_1861" Type="http://schemas.openxmlformats.org/officeDocument/2006/relationships/hyperlink" Target="https://b2beez.ru/images/detailed/158/6144150832.jpg" TargetMode="External"/><Relationship Id="rId_hyperlink_1862" Type="http://schemas.openxmlformats.org/officeDocument/2006/relationships/hyperlink" Target="https://b2beez.ru/images/detailed/158/orig_g5ao-ov.jpg" TargetMode="External"/><Relationship Id="rId_hyperlink_1863" Type="http://schemas.openxmlformats.org/officeDocument/2006/relationships/hyperlink" Target="https://b2beez.ru/images/detailed/158/6144151171.jpg" TargetMode="External"/><Relationship Id="rId_hyperlink_1864" Type="http://schemas.openxmlformats.org/officeDocument/2006/relationships/hyperlink" Target="https://b2beez.ru/images/detailed/158/6156196910.jpg" TargetMode="External"/><Relationship Id="rId_hyperlink_1865" Type="http://schemas.openxmlformats.org/officeDocument/2006/relationships/hyperlink" Target="https://b2beez.ru/images/detailed/158/orig_uu3k-a4.jpg" TargetMode="External"/><Relationship Id="rId_hyperlink_1866" Type="http://schemas.openxmlformats.org/officeDocument/2006/relationships/hyperlink" Target="https://b2beez.ru/images/detailed/158/orig_76ee-6b.jpg" TargetMode="External"/><Relationship Id="rId_hyperlink_1867" Type="http://schemas.openxmlformats.org/officeDocument/2006/relationships/hyperlink" Target="https://b2beez.ru/images/detailed/158/orig_c0yf-ws.jpg" TargetMode="External"/><Relationship Id="rId_hyperlink_1868" Type="http://schemas.openxmlformats.org/officeDocument/2006/relationships/hyperlink" Target="https://b2beez.ru/images/detailed/158/orig_a34l-o2.jpg" TargetMode="External"/><Relationship Id="rId_hyperlink_1869" Type="http://schemas.openxmlformats.org/officeDocument/2006/relationships/hyperlink" Target="https://b2beez.ru/images/detailed/158/orig_abiw-6m.jpg" TargetMode="External"/><Relationship Id="rId_hyperlink_1870" Type="http://schemas.openxmlformats.org/officeDocument/2006/relationships/hyperlink" Target="https://b2beez.ru/images/detailed/158/orig_lb5z-pc.jpg" TargetMode="External"/><Relationship Id="rId_hyperlink_1871" Type="http://schemas.openxmlformats.org/officeDocument/2006/relationships/hyperlink" Target="https://b2beez.ru/images/detailed/158/6144151051.jpg" TargetMode="External"/><Relationship Id="rId_hyperlink_1872" Type="http://schemas.openxmlformats.org/officeDocument/2006/relationships/hyperlink" Target="https://b2beez.ru/images/detailed/158/orig_5bv5-pk.jpg" TargetMode="External"/><Relationship Id="rId_hyperlink_1873" Type="http://schemas.openxmlformats.org/officeDocument/2006/relationships/hyperlink" Target="https://b2beez.ru/images/detailed/158/orig_z4ty-63.jpg" TargetMode="External"/><Relationship Id="rId_hyperlink_1874" Type="http://schemas.openxmlformats.org/officeDocument/2006/relationships/hyperlink" Target="https://b2beez.ru/images/detailed/158/orig_ev2s-lp.jpg" TargetMode="External"/><Relationship Id="rId_hyperlink_1875" Type="http://schemas.openxmlformats.org/officeDocument/2006/relationships/hyperlink" Target="https://b2beez.ru/images/detailed/158/orig_hf0y-0a.jpg" TargetMode="External"/><Relationship Id="rId_hyperlink_1876" Type="http://schemas.openxmlformats.org/officeDocument/2006/relationships/hyperlink" Target="https://b2beez.ru/images/detailed/158/6144150561.jpg" TargetMode="External"/><Relationship Id="rId_hyperlink_1877" Type="http://schemas.openxmlformats.org/officeDocument/2006/relationships/hyperlink" Target="https://b2beez.ru/images/detailed/158/orig_ng63-zk.jpg" TargetMode="External"/><Relationship Id="rId_hyperlink_1878" Type="http://schemas.openxmlformats.org/officeDocument/2006/relationships/hyperlink" Target="https://b2beez.ru/images/detailed/158/orig_s0ue-ds.jpg" TargetMode="External"/><Relationship Id="rId_hyperlink_1879" Type="http://schemas.openxmlformats.org/officeDocument/2006/relationships/hyperlink" Target="https://b2beez.ru/images/detailed/158/orig_2uz4-g7.jpg" TargetMode="External"/><Relationship Id="rId_hyperlink_1880" Type="http://schemas.openxmlformats.org/officeDocument/2006/relationships/hyperlink" Target="https://b2beez.ru/images/detailed/158/orig_sz2e-fy.jpg" TargetMode="External"/><Relationship Id="rId_hyperlink_1881" Type="http://schemas.openxmlformats.org/officeDocument/2006/relationships/hyperlink" Target="https://b2beez.ru/images/detailed/158/orig_pawo-a1.jpg" TargetMode="External"/><Relationship Id="rId_hyperlink_1882" Type="http://schemas.openxmlformats.org/officeDocument/2006/relationships/hyperlink" Target="https://b2beez.ru/images/detailed/158/orig_725l-70.jpg" TargetMode="External"/><Relationship Id="rId_hyperlink_1883" Type="http://schemas.openxmlformats.org/officeDocument/2006/relationships/hyperlink" Target="https://b2beez.ru/images/detailed/158/orig_6apj-mp.jpg" TargetMode="External"/><Relationship Id="rId_hyperlink_1884" Type="http://schemas.openxmlformats.org/officeDocument/2006/relationships/hyperlink" Target="https://b2beez.ru/images/detailed/158/6144150716.jpg" TargetMode="External"/><Relationship Id="rId_hyperlink_1885" Type="http://schemas.openxmlformats.org/officeDocument/2006/relationships/hyperlink" Target="https://b2beez.ru/images/detailed/158/orig_9mya-1r.jpg" TargetMode="External"/><Relationship Id="rId_hyperlink_1886" Type="http://schemas.openxmlformats.org/officeDocument/2006/relationships/hyperlink" Target="https://b2beez.ru/images/detailed/158/orig_ruhk-j4.jpg" TargetMode="External"/><Relationship Id="rId_hyperlink_1887" Type="http://schemas.openxmlformats.org/officeDocument/2006/relationships/hyperlink" Target="https://b2beez.ru/images/detailed/158/orig_1p41-83.jpg" TargetMode="External"/><Relationship Id="rId_hyperlink_1888" Type="http://schemas.openxmlformats.org/officeDocument/2006/relationships/hyperlink" Target="https://b2beez.ru/images/detailed/158/orig_yl6c-ry.jpg" TargetMode="External"/><Relationship Id="rId_hyperlink_1889" Type="http://schemas.openxmlformats.org/officeDocument/2006/relationships/hyperlink" Target="https://b2beez.ru/images/detailed/158/orig_zg86-0d.jpg" TargetMode="External"/><Relationship Id="rId_hyperlink_1890" Type="http://schemas.openxmlformats.org/officeDocument/2006/relationships/hyperlink" Target="https://b2beez.ru/images/detailed/158/orig_hh7d-rf.jpg" TargetMode="External"/><Relationship Id="rId_hyperlink_1891" Type="http://schemas.openxmlformats.org/officeDocument/2006/relationships/hyperlink" Target="https://b2beez.ru/images/detailed/158/6156616252.jpg" TargetMode="External"/><Relationship Id="rId_hyperlink_1892" Type="http://schemas.openxmlformats.org/officeDocument/2006/relationships/hyperlink" Target="https://b2beez.ru/images/detailed/158/orig_1kbh-l5.jpg" TargetMode="External"/><Relationship Id="rId_hyperlink_1893" Type="http://schemas.openxmlformats.org/officeDocument/2006/relationships/hyperlink" Target="https://b2beez.ru/images/detailed/158/orig_s3sa-1p.jpg" TargetMode="External"/><Relationship Id="rId_hyperlink_1894" Type="http://schemas.openxmlformats.org/officeDocument/2006/relationships/hyperlink" Target="https://b2beez.ru/images/detailed/158/orig_c61l-yl.jpg" TargetMode="External"/><Relationship Id="rId_hyperlink_1895" Type="http://schemas.openxmlformats.org/officeDocument/2006/relationships/hyperlink" Target="https://b2beez.ru/images/detailed/158/orig_ddml-2n.jpg" TargetMode="External"/><Relationship Id="rId_hyperlink_1896" Type="http://schemas.openxmlformats.org/officeDocument/2006/relationships/hyperlink" Target="https://b2beez.ru/images/detailed/158/orig_szzo-i2.jpg" TargetMode="External"/><Relationship Id="rId_hyperlink_1897" Type="http://schemas.openxmlformats.org/officeDocument/2006/relationships/hyperlink" Target="https://b2beez.ru/images/detailed/158/orig_6wjp-pc.jpg" TargetMode="External"/><Relationship Id="rId_hyperlink_1898" Type="http://schemas.openxmlformats.org/officeDocument/2006/relationships/hyperlink" Target="https://b2beez.ru/images/detailed/158/orig_p5i6-v0.jpg" TargetMode="External"/><Relationship Id="rId_hyperlink_1899" Type="http://schemas.openxmlformats.org/officeDocument/2006/relationships/hyperlink" Target="https://b2beez.ru/images/detailed/158/orig_y1zh-so.jpg" TargetMode="External"/><Relationship Id="rId_hyperlink_1900" Type="http://schemas.openxmlformats.org/officeDocument/2006/relationships/hyperlink" Target="https://b2beez.ru/images/detailed/158/orig_brjs-10.jpg" TargetMode="External"/><Relationship Id="rId_hyperlink_1901" Type="http://schemas.openxmlformats.org/officeDocument/2006/relationships/hyperlink" Target="https://b2beez.ru/images/detailed/158/orig_wc0y-qv.jpg" TargetMode="External"/><Relationship Id="rId_hyperlink_1902" Type="http://schemas.openxmlformats.org/officeDocument/2006/relationships/hyperlink" Target="https://b2beez.ru/images/detailed/158/orig_wvjy-6x.jpg" TargetMode="External"/><Relationship Id="rId_hyperlink_1903" Type="http://schemas.openxmlformats.org/officeDocument/2006/relationships/hyperlink" Target="https://b2beez.ru/images/detailed/158/6145092326.jpg" TargetMode="External"/><Relationship Id="rId_hyperlink_1904" Type="http://schemas.openxmlformats.org/officeDocument/2006/relationships/hyperlink" Target="https://b2beez.ru/images/detailed/158/orig_zbhc-27.jpg" TargetMode="External"/><Relationship Id="rId_hyperlink_1905" Type="http://schemas.openxmlformats.org/officeDocument/2006/relationships/hyperlink" Target="https://b2beez.ru/images/detailed/158/orig_6x5q-n9.jpg" TargetMode="External"/><Relationship Id="rId_hyperlink_1906" Type="http://schemas.openxmlformats.org/officeDocument/2006/relationships/hyperlink" Target="https://b2beez.ru/images/detailed/158/orig_y632-yd.jpg" TargetMode="External"/><Relationship Id="rId_hyperlink_1907" Type="http://schemas.openxmlformats.org/officeDocument/2006/relationships/hyperlink" Target="https://b2beez.ru/images/detailed/158/orig_a6hg-50.jpg" TargetMode="External"/><Relationship Id="rId_hyperlink_1908" Type="http://schemas.openxmlformats.org/officeDocument/2006/relationships/hyperlink" Target="https://b2beez.ru/images/detailed/158/orig_tcor-u2.jpg" TargetMode="External"/><Relationship Id="rId_hyperlink_1909" Type="http://schemas.openxmlformats.org/officeDocument/2006/relationships/hyperlink" Target="https://b2beez.ru/images/detailed/158/6144151188.jpg" TargetMode="External"/><Relationship Id="rId_hyperlink_1910" Type="http://schemas.openxmlformats.org/officeDocument/2006/relationships/hyperlink" Target="https://b2beez.ru/images/detailed/158/orig_vmk5-ww.jpg" TargetMode="External"/><Relationship Id="rId_hyperlink_1911" Type="http://schemas.openxmlformats.org/officeDocument/2006/relationships/hyperlink" Target="https://b2beez.ru/images/detailed/158/orig_whgt-z4.jpg" TargetMode="External"/><Relationship Id="rId_hyperlink_1912" Type="http://schemas.openxmlformats.org/officeDocument/2006/relationships/hyperlink" Target="https://b2beez.ru/images/detailed/204/D-2842.jpg" TargetMode="External"/><Relationship Id="rId_hyperlink_1913" Type="http://schemas.openxmlformats.org/officeDocument/2006/relationships/hyperlink" Target="https://b2beez.ru/images/detailed/158/orig_lf0x-f1.jpg" TargetMode="External"/><Relationship Id="rId_hyperlink_1914" Type="http://schemas.openxmlformats.org/officeDocument/2006/relationships/hyperlink" Target="https://b2beez.ru/images/detailed/158/orig_u7sm-a4.jpg" TargetMode="External"/><Relationship Id="rId_hyperlink_1915" Type="http://schemas.openxmlformats.org/officeDocument/2006/relationships/hyperlink" Target="https://b2beez.ru/images/detailed/158/orig_1t15-3n.jpg" TargetMode="External"/><Relationship Id="rId_hyperlink_1916" Type="http://schemas.openxmlformats.org/officeDocument/2006/relationships/hyperlink" Target="https://b2beez.ru/images/detailed/158/orig_j2m5-kt.jpg" TargetMode="External"/><Relationship Id="rId_hyperlink_1917" Type="http://schemas.openxmlformats.org/officeDocument/2006/relationships/hyperlink" Target="https://b2beez.ru/images/detailed/158/orig_cco4-sy.jpg" TargetMode="External"/><Relationship Id="rId_hyperlink_1918" Type="http://schemas.openxmlformats.org/officeDocument/2006/relationships/hyperlink" Target="https://b2beez.ru/images/detailed/158/orig_nebr-8e.jpg" TargetMode="External"/><Relationship Id="rId_hyperlink_1919" Type="http://schemas.openxmlformats.org/officeDocument/2006/relationships/hyperlink" Target="https://b2beez.ru/images/detailed/158/orig_9ws9-t1.jpg" TargetMode="External"/><Relationship Id="rId_hyperlink_1920" Type="http://schemas.openxmlformats.org/officeDocument/2006/relationships/hyperlink" Target="https://b2beez.ru/images/detailed/158/orig_6jyr-1o.jpg" TargetMode="External"/><Relationship Id="rId_hyperlink_1921" Type="http://schemas.openxmlformats.org/officeDocument/2006/relationships/hyperlink" Target="https://b2beez.ru/images/detailed/158/orig_ig54-hu.jpg" TargetMode="External"/><Relationship Id="rId_hyperlink_1922" Type="http://schemas.openxmlformats.org/officeDocument/2006/relationships/hyperlink" Target="https://b2beez.ru/images/detailed/158/orig_j1ek-k5.jpg" TargetMode="External"/><Relationship Id="rId_hyperlink_1923" Type="http://schemas.openxmlformats.org/officeDocument/2006/relationships/hyperlink" Target="https://b2beez.ru/images/detailed/158/orig_sufk-pu.jpg" TargetMode="External"/><Relationship Id="rId_hyperlink_1924" Type="http://schemas.openxmlformats.org/officeDocument/2006/relationships/hyperlink" Target="https://b2beez.ru/images/detailed/158/orig_fp13-ow.jpg" TargetMode="External"/><Relationship Id="rId_hyperlink_1925" Type="http://schemas.openxmlformats.org/officeDocument/2006/relationships/hyperlink" Target="https://b2beez.ru/images/detailed/158/orig_laat-hx.jpg" TargetMode="External"/><Relationship Id="rId_hyperlink_1926" Type="http://schemas.openxmlformats.org/officeDocument/2006/relationships/hyperlink" Target="https://b2beez.ru/images/detailed/158/orig_louy-ii.jpg" TargetMode="External"/><Relationship Id="rId_hyperlink_1927" Type="http://schemas.openxmlformats.org/officeDocument/2006/relationships/hyperlink" Target="https://b2beez.ru/images/detailed/158/orig_gka4-hl.jpg" TargetMode="External"/><Relationship Id="rId_hyperlink_1928" Type="http://schemas.openxmlformats.org/officeDocument/2006/relationships/hyperlink" Target="https://b2beez.ru/images/detailed/158/6144150930.jpg" TargetMode="External"/><Relationship Id="rId_hyperlink_1929" Type="http://schemas.openxmlformats.org/officeDocument/2006/relationships/hyperlink" Target="https://b2beez.ru/images/detailed/158/6148420918.jpg" TargetMode="External"/><Relationship Id="rId_hyperlink_1930" Type="http://schemas.openxmlformats.org/officeDocument/2006/relationships/hyperlink" Target="https://b2beez.ru/images/detailed/158/orig_tfd1-84.jpg" TargetMode="External"/><Relationship Id="rId_hyperlink_1931" Type="http://schemas.openxmlformats.org/officeDocument/2006/relationships/hyperlink" Target="https://b2beez.ru/images/detailed/158/orig_o30t-2n.jpg" TargetMode="External"/><Relationship Id="rId_hyperlink_1932" Type="http://schemas.openxmlformats.org/officeDocument/2006/relationships/hyperlink" Target="https://b2beez.ru/images/detailed/158/6144150683.jpg" TargetMode="External"/><Relationship Id="rId_hyperlink_1933" Type="http://schemas.openxmlformats.org/officeDocument/2006/relationships/hyperlink" Target="https://b2beez.ru/images/detailed/158/orig_g0o6-p6.jpg" TargetMode="External"/><Relationship Id="rId_hyperlink_1934" Type="http://schemas.openxmlformats.org/officeDocument/2006/relationships/hyperlink" Target="https://b2beez.ru/images/detailed/158/orig_iepf-h8.jpg" TargetMode="External"/><Relationship Id="rId_hyperlink_1935" Type="http://schemas.openxmlformats.org/officeDocument/2006/relationships/hyperlink" Target="https://b2beez.ru/images/detailed/158/6144150805.jpg" TargetMode="External"/><Relationship Id="rId_hyperlink_1936" Type="http://schemas.openxmlformats.org/officeDocument/2006/relationships/hyperlink" Target="https://b2beez.ru/images/detailed/158/orig_ecp3-ze.jpg" TargetMode="External"/><Relationship Id="rId_hyperlink_1937" Type="http://schemas.openxmlformats.org/officeDocument/2006/relationships/hyperlink" Target="https://b2beez.ru/images/detailed/158/6144151150.jpg" TargetMode="External"/><Relationship Id="rId_hyperlink_1938" Type="http://schemas.openxmlformats.org/officeDocument/2006/relationships/hyperlink" Target="https://b2beez.ru/images/detailed/158/orig_ugoo-am.jpg" TargetMode="External"/><Relationship Id="rId_hyperlink_1939" Type="http://schemas.openxmlformats.org/officeDocument/2006/relationships/hyperlink" Target="https://b2beez.ru/images/detailed/158/6144151084.jpg" TargetMode="External"/><Relationship Id="rId_hyperlink_1940" Type="http://schemas.openxmlformats.org/officeDocument/2006/relationships/hyperlink" Target="https://b2beez.ru/images/detailed/204/D-2982.jpg" TargetMode="External"/><Relationship Id="rId_hyperlink_1941" Type="http://schemas.openxmlformats.org/officeDocument/2006/relationships/hyperlink" Target="https://b2beez.ru/images/detailed/158/orig_7cjb-n7.jpg" TargetMode="External"/><Relationship Id="rId_hyperlink_1942" Type="http://schemas.openxmlformats.org/officeDocument/2006/relationships/hyperlink" Target="https://b2beez.ru/images/detailed/158/orig_pwwq-lz.jpg" TargetMode="External"/><Relationship Id="rId_hyperlink_1943" Type="http://schemas.openxmlformats.org/officeDocument/2006/relationships/hyperlink" Target="https://b2beez.ru/images/detailed/159/orig_wc1q-if.jpg" TargetMode="External"/><Relationship Id="rId_hyperlink_1944" Type="http://schemas.openxmlformats.org/officeDocument/2006/relationships/hyperlink" Target="https://b2beez.ru/images/detailed/159/orig_5o1q-4k.jpg" TargetMode="External"/><Relationship Id="rId_hyperlink_1945" Type="http://schemas.openxmlformats.org/officeDocument/2006/relationships/hyperlink" Target="https://b2beez.ru/images/detailed/159/orig_voe5-17.jpg" TargetMode="External"/><Relationship Id="rId_hyperlink_1946" Type="http://schemas.openxmlformats.org/officeDocument/2006/relationships/hyperlink" Target="https://b2beez.ru/images/detailed/159/orig_lo2g-pj.jpg" TargetMode="External"/><Relationship Id="rId_hyperlink_1947" Type="http://schemas.openxmlformats.org/officeDocument/2006/relationships/hyperlink" Target="https://b2beez.ru/images/detailed/159/orig_f2w4-8o.jpg" TargetMode="External"/><Relationship Id="rId_hyperlink_1948" Type="http://schemas.openxmlformats.org/officeDocument/2006/relationships/hyperlink" Target="https://b2beez.ru/images/detailed/159/orig_ul4a-di.jpg" TargetMode="External"/><Relationship Id="rId_hyperlink_1949" Type="http://schemas.openxmlformats.org/officeDocument/2006/relationships/hyperlink" Target="https://b2beez.ru/images/detailed/159/6144150797.jpg" TargetMode="External"/><Relationship Id="rId_hyperlink_1950" Type="http://schemas.openxmlformats.org/officeDocument/2006/relationships/hyperlink" Target="https://b2beez.ru/images/detailed/159/6144150829.jpg" TargetMode="External"/><Relationship Id="rId_hyperlink_1951" Type="http://schemas.openxmlformats.org/officeDocument/2006/relationships/hyperlink" Target="https://b2beez.ru/images/detailed/159/orig_5izq-lx.jpg" TargetMode="External"/><Relationship Id="rId_hyperlink_1952" Type="http://schemas.openxmlformats.org/officeDocument/2006/relationships/hyperlink" Target="https://b2beez.ru/images/detailed/159/orig_kehx-qi.jpg" TargetMode="External"/><Relationship Id="rId_hyperlink_1953" Type="http://schemas.openxmlformats.org/officeDocument/2006/relationships/hyperlink" Target="https://b2beez.ru/images/detailed/159/orig_1tcc-ma.jpg" TargetMode="External"/><Relationship Id="rId_hyperlink_1954" Type="http://schemas.openxmlformats.org/officeDocument/2006/relationships/hyperlink" Target="https://b2beez.ru/images/detailed/159/orig_959b-0v.jpg" TargetMode="External"/><Relationship Id="rId_hyperlink_1955" Type="http://schemas.openxmlformats.org/officeDocument/2006/relationships/hyperlink" Target="https://b2beez.ru/images/detailed/160/orig_lv98-ia.jpg" TargetMode="External"/><Relationship Id="rId_hyperlink_1956" Type="http://schemas.openxmlformats.org/officeDocument/2006/relationships/hyperlink" Target="https://b2beez.ru/images/detailed/160/orig_ta1h-8w.jpg" TargetMode="External"/><Relationship Id="rId_hyperlink_1957" Type="http://schemas.openxmlformats.org/officeDocument/2006/relationships/hyperlink" Target="https://b2beez.ru/images/detailed/160/orig_6uc1-ye.jpg" TargetMode="External"/><Relationship Id="rId_hyperlink_1958" Type="http://schemas.openxmlformats.org/officeDocument/2006/relationships/hyperlink" Target="https://b2beez.ru/images/detailed/160/orig_0uze-gw.jpg" TargetMode="External"/><Relationship Id="rId_hyperlink_1959" Type="http://schemas.openxmlformats.org/officeDocument/2006/relationships/hyperlink" Target="https://b2beez.ru/images/detailed/160/orig_nldv-8w.jpg" TargetMode="External"/><Relationship Id="rId_hyperlink_1960" Type="http://schemas.openxmlformats.org/officeDocument/2006/relationships/hyperlink" Target="https://b2beez.ru/images/detailed/160/orig_54qp-8o.jpg" TargetMode="External"/><Relationship Id="rId_hyperlink_1961" Type="http://schemas.openxmlformats.org/officeDocument/2006/relationships/hyperlink" Target="https://b2beez.ru/images/detailed/160/orig_ptl6-2p.jpg" TargetMode="External"/><Relationship Id="rId_hyperlink_1962" Type="http://schemas.openxmlformats.org/officeDocument/2006/relationships/hyperlink" Target="https://b2beez.ru/images/detailed/160/orig_l97x-rn.jpg" TargetMode="External"/><Relationship Id="rId_hyperlink_1963" Type="http://schemas.openxmlformats.org/officeDocument/2006/relationships/hyperlink" Target="https://b2beez.ru/images/detailed/160/orig_fy7e-4n.jpg" TargetMode="External"/><Relationship Id="rId_hyperlink_1964" Type="http://schemas.openxmlformats.org/officeDocument/2006/relationships/hyperlink" Target="https://b2beez.ru/images/detailed/160/6144150507.jpg" TargetMode="External"/><Relationship Id="rId_hyperlink_1965" Type="http://schemas.openxmlformats.org/officeDocument/2006/relationships/hyperlink" Target="https://b2beez.ru/images/detailed/160/orig_w9t2-wi.jpg" TargetMode="External"/><Relationship Id="rId_hyperlink_1966" Type="http://schemas.openxmlformats.org/officeDocument/2006/relationships/hyperlink" Target="https://b2beez.ru/images/detailed/160/6144150722.jpg" TargetMode="External"/><Relationship Id="rId_hyperlink_1967" Type="http://schemas.openxmlformats.org/officeDocument/2006/relationships/hyperlink" Target="https://b2beez.ru/images/detailed/160/orig_ibty-qp.jpg" TargetMode="External"/><Relationship Id="rId_hyperlink_1968" Type="http://schemas.openxmlformats.org/officeDocument/2006/relationships/hyperlink" Target="https://b2beez.ru/images/detailed/160/orig_p3n2-ur.jpg" TargetMode="External"/><Relationship Id="rId_hyperlink_1969" Type="http://schemas.openxmlformats.org/officeDocument/2006/relationships/hyperlink" Target="https://b2beez.ru/images/detailed/0/" TargetMode="External"/><Relationship Id="rId_hyperlink_1970" Type="http://schemas.openxmlformats.org/officeDocument/2006/relationships/hyperlink" Target="https://b2beez.ru/images/detailed/160/orig_t8ms-ug.jpg" TargetMode="External"/><Relationship Id="rId_hyperlink_1971" Type="http://schemas.openxmlformats.org/officeDocument/2006/relationships/hyperlink" Target="https://b2beez.ru/images/detailed/160/6144151158.jpg" TargetMode="External"/><Relationship Id="rId_hyperlink_1972" Type="http://schemas.openxmlformats.org/officeDocument/2006/relationships/hyperlink" Target="https://b2beez.ru/images/detailed/0/" TargetMode="External"/><Relationship Id="rId_hyperlink_1973" Type="http://schemas.openxmlformats.org/officeDocument/2006/relationships/hyperlink" Target="https://b2beez.ru/images/detailed/160/6144150506.jpg" TargetMode="External"/><Relationship Id="rId_hyperlink_1974" Type="http://schemas.openxmlformats.org/officeDocument/2006/relationships/hyperlink" Target="https://b2beez.ru/images/detailed/160/6144150520.jpg" TargetMode="External"/><Relationship Id="rId_hyperlink_1975" Type="http://schemas.openxmlformats.org/officeDocument/2006/relationships/hyperlink" Target="https://b2beez.ru/images/detailed/160/orig_osfo-gu.jpg" TargetMode="External"/><Relationship Id="rId_hyperlink_1976" Type="http://schemas.openxmlformats.org/officeDocument/2006/relationships/hyperlink" Target="https://b2beez.ru/images/detailed/160/orig_c9cq-fb.jpg" TargetMode="External"/><Relationship Id="rId_hyperlink_1977" Type="http://schemas.openxmlformats.org/officeDocument/2006/relationships/hyperlink" Target="https://b2beez.ru/images/detailed/160/orig_90nq-q8.jpg" TargetMode="External"/><Relationship Id="rId_hyperlink_1978" Type="http://schemas.openxmlformats.org/officeDocument/2006/relationships/hyperlink" Target="https://b2beez.ru/images/detailed/160/6144151129.jpg" TargetMode="External"/><Relationship Id="rId_hyperlink_1979" Type="http://schemas.openxmlformats.org/officeDocument/2006/relationships/hyperlink" Target="https://b2beez.ru/images/detailed/160/6144151071.jpg" TargetMode="External"/><Relationship Id="rId_hyperlink_1980" Type="http://schemas.openxmlformats.org/officeDocument/2006/relationships/hyperlink" Target="https://b2beez.ru/images/detailed/166/orig_ie0c-mm.jpg" TargetMode="External"/><Relationship Id="rId_hyperlink_1981" Type="http://schemas.openxmlformats.org/officeDocument/2006/relationships/hyperlink" Target="https://b2beez.ru/images/detailed/166/orig_kd76-r9.jpg" TargetMode="External"/><Relationship Id="rId_hyperlink_1982" Type="http://schemas.openxmlformats.org/officeDocument/2006/relationships/hyperlink" Target="https://b2beez.ru/images/detailed/176/6836401772.jpg" TargetMode="External"/><Relationship Id="rId_hyperlink_1983" Type="http://schemas.openxmlformats.org/officeDocument/2006/relationships/hyperlink" Target="https://b2beez.ru/images/detailed/176/orig_qg34-8a.jpg" TargetMode="External"/><Relationship Id="rId_hyperlink_1984" Type="http://schemas.openxmlformats.org/officeDocument/2006/relationships/hyperlink" Target="https://b2beez.ru/images/detailed/176/orig_vrce-a9.jpg" TargetMode="External"/><Relationship Id="rId_hyperlink_1985" Type="http://schemas.openxmlformats.org/officeDocument/2006/relationships/hyperlink" Target="https://b2beez.ru/images/detailed/181/6144150886.jpg" TargetMode="External"/><Relationship Id="rId_hyperlink_1986" Type="http://schemas.openxmlformats.org/officeDocument/2006/relationships/hyperlink" Target="https://b2beez.ru/images/detailed/179/orig_l3pp-mc.jpg" TargetMode="External"/><Relationship Id="rId_hyperlink_1987" Type="http://schemas.openxmlformats.org/officeDocument/2006/relationships/hyperlink" Target="https://b2beez.ru/images/detailed/179/orig_fxur-nt.jpg" TargetMode="External"/><Relationship Id="rId_hyperlink_1988" Type="http://schemas.openxmlformats.org/officeDocument/2006/relationships/hyperlink" Target="https://b2beez.ru/images/detailed/180/6144150902.jpg" TargetMode="External"/><Relationship Id="rId_hyperlink_1989" Type="http://schemas.openxmlformats.org/officeDocument/2006/relationships/hyperlink" Target="https://b2beez.ru/images/detailed/180/6320884867.jpg" TargetMode="External"/><Relationship Id="rId_hyperlink_1990" Type="http://schemas.openxmlformats.org/officeDocument/2006/relationships/hyperlink" Target="https://b2beez.ru/images/detailed/180/6144150819_kvsm-gk.jpg" TargetMode="External"/><Relationship Id="rId_hyperlink_1991" Type="http://schemas.openxmlformats.org/officeDocument/2006/relationships/hyperlink" Target="https://b2beez.ru/images/detailed/179/orig_x62b-nw.jpg" TargetMode="External"/><Relationship Id="rId_hyperlink_1992" Type="http://schemas.openxmlformats.org/officeDocument/2006/relationships/hyperlink" Target="https://b2beez.ru/images/detailed/179/orig_y9g5-pg.jpg" TargetMode="External"/><Relationship Id="rId_hyperlink_1993" Type="http://schemas.openxmlformats.org/officeDocument/2006/relationships/hyperlink" Target="https://b2beez.ru/images/detailed/179/6144150790_0sll-cm.jpg" TargetMode="External"/><Relationship Id="rId_hyperlink_1994" Type="http://schemas.openxmlformats.org/officeDocument/2006/relationships/hyperlink" Target="https://b2beez.ru/images/detailed/179/6144150895.jpg" TargetMode="External"/><Relationship Id="rId_hyperlink_1995" Type="http://schemas.openxmlformats.org/officeDocument/2006/relationships/hyperlink" Target="https://b2beez.ru/images/detailed/179/orig_973x-jb.jpg" TargetMode="External"/><Relationship Id="rId_hyperlink_1996" Type="http://schemas.openxmlformats.org/officeDocument/2006/relationships/hyperlink" Target="https://b2beez.ru/images/detailed/179/orig_pccm-wg.jpg" TargetMode="External"/><Relationship Id="rId_hyperlink_1997" Type="http://schemas.openxmlformats.org/officeDocument/2006/relationships/hyperlink" Target="https://b2beez.ru/images/detailed/179/orig_wkl7-dx.jpg" TargetMode="External"/><Relationship Id="rId_hyperlink_1998" Type="http://schemas.openxmlformats.org/officeDocument/2006/relationships/hyperlink" Target="https://b2beez.ru/images/detailed/180/6320862129.jpg" TargetMode="External"/><Relationship Id="rId_hyperlink_1999" Type="http://schemas.openxmlformats.org/officeDocument/2006/relationships/hyperlink" Target="https://b2beez.ru/images/detailed/180/orig_z5b8-r6.jpg" TargetMode="External"/><Relationship Id="rId_hyperlink_2000" Type="http://schemas.openxmlformats.org/officeDocument/2006/relationships/hyperlink" Target="https://b2beez.ru/images/detailed/180/6144150793_igf0-x0.jpg" TargetMode="External"/><Relationship Id="rId_hyperlink_2001" Type="http://schemas.openxmlformats.org/officeDocument/2006/relationships/hyperlink" Target="https://b2beez.ru/images/detailed/158/orig_an4y-5k.jpg" TargetMode="External"/><Relationship Id="rId_hyperlink_2002" Type="http://schemas.openxmlformats.org/officeDocument/2006/relationships/hyperlink" Target="https://b2beez.ru/images/detailed/48/orig_sut5-yu.jpg" TargetMode="External"/><Relationship Id="rId_hyperlink_2003" Type="http://schemas.openxmlformats.org/officeDocument/2006/relationships/hyperlink" Target="https://b2beez.ru/images/detailed/158/orig_i6dv-wm.jpg" TargetMode="External"/><Relationship Id="rId_hyperlink_2004" Type="http://schemas.openxmlformats.org/officeDocument/2006/relationships/hyperlink" Target="https://b2beez.ru/images/detailed/157/orig_f1tl-x7.jpg" TargetMode="External"/><Relationship Id="rId_hyperlink_2005" Type="http://schemas.openxmlformats.org/officeDocument/2006/relationships/hyperlink" Target="https://b2beez.ru/images/detailed/157/orig_ej8w-bk.jpg" TargetMode="External"/><Relationship Id="rId_hyperlink_2006" Type="http://schemas.openxmlformats.org/officeDocument/2006/relationships/hyperlink" Target="https://b2beez.ru/images/detailed/158/orig_9zoj-48.jpg" TargetMode="External"/><Relationship Id="rId_hyperlink_2007" Type="http://schemas.openxmlformats.org/officeDocument/2006/relationships/hyperlink" Target="https://b2beez.ru/images/detailed/170/6459282098.jpg" TargetMode="External"/><Relationship Id="rId_hyperlink_2008" Type="http://schemas.openxmlformats.org/officeDocument/2006/relationships/hyperlink" Target="https://b2beez.ru/images/detailed/170/6459282097.jpg" TargetMode="External"/><Relationship Id="rId_hyperlink_2009" Type="http://schemas.openxmlformats.org/officeDocument/2006/relationships/hyperlink" Target="https://b2beez.ru/images/detailed/170/6459282033.jpg" TargetMode="External"/><Relationship Id="rId_hyperlink_2010" Type="http://schemas.openxmlformats.org/officeDocument/2006/relationships/hyperlink" Target="https://b2beez.ru/images/detailed/170/6459282064.jpg" TargetMode="External"/><Relationship Id="rId_hyperlink_2011" Type="http://schemas.openxmlformats.org/officeDocument/2006/relationships/hyperlink" Target="https://b2beez.ru/images/detailed/170/6459282064_6bp9-g6.jpg" TargetMode="External"/><Relationship Id="rId_hyperlink_2012" Type="http://schemas.openxmlformats.org/officeDocument/2006/relationships/hyperlink" Target="https://b2beez.ru/images/detailed/170/6459663219.jpg" TargetMode="External"/><Relationship Id="rId_hyperlink_2013" Type="http://schemas.openxmlformats.org/officeDocument/2006/relationships/hyperlink" Target="https://b2beez.ru/images/detailed/170/6459663309.jpg" TargetMode="External"/><Relationship Id="rId_hyperlink_2014" Type="http://schemas.openxmlformats.org/officeDocument/2006/relationships/hyperlink" Target="https://b2beez.ru/images/detailed/170/orig_yevv-1n.jpg" TargetMode="External"/><Relationship Id="rId_hyperlink_2015" Type="http://schemas.openxmlformats.org/officeDocument/2006/relationships/hyperlink" Target="https://b2beez.ru/images/detailed/170/6459282084.jpg" TargetMode="External"/><Relationship Id="rId_hyperlink_2016" Type="http://schemas.openxmlformats.org/officeDocument/2006/relationships/hyperlink" Target="https://b2beez.ru/images/detailed/170/6459282084_9oc4-th.jpg" TargetMode="External"/><Relationship Id="rId_hyperlink_2017" Type="http://schemas.openxmlformats.org/officeDocument/2006/relationships/hyperlink" Target="https://b2beez.ru/images/detailed/167/7050620834_pxg1-fb.jpg" TargetMode="External"/><Relationship Id="rId_hyperlink_2018" Type="http://schemas.openxmlformats.org/officeDocument/2006/relationships/hyperlink" Target="https://b2beez.ru/images/detailed/156/7154186951.jpg" TargetMode="External"/><Relationship Id="rId_hyperlink_2019" Type="http://schemas.openxmlformats.org/officeDocument/2006/relationships/hyperlink" Target="https://b2beez.ru/images/detailed/188/7154036614.jpg" TargetMode="External"/><Relationship Id="rId_hyperlink_2020" Type="http://schemas.openxmlformats.org/officeDocument/2006/relationships/hyperlink" Target="https://b2beez.ru/images/detailed/168/7173105958.jpg" TargetMode="External"/><Relationship Id="rId_hyperlink_2021" Type="http://schemas.openxmlformats.org/officeDocument/2006/relationships/hyperlink" Target="https://b2beez.ru/images/detailed/166/7173108841.jpg" TargetMode="External"/><Relationship Id="rId_hyperlink_2022" Type="http://schemas.openxmlformats.org/officeDocument/2006/relationships/hyperlink" Target="https://b2beez.ru/images/detailed/166/7175050140.jpg" TargetMode="External"/><Relationship Id="rId_hyperlink_2023" Type="http://schemas.openxmlformats.org/officeDocument/2006/relationships/hyperlink" Target="https://b2beez.ru/images/detailed/177/7181139285.jpg" TargetMode="External"/><Relationship Id="rId_hyperlink_2024" Type="http://schemas.openxmlformats.org/officeDocument/2006/relationships/hyperlink" Target="https://b2beez.ru/images/detailed/169/orig_gk83-15.jpg" TargetMode="External"/><Relationship Id="rId_hyperlink_2025" Type="http://schemas.openxmlformats.org/officeDocument/2006/relationships/hyperlink" Target="https://b2beez.ru/images/detailed/172/orig_5mhm-hu.jpg" TargetMode="External"/><Relationship Id="rId_hyperlink_2026" Type="http://schemas.openxmlformats.org/officeDocument/2006/relationships/hyperlink" Target="https://b2beez.ru/images/detailed/90/6243585953.jpg" TargetMode="External"/><Relationship Id="rId_hyperlink_2027" Type="http://schemas.openxmlformats.org/officeDocument/2006/relationships/hyperlink" Target="https://b2beez.ru/images/detailed/90/orig_d51q-o3.jpg" TargetMode="External"/><Relationship Id="rId_hyperlink_2028" Type="http://schemas.openxmlformats.org/officeDocument/2006/relationships/hyperlink" Target="https://b2beez.ru/images/detailed/102/orig_2f0j-wg.jpg" TargetMode="External"/><Relationship Id="rId_hyperlink_2029" Type="http://schemas.openxmlformats.org/officeDocument/2006/relationships/hyperlink" Target="https://b2beez.ru/images/detailed/90/6123209034.jpg" TargetMode="External"/><Relationship Id="rId_hyperlink_2030" Type="http://schemas.openxmlformats.org/officeDocument/2006/relationships/hyperlink" Target="https://b2beez.ru/images/detailed/90/6123209137.jpg" TargetMode="External"/><Relationship Id="rId_hyperlink_2031" Type="http://schemas.openxmlformats.org/officeDocument/2006/relationships/hyperlink" Target="https://b2beez.ru/images/detailed/90/6123209216_lrwy-z4.jpg" TargetMode="External"/><Relationship Id="rId_hyperlink_2032" Type="http://schemas.openxmlformats.org/officeDocument/2006/relationships/hyperlink" Target="https://b2beez.ru/images/detailed/204/1_hv01-b5.jpg" TargetMode="External"/><Relationship Id="rId_hyperlink_2033" Type="http://schemas.openxmlformats.org/officeDocument/2006/relationships/hyperlink" Target="https://b2beez.ru/images/detailed/205/1_r4lh-cg.jpg" TargetMode="External"/><Relationship Id="rId_hyperlink_2034" Type="http://schemas.openxmlformats.org/officeDocument/2006/relationships/hyperlink" Target="https://b2beez.ru/images/detailed/154/orig_ww58-qs.jpg" TargetMode="External"/><Relationship Id="rId_hyperlink_2035" Type="http://schemas.openxmlformats.org/officeDocument/2006/relationships/hyperlink" Target="https://b2beez.ru/images/detailed/204/S-7661-2_54dn-ds.jpg" TargetMode="External"/><Relationship Id="rId_hyperlink_2036" Type="http://schemas.openxmlformats.org/officeDocument/2006/relationships/hyperlink" Target="https://b2beez.ru/images/detailed/154/orig_ruiw-tk.jpg" TargetMode="External"/><Relationship Id="rId_hyperlink_2037" Type="http://schemas.openxmlformats.org/officeDocument/2006/relationships/hyperlink" Target="https://b2beez.ru/images/detailed/154/orig_7dh0-nc.jpg" TargetMode="External"/><Relationship Id="rId_hyperlink_2038" Type="http://schemas.openxmlformats.org/officeDocument/2006/relationships/hyperlink" Target="https://b2beez.ru/images/detailed/154/orig_1p8c-m3.jpg" TargetMode="External"/><Relationship Id="rId_hyperlink_2039" Type="http://schemas.openxmlformats.org/officeDocument/2006/relationships/hyperlink" Target="https://b2beez.ru/images/detailed/162/orig_c77w-5j.jpg" TargetMode="External"/><Relationship Id="rId_hyperlink_2040" Type="http://schemas.openxmlformats.org/officeDocument/2006/relationships/hyperlink" Target="https://b2beez.ru/images/detailed/162/orig_dik0-nm.jpg" TargetMode="External"/><Relationship Id="rId_hyperlink_2041" Type="http://schemas.openxmlformats.org/officeDocument/2006/relationships/hyperlink" Target="https://b2beez.ru/images/detailed/162/orig_o2tn-3y.jpg" TargetMode="External"/><Relationship Id="rId_hyperlink_2042" Type="http://schemas.openxmlformats.org/officeDocument/2006/relationships/hyperlink" Target="https://b2beez.ru/images/detailed/173/orig_cddn-l8.jpg" TargetMode="External"/><Relationship Id="rId_hyperlink_2043" Type="http://schemas.openxmlformats.org/officeDocument/2006/relationships/hyperlink" Target="https://b2beez.ru/images/detailed/173/6960015156.jpg" TargetMode="External"/><Relationship Id="rId_hyperlink_2044" Type="http://schemas.openxmlformats.org/officeDocument/2006/relationships/hyperlink" Target="https://b2beez.ru/images/detailed/173/orig_klkj-td.jpg" TargetMode="External"/><Relationship Id="rId_hyperlink_2045" Type="http://schemas.openxmlformats.org/officeDocument/2006/relationships/hyperlink" Target="https://b2beez.ru/images/detailed/173/6272440593.jpg" TargetMode="External"/><Relationship Id="rId_hyperlink_2046" Type="http://schemas.openxmlformats.org/officeDocument/2006/relationships/hyperlink" Target="https://b2beez.ru/images/detailed/173/orig_cbpc-6n.jpg" TargetMode="External"/><Relationship Id="rId_hyperlink_2047" Type="http://schemas.openxmlformats.org/officeDocument/2006/relationships/hyperlink" Target="https://b2beez.ru/images/detailed/161/6123208969.jpg" TargetMode="External"/><Relationship Id="rId_hyperlink_2048" Type="http://schemas.openxmlformats.org/officeDocument/2006/relationships/hyperlink" Target="https://b2beez.ru/images/detailed/161/6123208986.jpg" TargetMode="External"/><Relationship Id="rId_hyperlink_2049" Type="http://schemas.openxmlformats.org/officeDocument/2006/relationships/hyperlink" Target="https://b2beez.ru/images/detailed/161/6123209013.jpg" TargetMode="External"/><Relationship Id="rId_hyperlink_2050" Type="http://schemas.openxmlformats.org/officeDocument/2006/relationships/hyperlink" Target="https://b2beez.ru/images/detailed/162/6272440601.jpg" TargetMode="External"/><Relationship Id="rId_hyperlink_2051" Type="http://schemas.openxmlformats.org/officeDocument/2006/relationships/hyperlink" Target="https://b2beez.ru/images/detailed/179/6272440603.jpg" TargetMode="External"/><Relationship Id="rId_hyperlink_2052" Type="http://schemas.openxmlformats.org/officeDocument/2006/relationships/hyperlink" Target="https://b2beez.ru/images/detailed/179/6272440587.jpg" TargetMode="External"/><Relationship Id="rId_hyperlink_2053" Type="http://schemas.openxmlformats.org/officeDocument/2006/relationships/hyperlink" Target="https://b2beez.ru/images/detailed/180/6272440600.jpg" TargetMode="External"/><Relationship Id="rId_hyperlink_2054" Type="http://schemas.openxmlformats.org/officeDocument/2006/relationships/hyperlink" Target="https://b2beez.ru/images/detailed/162/orig_zl6j-z7.jpg" TargetMode="External"/><Relationship Id="rId_hyperlink_2055" Type="http://schemas.openxmlformats.org/officeDocument/2006/relationships/hyperlink" Target="https://b2beez.ru/images/detailed/173/orig_qnb8-ci.jpg" TargetMode="External"/><Relationship Id="rId_hyperlink_2056" Type="http://schemas.openxmlformats.org/officeDocument/2006/relationships/hyperlink" Target="https://b2beez.ru/images/detailed/173/orig_2t33-tm.jpg" TargetMode="External"/><Relationship Id="rId_hyperlink_2057" Type="http://schemas.openxmlformats.org/officeDocument/2006/relationships/hyperlink" Target="https://b2beez.ru/images/detailed/173/orig_i2pq-m7.jpg" TargetMode="External"/><Relationship Id="rId_hyperlink_2058" Type="http://schemas.openxmlformats.org/officeDocument/2006/relationships/hyperlink" Target="https://b2beez.ru/images/detailed/204/Z-8942-3.jpg" TargetMode="External"/><Relationship Id="rId_hyperlink_2059" Type="http://schemas.openxmlformats.org/officeDocument/2006/relationships/hyperlink" Target="https://b2beez.ru/images/detailed/188/orig_fakt-kz.jpg" TargetMode="External"/><Relationship Id="rId_hyperlink_2060" Type="http://schemas.openxmlformats.org/officeDocument/2006/relationships/hyperlink" Target="https://b2beez.ru/images/detailed/188/6741710090.jpg" TargetMode="External"/><Relationship Id="rId_hyperlink_2061" Type="http://schemas.openxmlformats.org/officeDocument/2006/relationships/hyperlink" Target="https://b2beez.ru/images/detailed/188/orig_ukff-7l.jpg" TargetMode="External"/><Relationship Id="rId_hyperlink_2062" Type="http://schemas.openxmlformats.org/officeDocument/2006/relationships/hyperlink" Target="https://b2beez.ru/images/detailed/204/Z-3016-2.jpg" TargetMode="External"/><Relationship Id="rId_hyperlink_2063" Type="http://schemas.openxmlformats.org/officeDocument/2006/relationships/hyperlink" Target="https://b2beez.ru/images/detailed/154/7066103479.jpg" TargetMode="External"/><Relationship Id="rId_hyperlink_2064" Type="http://schemas.openxmlformats.org/officeDocument/2006/relationships/hyperlink" Target="https://b2beez.ru/images/detailed/0/" TargetMode="External"/><Relationship Id="rId_hyperlink_2065" Type="http://schemas.openxmlformats.org/officeDocument/2006/relationships/hyperlink" Target="https://b2beez.ru/images/detailed/188/orig_r0kt-vc.jpg" TargetMode="External"/><Relationship Id="rId_hyperlink_2066" Type="http://schemas.openxmlformats.org/officeDocument/2006/relationships/hyperlink" Target="https://b2beez.ru/images/detailed/188/orig_bn3i-ho.jpg" TargetMode="External"/><Relationship Id="rId_hyperlink_2067" Type="http://schemas.openxmlformats.org/officeDocument/2006/relationships/hyperlink" Target="https://b2beez.ru/images/detailed/0/" TargetMode="External"/><Relationship Id="rId_hyperlink_2068" Type="http://schemas.openxmlformats.org/officeDocument/2006/relationships/hyperlink" Target="https://b2beez.ru/images/detailed/204/C-1317-U1.jpg" TargetMode="External"/><Relationship Id="rId_hyperlink_2069" Type="http://schemas.openxmlformats.org/officeDocument/2006/relationships/hyperlink" Target="https://b2beez.ru/images/detailed/204/Z-292-U1-2.jpg" TargetMode="External"/><Relationship Id="rId_hyperlink_2070" Type="http://schemas.openxmlformats.org/officeDocument/2006/relationships/hyperlink" Target="https://b2beez.ru/images/detailed/204/Z-492-U1-3.jpg" TargetMode="External"/><Relationship Id="rId_hyperlink_2071" Type="http://schemas.openxmlformats.org/officeDocument/2006/relationships/hyperlink" Target="https://b2beez.ru/images/detailed/204/Z-869-3_bxvb-9l.jpg" TargetMode="External"/><Relationship Id="rId_hyperlink_2072" Type="http://schemas.openxmlformats.org/officeDocument/2006/relationships/hyperlink" Target="https://b2beez.ru/images/detailed/204/Z-292.jpg" TargetMode="External"/><Relationship Id="rId_hyperlink_2073" Type="http://schemas.openxmlformats.org/officeDocument/2006/relationships/hyperlink" Target="https://b2beez.ru/images/detailed/204/Z-492-2.jpg" TargetMode="External"/><Relationship Id="rId_hyperlink_2074" Type="http://schemas.openxmlformats.org/officeDocument/2006/relationships/hyperlink" Target="https://b2beez.ru/images/detailed/204/Z-494.jpg" TargetMode="External"/><Relationship Id="rId_hyperlink_2075" Type="http://schemas.openxmlformats.org/officeDocument/2006/relationships/hyperlink" Target="https://b2beez.ru/images/detailed/0/" TargetMode="External"/><Relationship Id="rId_hyperlink_2076" Type="http://schemas.openxmlformats.org/officeDocument/2006/relationships/hyperlink" Target="https://b2beez.ru/images/detailed/155/6243586322.jpg" TargetMode="External"/><Relationship Id="rId_hyperlink_2077" Type="http://schemas.openxmlformats.org/officeDocument/2006/relationships/hyperlink" Target="https://b2beez.ru/images/detailed/155/orig_88xc-k4.jpg" TargetMode="External"/><Relationship Id="rId_hyperlink_2078" Type="http://schemas.openxmlformats.org/officeDocument/2006/relationships/hyperlink" Target="https://b2beez.ru/images/detailed/155/orig_o4vg-cu.jpg" TargetMode="External"/><Relationship Id="rId_hyperlink_2079" Type="http://schemas.openxmlformats.org/officeDocument/2006/relationships/hyperlink" Target="https://b2beez.ru/images/detailed/0/" TargetMode="External"/><Relationship Id="rId_hyperlink_2080" Type="http://schemas.openxmlformats.org/officeDocument/2006/relationships/hyperlink" Target="https://b2beez.ru/images/detailed/0/" TargetMode="External"/><Relationship Id="rId_hyperlink_2081" Type="http://schemas.openxmlformats.org/officeDocument/2006/relationships/hyperlink" Target="https://b2beez.ru/images/detailed/177/orig_yvij-82.jpg" TargetMode="External"/><Relationship Id="rId_hyperlink_2082" Type="http://schemas.openxmlformats.org/officeDocument/2006/relationships/hyperlink" Target="https://b2beez.ru/images/detailed/165/6286959061.jpg" TargetMode="External"/><Relationship Id="rId_hyperlink_2083" Type="http://schemas.openxmlformats.org/officeDocument/2006/relationships/hyperlink" Target="https://b2beez.ru/images/detailed/165/orig_xyxq-il.jpg" TargetMode="External"/><Relationship Id="rId_hyperlink_2084" Type="http://schemas.openxmlformats.org/officeDocument/2006/relationships/hyperlink" Target="https://b2beez.ru/images/detailed/176/6286959059.jpg" TargetMode="External"/><Relationship Id="rId_hyperlink_2085" Type="http://schemas.openxmlformats.org/officeDocument/2006/relationships/hyperlink" Target="https://b2beez.ru/images/detailed/176/6277599196.jpg" TargetMode="External"/><Relationship Id="rId_hyperlink_2086" Type="http://schemas.openxmlformats.org/officeDocument/2006/relationships/hyperlink" Target="https://b2beez.ru/images/detailed/169/6458498247.jpg" TargetMode="External"/><Relationship Id="rId_hyperlink_2087" Type="http://schemas.openxmlformats.org/officeDocument/2006/relationships/hyperlink" Target="https://b2beez.ru/images/detailed/169/6458499149.jpg" TargetMode="External"/><Relationship Id="rId_hyperlink_2088" Type="http://schemas.openxmlformats.org/officeDocument/2006/relationships/hyperlink" Target="https://b2beez.ru/images/detailed/169/6474467532.jpg" TargetMode="External"/><Relationship Id="rId_hyperlink_2089" Type="http://schemas.openxmlformats.org/officeDocument/2006/relationships/hyperlink" Target="https://b2beez.ru/images/detailed/169/6458500111.jpg" TargetMode="External"/><Relationship Id="rId_hyperlink_2090" Type="http://schemas.openxmlformats.org/officeDocument/2006/relationships/hyperlink" Target="https://b2beez.ru/images/detailed/169/6458501374.jpg" TargetMode="External"/><Relationship Id="rId_hyperlink_2091" Type="http://schemas.openxmlformats.org/officeDocument/2006/relationships/hyperlink" Target="https://b2beez.ru/images/detailed/170/6717477589.jpg" TargetMode="External"/><Relationship Id="rId_hyperlink_2092" Type="http://schemas.openxmlformats.org/officeDocument/2006/relationships/hyperlink" Target="https://b2beez.ru/images/detailed/154/orig_itob-45.jpg" TargetMode="External"/><Relationship Id="rId_hyperlink_2093" Type="http://schemas.openxmlformats.org/officeDocument/2006/relationships/hyperlink" Target="https://b2beez.ru/images/detailed/171/orig_l60o-xk.jpg" TargetMode="External"/><Relationship Id="rId_hyperlink_2094" Type="http://schemas.openxmlformats.org/officeDocument/2006/relationships/hyperlink" Target="https://b2beez.ru/images/detailed/154/orig_zvhy-d4.jpg" TargetMode="External"/><Relationship Id="rId_hyperlink_2095" Type="http://schemas.openxmlformats.org/officeDocument/2006/relationships/hyperlink" Target="https://b2beez.ru/images/detailed/170/6243586922.jpg" TargetMode="External"/><Relationship Id="rId_hyperlink_2096" Type="http://schemas.openxmlformats.org/officeDocument/2006/relationships/hyperlink" Target="https://b2beez.ru/images/detailed/170/6243586723.jpg" TargetMode="External"/><Relationship Id="rId_hyperlink_2097" Type="http://schemas.openxmlformats.org/officeDocument/2006/relationships/hyperlink" Target="https://b2beez.ru/images/detailed/170/6243586759.jpg" TargetMode="External"/><Relationship Id="rId_hyperlink_2098" Type="http://schemas.openxmlformats.org/officeDocument/2006/relationships/hyperlink" Target="https://b2beez.ru/images/detailed/170/orig_i45e-s1.jpg" TargetMode="External"/><Relationship Id="rId_hyperlink_2099" Type="http://schemas.openxmlformats.org/officeDocument/2006/relationships/hyperlink" Target="https://b2beez.ru/images/detailed/170/6243586852.jpg" TargetMode="External"/><Relationship Id="rId_hyperlink_2100" Type="http://schemas.openxmlformats.org/officeDocument/2006/relationships/hyperlink" Target="https://b2beez.ru/images/detailed/170/orig_yp5x-zj.jpg" TargetMode="External"/><Relationship Id="rId_hyperlink_2101" Type="http://schemas.openxmlformats.org/officeDocument/2006/relationships/hyperlink" Target="https://b2beez.ru/images/detailed/171/6243586651.jpg" TargetMode="External"/><Relationship Id="rId_hyperlink_2102" Type="http://schemas.openxmlformats.org/officeDocument/2006/relationships/hyperlink" Target="https://b2beez.ru/images/detailed/171/6243586617.jpg" TargetMode="External"/><Relationship Id="rId_hyperlink_2103" Type="http://schemas.openxmlformats.org/officeDocument/2006/relationships/hyperlink" Target="https://b2beez.ru/images/detailed/170/6243586895.jpg" TargetMode="External"/><Relationship Id="rId_hyperlink_2104" Type="http://schemas.openxmlformats.org/officeDocument/2006/relationships/hyperlink" Target="https://b2beez.ru/images/detailed/170/6243586692.jpg" TargetMode="External"/><Relationship Id="rId_hyperlink_2105" Type="http://schemas.openxmlformats.org/officeDocument/2006/relationships/hyperlink" Target="https://b2beez.ru/images/detailed/170/6243586571.jpg" TargetMode="External"/><Relationship Id="rId_hyperlink_2106" Type="http://schemas.openxmlformats.org/officeDocument/2006/relationships/hyperlink" Target="https://b2beez.ru/images/detailed/170/6243586855.jpg" TargetMode="External"/><Relationship Id="rId_hyperlink_2107" Type="http://schemas.openxmlformats.org/officeDocument/2006/relationships/hyperlink" Target="https://b2beez.ru/images/detailed/171/6144150896_sntk-ot.jpg" TargetMode="External"/><Relationship Id="rId_hyperlink_2108" Type="http://schemas.openxmlformats.org/officeDocument/2006/relationships/hyperlink" Target="https://b2beez.ru/images/detailed/176/6243587110.jpg" TargetMode="External"/><Relationship Id="rId_hyperlink_2109" Type="http://schemas.openxmlformats.org/officeDocument/2006/relationships/hyperlink" Target="https://b2beez.ru/images/detailed/179/6224781837_50ol-za.jpg" TargetMode="External"/><Relationship Id="rId_hyperlink_2110" Type="http://schemas.openxmlformats.org/officeDocument/2006/relationships/hyperlink" Target="https://b2beez.ru/images/detailed/179/6243587111.jpg" TargetMode="External"/><Relationship Id="rId_hyperlink_2111" Type="http://schemas.openxmlformats.org/officeDocument/2006/relationships/hyperlink" Target="https://b2beez.ru/images/detailed/179/6224781790_eq5l-qv.jpg" TargetMode="External"/><Relationship Id="rId_hyperlink_2112" Type="http://schemas.openxmlformats.org/officeDocument/2006/relationships/hyperlink" Target="https://b2beez.ru/images/detailed/180/6320884487.jpg" TargetMode="External"/><Relationship Id="rId_hyperlink_2113" Type="http://schemas.openxmlformats.org/officeDocument/2006/relationships/hyperlink" Target="https://b2beez.ru/images/detailed/171/6243586924.jpg" TargetMode="External"/><Relationship Id="rId_hyperlink_2114" Type="http://schemas.openxmlformats.org/officeDocument/2006/relationships/hyperlink" Target="https://b2beez.ru/images/detailed/171/6224781821.jpg" TargetMode="External"/><Relationship Id="rId_hyperlink_2115" Type="http://schemas.openxmlformats.org/officeDocument/2006/relationships/hyperlink" Target="https://b2beez.ru/images/detailed/179/6224781790_mqb7-7i.jpg" TargetMode="External"/><Relationship Id="rId_hyperlink_2116" Type="http://schemas.openxmlformats.org/officeDocument/2006/relationships/hyperlink" Target="https://b2beez.ru/images/detailed/179/6243586727.jpg" TargetMode="External"/><Relationship Id="rId_hyperlink_2117" Type="http://schemas.openxmlformats.org/officeDocument/2006/relationships/hyperlink" Target="https://b2beez.ru/images/detailed/179/6243586844.jpg" TargetMode="External"/><Relationship Id="rId_hyperlink_2118" Type="http://schemas.openxmlformats.org/officeDocument/2006/relationships/hyperlink" Target="https://b2beez.ru/images/detailed/179/orig_xj28-e9.jpg" TargetMode="External"/><Relationship Id="rId_hyperlink_2119" Type="http://schemas.openxmlformats.org/officeDocument/2006/relationships/hyperlink" Target="https://b2beez.ru/images/detailed/179/6243586905.jpg" TargetMode="External"/><Relationship Id="rId_hyperlink_2120" Type="http://schemas.openxmlformats.org/officeDocument/2006/relationships/hyperlink" Target="https://b2beez.ru/images/detailed/179/6144150896_p0ji-zk.jpg" TargetMode="External"/><Relationship Id="rId_hyperlink_2121" Type="http://schemas.openxmlformats.org/officeDocument/2006/relationships/hyperlink" Target="https://b2beez.ru/images/detailed/180/6243587066.jpg" TargetMode="External"/><Relationship Id="rId_hyperlink_2122" Type="http://schemas.openxmlformats.org/officeDocument/2006/relationships/hyperlink" Target="https://b2beez.ru/images/detailed/176/6693069558.jpg" TargetMode="External"/><Relationship Id="rId_hyperlink_2123" Type="http://schemas.openxmlformats.org/officeDocument/2006/relationships/hyperlink" Target="https://b2beez.ru/images/detailed/176/orig_zjpd-fu.jpg" TargetMode="External"/><Relationship Id="rId_hyperlink_2124" Type="http://schemas.openxmlformats.org/officeDocument/2006/relationships/hyperlink" Target="https://b2beez.ru/images/detailed/176/orig_5sj7-25.jpg" TargetMode="External"/><Relationship Id="rId_hyperlink_2125" Type="http://schemas.openxmlformats.org/officeDocument/2006/relationships/hyperlink" Target="https://b2beez.ru/images/detailed/176/orig_1o56-3p.jpg" TargetMode="External"/><Relationship Id="rId_hyperlink_2126" Type="http://schemas.openxmlformats.org/officeDocument/2006/relationships/hyperlink" Target="https://b2beez.ru/images/detailed/176/orig_wg1q-ga.jpg" TargetMode="External"/><Relationship Id="rId_hyperlink_2127" Type="http://schemas.openxmlformats.org/officeDocument/2006/relationships/hyperlink" Target="https://b2beez.ru/images/detailed/176/orig_vzop-l3.jpg" TargetMode="External"/><Relationship Id="rId_hyperlink_2128" Type="http://schemas.openxmlformats.org/officeDocument/2006/relationships/hyperlink" Target="https://b2beez.ru/images/detailed/176/orig_xed8-oi.jpg" TargetMode="External"/><Relationship Id="rId_hyperlink_2129" Type="http://schemas.openxmlformats.org/officeDocument/2006/relationships/hyperlink" Target="https://b2beez.ru/images/detailed/176/orig_i4h4-46.jpg" TargetMode="External"/><Relationship Id="rId_hyperlink_2130" Type="http://schemas.openxmlformats.org/officeDocument/2006/relationships/hyperlink" Target="https://b2beez.ru/images/detailed/176/6545699961.jpg" TargetMode="External"/><Relationship Id="rId_hyperlink_2131" Type="http://schemas.openxmlformats.org/officeDocument/2006/relationships/hyperlink" Target="https://b2beez.ru/images/detailed/161/orig_i7ki-ox.jpg" TargetMode="External"/><Relationship Id="rId_hyperlink_2132" Type="http://schemas.openxmlformats.org/officeDocument/2006/relationships/hyperlink" Target="https://b2beez.ru/images/detailed/161/orig_8ac8-8p.jpg" TargetMode="External"/><Relationship Id="rId_hyperlink_2133" Type="http://schemas.openxmlformats.org/officeDocument/2006/relationships/hyperlink" Target="https://b2beez.ru/images/detailed/162/orig_r325-rd.jpg" TargetMode="External"/><Relationship Id="rId_hyperlink_2134" Type="http://schemas.openxmlformats.org/officeDocument/2006/relationships/hyperlink" Target="https://b2beez.ru/images/detailed/177/orig_x3nv-t4.jpg" TargetMode="External"/><Relationship Id="rId_hyperlink_2135" Type="http://schemas.openxmlformats.org/officeDocument/2006/relationships/hyperlink" Target="https://b2beez.ru/images/detailed/204/R-3803-3_jwrb-x9.jpg" TargetMode="External"/><Relationship Id="rId_hyperlink_2136" Type="http://schemas.openxmlformats.org/officeDocument/2006/relationships/hyperlink" Target="https://b2beez.ru/images/detailed/177/6979184461.jpg" TargetMode="External"/><Relationship Id="rId_hyperlink_2137" Type="http://schemas.openxmlformats.org/officeDocument/2006/relationships/hyperlink" Target="https://b2beez.ru/images/detailed/177/6979186657.jpg" TargetMode="External"/><Relationship Id="rId_hyperlink_2138" Type="http://schemas.openxmlformats.org/officeDocument/2006/relationships/hyperlink" Target="https://b2beez.ru/images/detailed/176/orig_gi7f-bb.jpg" TargetMode="External"/><Relationship Id="rId_hyperlink_2139" Type="http://schemas.openxmlformats.org/officeDocument/2006/relationships/hyperlink" Target="https://b2beez.ru/images/detailed/176/orig_hwao-vi.jpg" TargetMode="External"/><Relationship Id="rId_hyperlink_2140" Type="http://schemas.openxmlformats.org/officeDocument/2006/relationships/hyperlink" Target="https://b2beez.ru/images/detailed/0/" TargetMode="External"/><Relationship Id="rId_hyperlink_2141" Type="http://schemas.openxmlformats.org/officeDocument/2006/relationships/hyperlink" Target="https://b2beez.ru/images/detailed/0/" TargetMode="External"/><Relationship Id="rId_hyperlink_2142" Type="http://schemas.openxmlformats.org/officeDocument/2006/relationships/hyperlink" Target="https://b2beez.ru/images/detailed/176/orig_yk6u-on.jpg" TargetMode="External"/><Relationship Id="rId_hyperlink_2143" Type="http://schemas.openxmlformats.org/officeDocument/2006/relationships/hyperlink" Target="https://b2beez.ru/images/detailed/176/6243587093.jpg" TargetMode="External"/><Relationship Id="rId_hyperlink_2144" Type="http://schemas.openxmlformats.org/officeDocument/2006/relationships/hyperlink" Target="https://b2beez.ru/images/detailed/176/6243587195.jpg" TargetMode="External"/><Relationship Id="rId_hyperlink_2145" Type="http://schemas.openxmlformats.org/officeDocument/2006/relationships/hyperlink" Target="https://b2beez.ru/images/detailed/176/orig_h0b0-2k.jpg" TargetMode="External"/><Relationship Id="rId_hyperlink_2146" Type="http://schemas.openxmlformats.org/officeDocument/2006/relationships/hyperlink" Target="https://b2beez.ru/images/detailed/176/6243587161.jpg" TargetMode="External"/><Relationship Id="rId_hyperlink_2147" Type="http://schemas.openxmlformats.org/officeDocument/2006/relationships/hyperlink" Target="https://b2beez.ru/images/detailed/161/6243586913.jpg" TargetMode="External"/><Relationship Id="rId_hyperlink_2148" Type="http://schemas.openxmlformats.org/officeDocument/2006/relationships/hyperlink" Target="https://b2beez.ru/images/detailed/161/6243587078.jpg" TargetMode="External"/><Relationship Id="rId_hyperlink_2149" Type="http://schemas.openxmlformats.org/officeDocument/2006/relationships/hyperlink" Target="https://b2beez.ru/images/detailed/161/6243586967.jpg" TargetMode="External"/><Relationship Id="rId_hyperlink_2150" Type="http://schemas.openxmlformats.org/officeDocument/2006/relationships/hyperlink" Target="https://b2beez.ru/images/detailed/161/6243586971.jpg" TargetMode="External"/><Relationship Id="rId_hyperlink_2151" Type="http://schemas.openxmlformats.org/officeDocument/2006/relationships/hyperlink" Target="https://b2beez.ru/images/detailed/161/6243587112.jpg" TargetMode="External"/><Relationship Id="rId_hyperlink_2152" Type="http://schemas.openxmlformats.org/officeDocument/2006/relationships/hyperlink" Target="https://b2beez.ru/images/detailed/161/6243587046.jpg" TargetMode="External"/><Relationship Id="rId_hyperlink_2153" Type="http://schemas.openxmlformats.org/officeDocument/2006/relationships/hyperlink" Target="https://b2beez.ru/images/detailed/161/6243587079.jpg" TargetMode="External"/><Relationship Id="rId_hyperlink_2154" Type="http://schemas.openxmlformats.org/officeDocument/2006/relationships/hyperlink" Target="https://b2beez.ru/images/detailed/161/6243586873.jpg" TargetMode="External"/><Relationship Id="rId_hyperlink_2155" Type="http://schemas.openxmlformats.org/officeDocument/2006/relationships/hyperlink" Target="https://b2beez.ru/images/detailed/173/6161152925.jpg" TargetMode="External"/><Relationship Id="rId_hyperlink_2156" Type="http://schemas.openxmlformats.org/officeDocument/2006/relationships/hyperlink" Target="https://b2beez.ru/images/detailed/176/6243586983.jpg" TargetMode="External"/><Relationship Id="rId_hyperlink_2157" Type="http://schemas.openxmlformats.org/officeDocument/2006/relationships/hyperlink" Target="https://b2beez.ru/images/detailed/176/orig_rjub-so.jpg" TargetMode="External"/><Relationship Id="rId_hyperlink_2158" Type="http://schemas.openxmlformats.org/officeDocument/2006/relationships/hyperlink" Target="https://b2beez.ru/images/detailed/176/6243586984.jpg" TargetMode="External"/><Relationship Id="rId_hyperlink_2159" Type="http://schemas.openxmlformats.org/officeDocument/2006/relationships/hyperlink" Target="https://b2beez.ru/images/detailed/176/6243587106.jpg" TargetMode="External"/><Relationship Id="rId_hyperlink_2160" Type="http://schemas.openxmlformats.org/officeDocument/2006/relationships/hyperlink" Target="https://b2beez.ru/images/detailed/176/6243586901.jpg" TargetMode="External"/><Relationship Id="rId_hyperlink_2161" Type="http://schemas.openxmlformats.org/officeDocument/2006/relationships/hyperlink" Target="https://b2beez.ru/images/detailed/176/6243587116.jpg" TargetMode="External"/><Relationship Id="rId_hyperlink_2162" Type="http://schemas.openxmlformats.org/officeDocument/2006/relationships/hyperlink" Target="https://b2beez.ru/images/detailed/176/6243586946.jpg" TargetMode="External"/><Relationship Id="rId_hyperlink_2163" Type="http://schemas.openxmlformats.org/officeDocument/2006/relationships/hyperlink" Target="https://b2beez.ru/images/detailed/176/6243587071.jpg" TargetMode="External"/><Relationship Id="rId_hyperlink_2164" Type="http://schemas.openxmlformats.org/officeDocument/2006/relationships/hyperlink" Target="https://b2beez.ru/images/detailed/161/orig_d2ab-mm.jpg" TargetMode="External"/><Relationship Id="rId_hyperlink_2165" Type="http://schemas.openxmlformats.org/officeDocument/2006/relationships/hyperlink" Target="https://b2beez.ru/images/detailed/161/orig_pt0m-fx.jpg" TargetMode="External"/><Relationship Id="rId_hyperlink_2166" Type="http://schemas.openxmlformats.org/officeDocument/2006/relationships/hyperlink" Target="https://b2beez.ru/images/detailed/171/orig_3a6d-v3.jpg" TargetMode="External"/><Relationship Id="rId_hyperlink_2167" Type="http://schemas.openxmlformats.org/officeDocument/2006/relationships/hyperlink" Target="https://b2beez.ru/images/detailed/171/orig_0ryn-u5.jpg" TargetMode="External"/><Relationship Id="rId_hyperlink_2168" Type="http://schemas.openxmlformats.org/officeDocument/2006/relationships/hyperlink" Target="https://b2beez.ru/images/detailed/171/orig_youe-qj.jpg" TargetMode="External"/><Relationship Id="rId_hyperlink_2169" Type="http://schemas.openxmlformats.org/officeDocument/2006/relationships/hyperlink" Target="https://b2beez.ru/images/detailed/171/orig_zens-ne.jpg" TargetMode="External"/><Relationship Id="rId_hyperlink_2170" Type="http://schemas.openxmlformats.org/officeDocument/2006/relationships/hyperlink" Target="https://b2beez.ru/images/detailed/173/6161240760.jpg" TargetMode="External"/><Relationship Id="rId_hyperlink_2171" Type="http://schemas.openxmlformats.org/officeDocument/2006/relationships/hyperlink" Target="https://b2beez.ru/images/detailed/173/6161240580.jpg" TargetMode="External"/><Relationship Id="rId_hyperlink_2172" Type="http://schemas.openxmlformats.org/officeDocument/2006/relationships/hyperlink" Target="https://b2beez.ru/images/detailed/173/6161240670.jpg" TargetMode="External"/><Relationship Id="rId_hyperlink_2173" Type="http://schemas.openxmlformats.org/officeDocument/2006/relationships/hyperlink" Target="https://b2beez.ru/images/detailed/173/6161240702.jpg" TargetMode="External"/><Relationship Id="rId_hyperlink_2174" Type="http://schemas.openxmlformats.org/officeDocument/2006/relationships/hyperlink" Target="https://b2beez.ru/images/detailed/173/orig_zyia-j4.jpg" TargetMode="External"/><Relationship Id="rId_hyperlink_2175" Type="http://schemas.openxmlformats.org/officeDocument/2006/relationships/hyperlink" Target="https://b2beez.ru/images/detailed/173/orig_hklt-ot.jpg" TargetMode="External"/><Relationship Id="rId_hyperlink_2176" Type="http://schemas.openxmlformats.org/officeDocument/2006/relationships/hyperlink" Target="https://b2beez.ru/images/detailed/173/6161240709.jpg" TargetMode="External"/><Relationship Id="rId_hyperlink_2177" Type="http://schemas.openxmlformats.org/officeDocument/2006/relationships/hyperlink" Target="https://b2beez.ru/images/detailed/173/6161240754.jpg" TargetMode="External"/><Relationship Id="rId_hyperlink_2178" Type="http://schemas.openxmlformats.org/officeDocument/2006/relationships/hyperlink" Target="https://b2beez.ru/images/detailed/173/6161240640.jpg" TargetMode="External"/><Relationship Id="rId_hyperlink_2179" Type="http://schemas.openxmlformats.org/officeDocument/2006/relationships/hyperlink" Target="https://b2beez.ru/images/detailed/173/6161240694.jpg" TargetMode="External"/><Relationship Id="rId_hyperlink_2180" Type="http://schemas.openxmlformats.org/officeDocument/2006/relationships/hyperlink" Target="https://b2beez.ru/images/detailed/176/6243587075.jpg" TargetMode="External"/><Relationship Id="rId_hyperlink_2181" Type="http://schemas.openxmlformats.org/officeDocument/2006/relationships/hyperlink" Target="https://b2beez.ru/images/detailed/176/6243586995.jpg" TargetMode="External"/><Relationship Id="rId_hyperlink_2182" Type="http://schemas.openxmlformats.org/officeDocument/2006/relationships/hyperlink" Target="https://b2beez.ru/images/detailed/176/6243586950.jpg" TargetMode="External"/><Relationship Id="rId_hyperlink_2183" Type="http://schemas.openxmlformats.org/officeDocument/2006/relationships/hyperlink" Target="https://b2beez.ru/images/detailed/176/6243586938.jpg" TargetMode="External"/><Relationship Id="rId_hyperlink_2184" Type="http://schemas.openxmlformats.org/officeDocument/2006/relationships/hyperlink" Target="https://b2beez.ru/images/detailed/176/6243587122.jpg" TargetMode="External"/><Relationship Id="rId_hyperlink_2185" Type="http://schemas.openxmlformats.org/officeDocument/2006/relationships/hyperlink" Target="https://b2beez.ru/images/detailed/176/orig_tafl-ze.jpg" TargetMode="External"/><Relationship Id="rId_hyperlink_2186" Type="http://schemas.openxmlformats.org/officeDocument/2006/relationships/hyperlink" Target="https://b2beez.ru/images/detailed/176/6243586899.jpg" TargetMode="External"/><Relationship Id="rId_hyperlink_2187" Type="http://schemas.openxmlformats.org/officeDocument/2006/relationships/hyperlink" Target="https://b2beez.ru/images/detailed/176/orig_hfpt-0p.jpg" TargetMode="External"/><Relationship Id="rId_hyperlink_2188" Type="http://schemas.openxmlformats.org/officeDocument/2006/relationships/hyperlink" Target="https://b2beez.ru/images/detailed/176/6243587367.jpg" TargetMode="External"/><Relationship Id="rId_hyperlink_2189" Type="http://schemas.openxmlformats.org/officeDocument/2006/relationships/hyperlink" Target="https://b2beez.ru/images/detailed/176/6243586954.jpg" TargetMode="External"/><Relationship Id="rId_hyperlink_2190" Type="http://schemas.openxmlformats.org/officeDocument/2006/relationships/hyperlink" Target="https://b2beez.ru/images/detailed/182/6923473832.jpg" TargetMode="External"/><Relationship Id="rId_hyperlink_2191" Type="http://schemas.openxmlformats.org/officeDocument/2006/relationships/hyperlink" Target="https://b2beez.ru/images/detailed/182/6986148984.jpg" TargetMode="External"/><Relationship Id="rId_hyperlink_2192" Type="http://schemas.openxmlformats.org/officeDocument/2006/relationships/hyperlink" Target="https://b2beez.ru/images/detailed/180/6243587323.jpg" TargetMode="External"/><Relationship Id="rId_hyperlink_2193" Type="http://schemas.openxmlformats.org/officeDocument/2006/relationships/hyperlink" Target="https://b2beez.ru/images/detailed/181/6243587218.jpg" TargetMode="External"/><Relationship Id="rId_hyperlink_2194" Type="http://schemas.openxmlformats.org/officeDocument/2006/relationships/hyperlink" Target="https://b2beez.ru/images/detailed/181/6986150995.jpg" TargetMode="External"/><Relationship Id="rId_hyperlink_2195" Type="http://schemas.openxmlformats.org/officeDocument/2006/relationships/hyperlink" Target="https://b2beez.ru/images/detailed/181/6243587103.jpg" TargetMode="External"/><Relationship Id="rId_hyperlink_2196" Type="http://schemas.openxmlformats.org/officeDocument/2006/relationships/hyperlink" Target="https://b2beez.ru/images/detailed/161/orig_4kmh-5v.jpg" TargetMode="External"/><Relationship Id="rId_hyperlink_2197" Type="http://schemas.openxmlformats.org/officeDocument/2006/relationships/hyperlink" Target="https://b2beez.ru/images/detailed/161/6243587207.jpg" TargetMode="External"/><Relationship Id="rId_hyperlink_2198" Type="http://schemas.openxmlformats.org/officeDocument/2006/relationships/hyperlink" Target="https://b2beez.ru/images/detailed/161/orig_o060-k0.jpg" TargetMode="External"/><Relationship Id="rId_hyperlink_2199" Type="http://schemas.openxmlformats.org/officeDocument/2006/relationships/hyperlink" Target="https://b2beez.ru/images/detailed/179/6243587203.jpg" TargetMode="External"/><Relationship Id="rId_hyperlink_2200" Type="http://schemas.openxmlformats.org/officeDocument/2006/relationships/hyperlink" Target="https://b2beez.ru/images/detailed/160/orig_pu2e-1b.jpg" TargetMode="External"/><Relationship Id="rId_hyperlink_2201" Type="http://schemas.openxmlformats.org/officeDocument/2006/relationships/hyperlink" Target="https://b2beez.ru/images/detailed/183/orig_ua39-wq.jpg" TargetMode="External"/><Relationship Id="rId_hyperlink_2202" Type="http://schemas.openxmlformats.org/officeDocument/2006/relationships/hyperlink" Target="https://b2beez.ru/images/detailed/183/7178325477.jpg" TargetMode="External"/><Relationship Id="rId_hyperlink_2203" Type="http://schemas.openxmlformats.org/officeDocument/2006/relationships/hyperlink" Target="https://b2beez.ru/images/detailed/183/7173313685.jpg" TargetMode="External"/><Relationship Id="rId_hyperlink_2204" Type="http://schemas.openxmlformats.org/officeDocument/2006/relationships/hyperlink" Target="https://b2beez.ru/images/detailed/187/orig_842n-ol.jpg" TargetMode="External"/><Relationship Id="rId_hyperlink_2205" Type="http://schemas.openxmlformats.org/officeDocument/2006/relationships/hyperlink" Target="https://b2beez.ru/images/detailed/184/orig_vtfi-w9.jpg" TargetMode="External"/><Relationship Id="rId_hyperlink_2206" Type="http://schemas.openxmlformats.org/officeDocument/2006/relationships/hyperlink" Target="https://b2beez.ru/images/detailed/160/orig_3si5-rl.jpg" TargetMode="External"/><Relationship Id="rId_hyperlink_2207" Type="http://schemas.openxmlformats.org/officeDocument/2006/relationships/hyperlink" Target="https://b2beez.ru/images/detailed/187/orig_9z4x-i6.jpg" TargetMode="External"/><Relationship Id="rId_hyperlink_2208" Type="http://schemas.openxmlformats.org/officeDocument/2006/relationships/hyperlink" Target="https://b2beez.ru/images/detailed/171/orig_8oe7-hs.jpg" TargetMode="External"/><Relationship Id="rId_hyperlink_2209" Type="http://schemas.openxmlformats.org/officeDocument/2006/relationships/hyperlink" Target="https://b2beez.ru/images/detailed/160/6243587385.jpg" TargetMode="External"/><Relationship Id="rId_hyperlink_2210" Type="http://schemas.openxmlformats.org/officeDocument/2006/relationships/hyperlink" Target="https://b2beez.ru/images/detailed/160/6243587150.jpg" TargetMode="External"/><Relationship Id="rId_hyperlink_2211" Type="http://schemas.openxmlformats.org/officeDocument/2006/relationships/hyperlink" Target="https://b2beez.ru/images/detailed/183/orig_imbg-ml.jpg" TargetMode="External"/><Relationship Id="rId_hyperlink_2212" Type="http://schemas.openxmlformats.org/officeDocument/2006/relationships/hyperlink" Target="https://b2beez.ru/images/detailed/183/orig_048x-og.jpg" TargetMode="External"/><Relationship Id="rId_hyperlink_2213" Type="http://schemas.openxmlformats.org/officeDocument/2006/relationships/hyperlink" Target="https://b2beez.ru/images/detailed/0/" TargetMode="External"/><Relationship Id="rId_hyperlink_2214" Type="http://schemas.openxmlformats.org/officeDocument/2006/relationships/hyperlink" Target="https://b2beez.ru/images/detailed/183/7173079562.jpg" TargetMode="External"/><Relationship Id="rId_hyperlink_2215" Type="http://schemas.openxmlformats.org/officeDocument/2006/relationships/hyperlink" Target="https://b2beez.ru/images/detailed/160/orig_jo71-nu.jpg" TargetMode="External"/><Relationship Id="rId_hyperlink_2216" Type="http://schemas.openxmlformats.org/officeDocument/2006/relationships/hyperlink" Target="https://b2beez.ru/images/detailed/160/orig_mceq-1i.jpg" TargetMode="External"/><Relationship Id="rId_hyperlink_2217" Type="http://schemas.openxmlformats.org/officeDocument/2006/relationships/hyperlink" Target="https://b2beez.ru/images/detailed/169/orig.png" TargetMode="External"/><Relationship Id="rId_hyperlink_2218" Type="http://schemas.openxmlformats.org/officeDocument/2006/relationships/hyperlink" Target="https://b2beez.ru/images/detailed/183/orig_a788-hg.jpg" TargetMode="External"/><Relationship Id="rId_hyperlink_2219" Type="http://schemas.openxmlformats.org/officeDocument/2006/relationships/hyperlink" Target="https://b2beez.ru/images/detailed/171/orig_oiev-g9.jpg" TargetMode="External"/><Relationship Id="rId_hyperlink_2220" Type="http://schemas.openxmlformats.org/officeDocument/2006/relationships/hyperlink" Target="https://b2beez.ru/images/detailed/171/orig_d9rv-j2.jpg" TargetMode="External"/><Relationship Id="rId_hyperlink_2221" Type="http://schemas.openxmlformats.org/officeDocument/2006/relationships/hyperlink" Target="https://b2beez.ru/images/detailed/155/orig_s1w3-45.jpg" TargetMode="External"/><Relationship Id="rId_hyperlink_2222" Type="http://schemas.openxmlformats.org/officeDocument/2006/relationships/hyperlink" Target="https://b2beez.ru/images/detailed/155/orig_dnwb-0g.jpg" TargetMode="External"/><Relationship Id="rId_hyperlink_2223" Type="http://schemas.openxmlformats.org/officeDocument/2006/relationships/hyperlink" Target="https://b2beez.ru/images/detailed/47/6400992279.jpg" TargetMode="External"/><Relationship Id="rId_hyperlink_2224" Type="http://schemas.openxmlformats.org/officeDocument/2006/relationships/hyperlink" Target="https://b2beez.ru/images/detailed/155/6243587143.jpg" TargetMode="External"/><Relationship Id="rId_hyperlink_2225" Type="http://schemas.openxmlformats.org/officeDocument/2006/relationships/hyperlink" Target="https://b2beez.ru/images/detailed/155/6243587208.jpg" TargetMode="External"/><Relationship Id="rId_hyperlink_2226" Type="http://schemas.openxmlformats.org/officeDocument/2006/relationships/hyperlink" Target="https://b2beez.ru/images/detailed/155/6632420650.jpg" TargetMode="External"/><Relationship Id="rId_hyperlink_2227" Type="http://schemas.openxmlformats.org/officeDocument/2006/relationships/hyperlink" Target="https://b2beez.ru/images/detailed/156/6243587242.jpg" TargetMode="External"/><Relationship Id="rId_hyperlink_2228" Type="http://schemas.openxmlformats.org/officeDocument/2006/relationships/hyperlink" Target="https://b2beez.ru/images/detailed/47/6392026874_ne1l-83.jpg" TargetMode="External"/><Relationship Id="rId_hyperlink_2229" Type="http://schemas.openxmlformats.org/officeDocument/2006/relationships/hyperlink" Target="https://b2beez.ru/images/detailed/156/orig_8r70-3x.jpg" TargetMode="External"/><Relationship Id="rId_hyperlink_2230" Type="http://schemas.openxmlformats.org/officeDocument/2006/relationships/hyperlink" Target="https://b2beez.ru/images/detailed/156/orig_hf90-ab.jpg" TargetMode="External"/><Relationship Id="rId_hyperlink_2231" Type="http://schemas.openxmlformats.org/officeDocument/2006/relationships/hyperlink" Target="https://b2beez.ru/images/detailed/47/6392026801.jpg" TargetMode="External"/><Relationship Id="rId_hyperlink_2232" Type="http://schemas.openxmlformats.org/officeDocument/2006/relationships/hyperlink" Target="https://b2beez.ru/images/detailed/48/6392026931.jpg" TargetMode="External"/><Relationship Id="rId_hyperlink_2233" Type="http://schemas.openxmlformats.org/officeDocument/2006/relationships/hyperlink" Target="https://b2beez.ru/images/detailed/156/6243587167.jpg" TargetMode="External"/><Relationship Id="rId_hyperlink_2234" Type="http://schemas.openxmlformats.org/officeDocument/2006/relationships/hyperlink" Target="https://b2beez.ru/images/detailed/156/orig_b2o3-2j.jpg" TargetMode="External"/><Relationship Id="rId_hyperlink_2235" Type="http://schemas.openxmlformats.org/officeDocument/2006/relationships/hyperlink" Target="https://b2beez.ru/images/detailed/156/6243587131.jpg" TargetMode="External"/><Relationship Id="rId_hyperlink_2236" Type="http://schemas.openxmlformats.org/officeDocument/2006/relationships/hyperlink" Target="https://b2beez.ru/images/detailed/156/orig_yz4t-2k.jpg" TargetMode="External"/><Relationship Id="rId_hyperlink_2237" Type="http://schemas.openxmlformats.org/officeDocument/2006/relationships/hyperlink" Target="https://b2beez.ru/images/detailed/156/6243587211.jpg" TargetMode="External"/><Relationship Id="rId_hyperlink_2238" Type="http://schemas.openxmlformats.org/officeDocument/2006/relationships/hyperlink" Target="https://b2beez.ru/images/detailed/155/orig_pnyd-eo.jpg" TargetMode="External"/><Relationship Id="rId_hyperlink_2239" Type="http://schemas.openxmlformats.org/officeDocument/2006/relationships/hyperlink" Target="https://b2beez.ru/images/detailed/156/6243587162.jpg" TargetMode="External"/><Relationship Id="rId_hyperlink_2240" Type="http://schemas.openxmlformats.org/officeDocument/2006/relationships/hyperlink" Target="https://b2beez.ru/images/detailed/156/6243587196.jpg" TargetMode="External"/><Relationship Id="rId_hyperlink_2241" Type="http://schemas.openxmlformats.org/officeDocument/2006/relationships/hyperlink" Target="https://b2beez.ru/images/detailed/156/orig_f2cb-ce.jpg" TargetMode="External"/><Relationship Id="rId_hyperlink_2242" Type="http://schemas.openxmlformats.org/officeDocument/2006/relationships/hyperlink" Target="https://b2beez.ru/images/detailed/156/orig_azzg-u7.jpg" TargetMode="External"/><Relationship Id="rId_hyperlink_2243" Type="http://schemas.openxmlformats.org/officeDocument/2006/relationships/hyperlink" Target="https://b2beez.ru/images/detailed/156/6326699794.jpg" TargetMode="External"/><Relationship Id="rId_hyperlink_2244" Type="http://schemas.openxmlformats.org/officeDocument/2006/relationships/hyperlink" Target="https://b2beez.ru/images/detailed/156/6326699698.jpg" TargetMode="External"/><Relationship Id="rId_hyperlink_2245" Type="http://schemas.openxmlformats.org/officeDocument/2006/relationships/hyperlink" Target="https://b2beez.ru/images/detailed/203/1_3fp5-ig.jpg" TargetMode="External"/><Relationship Id="rId_hyperlink_2246" Type="http://schemas.openxmlformats.org/officeDocument/2006/relationships/hyperlink" Target="https://b2beez.ru/images/detailed/155/orig_ok84-zz.jpg" TargetMode="External"/><Relationship Id="rId_hyperlink_2247" Type="http://schemas.openxmlformats.org/officeDocument/2006/relationships/hyperlink" Target="https://b2beez.ru/images/detailed/155/orig_r6j5-yb.jpg" TargetMode="External"/><Relationship Id="rId_hyperlink_2248" Type="http://schemas.openxmlformats.org/officeDocument/2006/relationships/hyperlink" Target="https://b2beez.ru/images/detailed/156/orig_m5eq-di.jpg" TargetMode="External"/><Relationship Id="rId_hyperlink_2249" Type="http://schemas.openxmlformats.org/officeDocument/2006/relationships/hyperlink" Target="https://b2beez.ru/images/detailed/155/6243587105.jpg" TargetMode="External"/><Relationship Id="rId_hyperlink_2250" Type="http://schemas.openxmlformats.org/officeDocument/2006/relationships/hyperlink" Target="https://b2beez.ru/images/detailed/155/6243587105_l7g1-2y.jpg" TargetMode="External"/><Relationship Id="rId_hyperlink_2251" Type="http://schemas.openxmlformats.org/officeDocument/2006/relationships/hyperlink" Target="https://b2beez.ru/images/detailed/47/6392026928.jpg" TargetMode="External"/><Relationship Id="rId_hyperlink_2252" Type="http://schemas.openxmlformats.org/officeDocument/2006/relationships/hyperlink" Target="https://b2beez.ru/images/detailed/181/orig_2ttg-el.jpg" TargetMode="External"/><Relationship Id="rId_hyperlink_2253" Type="http://schemas.openxmlformats.org/officeDocument/2006/relationships/hyperlink" Target="https://b2beez.ru/images/detailed/181/orig_wqdg-1f.jpg" TargetMode="External"/><Relationship Id="rId_hyperlink_2254" Type="http://schemas.openxmlformats.org/officeDocument/2006/relationships/hyperlink" Target="https://b2beez.ru/images/detailed/179/orig_swi0-o3.jpg" TargetMode="External"/><Relationship Id="rId_hyperlink_2255" Type="http://schemas.openxmlformats.org/officeDocument/2006/relationships/hyperlink" Target="https://b2beez.ru/images/detailed/181/orig_d4n6-l9.jpg" TargetMode="External"/><Relationship Id="rId_hyperlink_2256" Type="http://schemas.openxmlformats.org/officeDocument/2006/relationships/hyperlink" Target="https://b2beez.ru/images/detailed/180/orig_miov-pe.jpg" TargetMode="External"/><Relationship Id="rId_hyperlink_2257" Type="http://schemas.openxmlformats.org/officeDocument/2006/relationships/hyperlink" Target="https://b2beez.ru/images/detailed/179/orig_odng-6k.jpg" TargetMode="External"/><Relationship Id="rId_hyperlink_2258" Type="http://schemas.openxmlformats.org/officeDocument/2006/relationships/hyperlink" Target="https://b2beez.ru/images/detailed/178/orig_8jkp-rc.jpg" TargetMode="External"/><Relationship Id="rId_hyperlink_2259" Type="http://schemas.openxmlformats.org/officeDocument/2006/relationships/hyperlink" Target="https://b2beez.ru/images/detailed/179/orig_dn8w-6h.jpg" TargetMode="External"/><Relationship Id="rId_hyperlink_2260" Type="http://schemas.openxmlformats.org/officeDocument/2006/relationships/hyperlink" Target="https://b2beez.ru/images/detailed/179/orig_89qt-x0.jpg" TargetMode="External"/><Relationship Id="rId_hyperlink_2261" Type="http://schemas.openxmlformats.org/officeDocument/2006/relationships/hyperlink" Target="https://b2beez.ru/images/detailed/178/orig_5g12-e6.jpg" TargetMode="External"/><Relationship Id="rId_hyperlink_2262" Type="http://schemas.openxmlformats.org/officeDocument/2006/relationships/hyperlink" Target="https://b2beez.ru/images/detailed/179/orig_02p0-9q.jpg" TargetMode="External"/><Relationship Id="rId_hyperlink_2263" Type="http://schemas.openxmlformats.org/officeDocument/2006/relationships/hyperlink" Target="https://b2beez.ru/images/detailed/179/6545700391.jpg" TargetMode="External"/><Relationship Id="rId_hyperlink_2264" Type="http://schemas.openxmlformats.org/officeDocument/2006/relationships/hyperlink" Target="https://b2beez.ru/images/detailed/180/orig_k5un-q8.jpg" TargetMode="External"/><Relationship Id="rId_hyperlink_2265" Type="http://schemas.openxmlformats.org/officeDocument/2006/relationships/hyperlink" Target="https://b2beez.ru/images/detailed/181/orig_h8eq-6l.jpg" TargetMode="External"/><Relationship Id="rId_hyperlink_2266" Type="http://schemas.openxmlformats.org/officeDocument/2006/relationships/hyperlink" Target="https://b2beez.ru/images/detailed/182/orig_tfmv-j0.jpg" TargetMode="External"/><Relationship Id="rId_hyperlink_2267" Type="http://schemas.openxmlformats.org/officeDocument/2006/relationships/hyperlink" Target="https://b2beez.ru/images/detailed/158/6244232565.jpg" TargetMode="External"/><Relationship Id="rId_hyperlink_2268" Type="http://schemas.openxmlformats.org/officeDocument/2006/relationships/hyperlink" Target="https://b2beez.ru/images/detailed/179/6244232490.jpg" TargetMode="External"/><Relationship Id="rId_hyperlink_2269" Type="http://schemas.openxmlformats.org/officeDocument/2006/relationships/hyperlink" Target="https://b2beez.ru/images/detailed/173/orig_cd2g-a8.jpg" TargetMode="External"/><Relationship Id="rId_hyperlink_2270" Type="http://schemas.openxmlformats.org/officeDocument/2006/relationships/hyperlink" Target="https://b2beez.ru/images/detailed/175/orig_l1jj-8e.jpg" TargetMode="External"/><Relationship Id="rId_hyperlink_2271" Type="http://schemas.openxmlformats.org/officeDocument/2006/relationships/hyperlink" Target="https://b2beez.ru/images/detailed/180/orig_omeb-36.jpg" TargetMode="External"/><Relationship Id="rId_hyperlink_2272" Type="http://schemas.openxmlformats.org/officeDocument/2006/relationships/hyperlink" Target="https://b2beez.ru/images/detailed/167/6244232564.jpg" TargetMode="External"/><Relationship Id="rId_hyperlink_2273" Type="http://schemas.openxmlformats.org/officeDocument/2006/relationships/hyperlink" Target="https://b2beez.ru/images/detailed/179/7067092192.jpg" TargetMode="External"/><Relationship Id="rId_hyperlink_2274" Type="http://schemas.openxmlformats.org/officeDocument/2006/relationships/hyperlink" Target="https://b2beez.ru/images/detailed/162/6474467544.jpg" TargetMode="External"/><Relationship Id="rId_hyperlink_2275" Type="http://schemas.openxmlformats.org/officeDocument/2006/relationships/hyperlink" Target="https://b2beez.ru/images/detailed/154/orig_egoi-rw.jpg" TargetMode="External"/><Relationship Id="rId_hyperlink_2276" Type="http://schemas.openxmlformats.org/officeDocument/2006/relationships/hyperlink" Target="https://b2beez.ru/images/detailed/157/6244232803.jpg" TargetMode="External"/><Relationship Id="rId_hyperlink_2277" Type="http://schemas.openxmlformats.org/officeDocument/2006/relationships/hyperlink" Target="https://b2beez.ru/images/detailed/154/orig_l275-yu.jpg" TargetMode="External"/><Relationship Id="rId_hyperlink_2278" Type="http://schemas.openxmlformats.org/officeDocument/2006/relationships/hyperlink" Target="https://b2beez.ru/images/detailed/154/orig_ykhl-bp.jpg" TargetMode="External"/><Relationship Id="rId_hyperlink_2279" Type="http://schemas.openxmlformats.org/officeDocument/2006/relationships/hyperlink" Target="https://b2beez.ru/images/detailed/154/6244232539.jpg" TargetMode="External"/><Relationship Id="rId_hyperlink_2280" Type="http://schemas.openxmlformats.org/officeDocument/2006/relationships/hyperlink" Target="https://b2beez.ru/images/detailed/154/6244232503_zlra-li.jpg" TargetMode="External"/><Relationship Id="rId_hyperlink_2281" Type="http://schemas.openxmlformats.org/officeDocument/2006/relationships/hyperlink" Target="https://b2beez.ru/images/detailed/157/6244232677.jpg" TargetMode="External"/><Relationship Id="rId_hyperlink_2282" Type="http://schemas.openxmlformats.org/officeDocument/2006/relationships/hyperlink" Target="https://b2beez.ru/images/detailed/157/6244232589.jpg" TargetMode="External"/><Relationship Id="rId_hyperlink_2283" Type="http://schemas.openxmlformats.org/officeDocument/2006/relationships/hyperlink" Target="https://b2beez.ru/images/detailed/157/6244232712.jpg" TargetMode="External"/><Relationship Id="rId_hyperlink_2284" Type="http://schemas.openxmlformats.org/officeDocument/2006/relationships/hyperlink" Target="https://b2beez.ru/images/detailed/157/6244232758.jpg" TargetMode="External"/><Relationship Id="rId_hyperlink_2285" Type="http://schemas.openxmlformats.org/officeDocument/2006/relationships/hyperlink" Target="https://b2beez.ru/images/detailed/157/6244597273.jpg" TargetMode="External"/><Relationship Id="rId_hyperlink_2286" Type="http://schemas.openxmlformats.org/officeDocument/2006/relationships/hyperlink" Target="https://b2beez.ru/images/detailed/157/6244232604.jpg" TargetMode="External"/><Relationship Id="rId_hyperlink_2287" Type="http://schemas.openxmlformats.org/officeDocument/2006/relationships/hyperlink" Target="https://b2beez.ru/images/detailed/157/6244232521.jpg" TargetMode="External"/><Relationship Id="rId_hyperlink_2288" Type="http://schemas.openxmlformats.org/officeDocument/2006/relationships/hyperlink" Target="https://b2beez.ru/images/detailed/157/6244232726.jpg" TargetMode="External"/><Relationship Id="rId_hyperlink_2289" Type="http://schemas.openxmlformats.org/officeDocument/2006/relationships/hyperlink" Target="https://b2beez.ru/images/detailed/159/6244597260.jpg" TargetMode="External"/><Relationship Id="rId_hyperlink_2290" Type="http://schemas.openxmlformats.org/officeDocument/2006/relationships/hyperlink" Target="https://b2beez.ru/images/detailed/159/6244597264.jpg" TargetMode="External"/><Relationship Id="rId_hyperlink_2291" Type="http://schemas.openxmlformats.org/officeDocument/2006/relationships/hyperlink" Target="https://b2beez.ru/images/detailed/159/6244232710.jpg" TargetMode="External"/><Relationship Id="rId_hyperlink_2292" Type="http://schemas.openxmlformats.org/officeDocument/2006/relationships/hyperlink" Target="https://b2beez.ru/images/detailed/161/6446885085.jpg" TargetMode="External"/><Relationship Id="rId_hyperlink_2293" Type="http://schemas.openxmlformats.org/officeDocument/2006/relationships/hyperlink" Target="https://b2beez.ru/images/detailed/169/6244232486.jpg" TargetMode="External"/><Relationship Id="rId_hyperlink_2294" Type="http://schemas.openxmlformats.org/officeDocument/2006/relationships/hyperlink" Target="https://b2beez.ru/images/detailed/169/orig_rwaz-5q.jpg" TargetMode="External"/><Relationship Id="rId_hyperlink_2295" Type="http://schemas.openxmlformats.org/officeDocument/2006/relationships/hyperlink" Target="https://b2beez.ru/images/detailed/169/orig_5o3m-pu.jpg" TargetMode="External"/><Relationship Id="rId_hyperlink_2296" Type="http://schemas.openxmlformats.org/officeDocument/2006/relationships/hyperlink" Target="https://b2beez.ru/images/detailed/169/6244232519.jpg" TargetMode="External"/><Relationship Id="rId_hyperlink_2297" Type="http://schemas.openxmlformats.org/officeDocument/2006/relationships/hyperlink" Target="https://b2beez.ru/images/detailed/169/6244232728.jpg" TargetMode="External"/><Relationship Id="rId_hyperlink_2298" Type="http://schemas.openxmlformats.org/officeDocument/2006/relationships/hyperlink" Target="https://b2beez.ru/images/detailed/169/6244232517.jpg" TargetMode="External"/><Relationship Id="rId_hyperlink_2299" Type="http://schemas.openxmlformats.org/officeDocument/2006/relationships/hyperlink" Target="https://b2beez.ru/images/detailed/171/6244232716.jpg" TargetMode="External"/><Relationship Id="rId_hyperlink_2300" Type="http://schemas.openxmlformats.org/officeDocument/2006/relationships/hyperlink" Target="https://b2beez.ru/images/detailed/171/6244232788.jpg" TargetMode="External"/><Relationship Id="rId_hyperlink_2301" Type="http://schemas.openxmlformats.org/officeDocument/2006/relationships/hyperlink" Target="https://b2beez.ru/images/detailed/171/6244232778.jpg" TargetMode="External"/><Relationship Id="rId_hyperlink_2302" Type="http://schemas.openxmlformats.org/officeDocument/2006/relationships/hyperlink" Target="https://b2beez.ru/images/detailed/171/6244232651.jpg" TargetMode="External"/><Relationship Id="rId_hyperlink_2303" Type="http://schemas.openxmlformats.org/officeDocument/2006/relationships/hyperlink" Target="https://b2beez.ru/images/detailed/173/orig_cbri-bc.jpg" TargetMode="External"/><Relationship Id="rId_hyperlink_2304" Type="http://schemas.openxmlformats.org/officeDocument/2006/relationships/hyperlink" Target="https://b2beez.ru/images/detailed/175/6244232581.jpg" TargetMode="External"/><Relationship Id="rId_hyperlink_2305" Type="http://schemas.openxmlformats.org/officeDocument/2006/relationships/hyperlink" Target="https://b2beez.ru/images/detailed/175/6244232644_yfd7-7r.jpg" TargetMode="External"/><Relationship Id="rId_hyperlink_2306" Type="http://schemas.openxmlformats.org/officeDocument/2006/relationships/hyperlink" Target="https://b2beez.ru/images/detailed/175/6244232562_iqt6-qu.jpg" TargetMode="External"/><Relationship Id="rId_hyperlink_2307" Type="http://schemas.openxmlformats.org/officeDocument/2006/relationships/hyperlink" Target="https://b2beez.ru/images/detailed/175/6244232502_fuy8-8n.jpg" TargetMode="External"/><Relationship Id="rId_hyperlink_2308" Type="http://schemas.openxmlformats.org/officeDocument/2006/relationships/hyperlink" Target="https://b2beez.ru/images/detailed/179/orig_jq61-va.jpg" TargetMode="External"/><Relationship Id="rId_hyperlink_2309" Type="http://schemas.openxmlformats.org/officeDocument/2006/relationships/hyperlink" Target="https://b2beez.ru/images/detailed/179/6244232767.jpg" TargetMode="External"/><Relationship Id="rId_hyperlink_2310" Type="http://schemas.openxmlformats.org/officeDocument/2006/relationships/hyperlink" Target="https://b2beez.ru/images/detailed/179/orig_b42p-5i.png" TargetMode="External"/><Relationship Id="rId_hyperlink_2311" Type="http://schemas.openxmlformats.org/officeDocument/2006/relationships/hyperlink" Target="https://b2beez.ru/images/detailed/179/orig_aagv-6n.jpg" TargetMode="External"/><Relationship Id="rId_hyperlink_2312" Type="http://schemas.openxmlformats.org/officeDocument/2006/relationships/hyperlink" Target="https://b2beez.ru/images/detailed/179/6244232465.jpg" TargetMode="External"/><Relationship Id="rId_hyperlink_2313" Type="http://schemas.openxmlformats.org/officeDocument/2006/relationships/hyperlink" Target="https://b2beez.ru/images/detailed/180/6244232704.jpg" TargetMode="External"/><Relationship Id="rId_hyperlink_2314" Type="http://schemas.openxmlformats.org/officeDocument/2006/relationships/hyperlink" Target="https://b2beez.ru/images/detailed/180/6244232669.jpg" TargetMode="External"/><Relationship Id="rId_hyperlink_2315" Type="http://schemas.openxmlformats.org/officeDocument/2006/relationships/hyperlink" Target="https://b2beez.ru/images/detailed/180/6244232727.jpg" TargetMode="External"/><Relationship Id="rId_hyperlink_2316" Type="http://schemas.openxmlformats.org/officeDocument/2006/relationships/hyperlink" Target="https://b2beez.ru/images/detailed/180/6244232773.jpg" TargetMode="External"/><Relationship Id="rId_hyperlink_2317" Type="http://schemas.openxmlformats.org/officeDocument/2006/relationships/hyperlink" Target="https://b2beez.ru/images/detailed/180/6244232614.jpg" TargetMode="External"/><Relationship Id="rId_hyperlink_2318" Type="http://schemas.openxmlformats.org/officeDocument/2006/relationships/hyperlink" Target="https://b2beez.ru/images/detailed/180/6244232504.jpg" TargetMode="External"/><Relationship Id="rId_hyperlink_2319" Type="http://schemas.openxmlformats.org/officeDocument/2006/relationships/hyperlink" Target="https://b2beez.ru/images/detailed/180/6244232752.jpg" TargetMode="External"/><Relationship Id="rId_hyperlink_2320" Type="http://schemas.openxmlformats.org/officeDocument/2006/relationships/hyperlink" Target="https://b2beez.ru/images/detailed/180/orig_v2eq-oz.jpg" TargetMode="External"/><Relationship Id="rId_hyperlink_2321" Type="http://schemas.openxmlformats.org/officeDocument/2006/relationships/hyperlink" Target="https://b2beez.ru/images/detailed/180/orig_msem-f8.jpg" TargetMode="External"/><Relationship Id="rId_hyperlink_2322" Type="http://schemas.openxmlformats.org/officeDocument/2006/relationships/hyperlink" Target="https://b2beez.ru/images/detailed/180/orig_upnr-ve.jpg" TargetMode="External"/><Relationship Id="rId_hyperlink_2323" Type="http://schemas.openxmlformats.org/officeDocument/2006/relationships/hyperlink" Target="https://b2beez.ru/images/detailed/180/orig_pg93-b1.jpg" TargetMode="External"/><Relationship Id="rId_hyperlink_2324" Type="http://schemas.openxmlformats.org/officeDocument/2006/relationships/hyperlink" Target="https://b2beez.ru/images/detailed/180/6244232781.jpg" TargetMode="External"/><Relationship Id="rId_hyperlink_2325" Type="http://schemas.openxmlformats.org/officeDocument/2006/relationships/hyperlink" Target="https://b2beez.ru/images/detailed/180/6244232715_tn0b-qu.jpg" TargetMode="External"/><Relationship Id="rId_hyperlink_2326" Type="http://schemas.openxmlformats.org/officeDocument/2006/relationships/hyperlink" Target="https://b2beez.ru/images/detailed/180/6244232764.jpg" TargetMode="External"/><Relationship Id="rId_hyperlink_2327" Type="http://schemas.openxmlformats.org/officeDocument/2006/relationships/hyperlink" Target="https://b2beez.ru/images/detailed/180/6244232731.jpg" TargetMode="External"/><Relationship Id="rId_hyperlink_2328" Type="http://schemas.openxmlformats.org/officeDocument/2006/relationships/hyperlink" Target="https://b2beez.ru/images/detailed/180/6244232647_7xu6-lu.jpg" TargetMode="External"/><Relationship Id="rId_hyperlink_2329" Type="http://schemas.openxmlformats.org/officeDocument/2006/relationships/hyperlink" Target="https://b2beez.ru/images/detailed/180/6244597270.jpg" TargetMode="External"/><Relationship Id="rId_hyperlink_2330" Type="http://schemas.openxmlformats.org/officeDocument/2006/relationships/hyperlink" Target="https://b2beez.ru/images/detailed/187/6244232596.jpg" TargetMode="External"/><Relationship Id="rId_hyperlink_2331" Type="http://schemas.openxmlformats.org/officeDocument/2006/relationships/hyperlink" Target="https://b2beez.ru/images/detailed/187/6244232487_usoc-ui.jpg" TargetMode="External"/><Relationship Id="rId_hyperlink_2332" Type="http://schemas.openxmlformats.org/officeDocument/2006/relationships/hyperlink" Target="https://b2beez.ru/images/detailed/154/orig_5jpt-ng.jpg" TargetMode="External"/><Relationship Id="rId_hyperlink_2333" Type="http://schemas.openxmlformats.org/officeDocument/2006/relationships/hyperlink" Target="https://b2beez.ru/images/detailed/154/orig_9esz-1r.jpg" TargetMode="External"/><Relationship Id="rId_hyperlink_2334" Type="http://schemas.openxmlformats.org/officeDocument/2006/relationships/hyperlink" Target="https://b2beez.ru/images/detailed/157/6244232796.jpg" TargetMode="External"/><Relationship Id="rId_hyperlink_2335" Type="http://schemas.openxmlformats.org/officeDocument/2006/relationships/hyperlink" Target="https://b2beez.ru/images/detailed/157/6244232625.jpg" TargetMode="External"/><Relationship Id="rId_hyperlink_2336" Type="http://schemas.openxmlformats.org/officeDocument/2006/relationships/hyperlink" Target="https://b2beez.ru/images/detailed/157/6247096355.jpg" TargetMode="External"/><Relationship Id="rId_hyperlink_2337" Type="http://schemas.openxmlformats.org/officeDocument/2006/relationships/hyperlink" Target="https://b2beez.ru/images/detailed/157/6244232763.jpg" TargetMode="External"/><Relationship Id="rId_hyperlink_2338" Type="http://schemas.openxmlformats.org/officeDocument/2006/relationships/hyperlink" Target="https://b2beez.ru/images/detailed/157/6244597269.jpg" TargetMode="External"/><Relationship Id="rId_hyperlink_2339" Type="http://schemas.openxmlformats.org/officeDocument/2006/relationships/hyperlink" Target="https://b2beez.ru/images/detailed/157/6244232682.jpg" TargetMode="External"/><Relationship Id="rId_hyperlink_2340" Type="http://schemas.openxmlformats.org/officeDocument/2006/relationships/hyperlink" Target="https://b2beez.ru/images/detailed/157/6244232687.jpg" TargetMode="External"/><Relationship Id="rId_hyperlink_2341" Type="http://schemas.openxmlformats.org/officeDocument/2006/relationships/hyperlink" Target="https://b2beez.ru/images/detailed/158/6244232524.jpg" TargetMode="External"/><Relationship Id="rId_hyperlink_2342" Type="http://schemas.openxmlformats.org/officeDocument/2006/relationships/hyperlink" Target="https://b2beez.ru/images/detailed/158/6244232612.jpg" TargetMode="External"/><Relationship Id="rId_hyperlink_2343" Type="http://schemas.openxmlformats.org/officeDocument/2006/relationships/hyperlink" Target="https://b2beez.ru/images/detailed/158/6244232619.jpg" TargetMode="External"/><Relationship Id="rId_hyperlink_2344" Type="http://schemas.openxmlformats.org/officeDocument/2006/relationships/hyperlink" Target="https://b2beez.ru/images/detailed/158/orig_xd9l-e9.jpg" TargetMode="External"/><Relationship Id="rId_hyperlink_2345" Type="http://schemas.openxmlformats.org/officeDocument/2006/relationships/hyperlink" Target="https://b2beez.ru/images/detailed/158/6244232679.jpg" TargetMode="External"/><Relationship Id="rId_hyperlink_2346" Type="http://schemas.openxmlformats.org/officeDocument/2006/relationships/hyperlink" Target="https://b2beez.ru/images/detailed/158/6244232630.jpg" TargetMode="External"/><Relationship Id="rId_hyperlink_2347" Type="http://schemas.openxmlformats.org/officeDocument/2006/relationships/hyperlink" Target="https://b2beez.ru/images/detailed/158/6244232610.jpg" TargetMode="External"/><Relationship Id="rId_hyperlink_2348" Type="http://schemas.openxmlformats.org/officeDocument/2006/relationships/hyperlink" Target="https://b2beez.ru/images/detailed/158/6244232681.jpg" TargetMode="External"/><Relationship Id="rId_hyperlink_2349" Type="http://schemas.openxmlformats.org/officeDocument/2006/relationships/hyperlink" Target="https://b2beez.ru/images/detailed/158/6244597262.jpg" TargetMode="External"/><Relationship Id="rId_hyperlink_2350" Type="http://schemas.openxmlformats.org/officeDocument/2006/relationships/hyperlink" Target="https://b2beez.ru/images/detailed/158/6244232547.jpg" TargetMode="External"/><Relationship Id="rId_hyperlink_2351" Type="http://schemas.openxmlformats.org/officeDocument/2006/relationships/hyperlink" Target="https://b2beez.ru/images/detailed/158/6244232613.jpg" TargetMode="External"/><Relationship Id="rId_hyperlink_2352" Type="http://schemas.openxmlformats.org/officeDocument/2006/relationships/hyperlink" Target="https://b2beez.ru/images/detailed/158/6244232526.jpg" TargetMode="External"/><Relationship Id="rId_hyperlink_2353" Type="http://schemas.openxmlformats.org/officeDocument/2006/relationships/hyperlink" Target="https://b2beez.ru/images/detailed/159/6244232769.jpg" TargetMode="External"/><Relationship Id="rId_hyperlink_2354" Type="http://schemas.openxmlformats.org/officeDocument/2006/relationships/hyperlink" Target="https://b2beez.ru/images/detailed/159/6244232760.jpg" TargetMode="External"/><Relationship Id="rId_hyperlink_2355" Type="http://schemas.openxmlformats.org/officeDocument/2006/relationships/hyperlink" Target="https://b2beez.ru/images/detailed/159/6244232652.jpg" TargetMode="External"/><Relationship Id="rId_hyperlink_2356" Type="http://schemas.openxmlformats.org/officeDocument/2006/relationships/hyperlink" Target="https://b2beez.ru/images/detailed/161/6244232508.jpg" TargetMode="External"/><Relationship Id="rId_hyperlink_2357" Type="http://schemas.openxmlformats.org/officeDocument/2006/relationships/hyperlink" Target="https://b2beez.ru/images/detailed/161/6244232448.jpg" TargetMode="External"/><Relationship Id="rId_hyperlink_2358" Type="http://schemas.openxmlformats.org/officeDocument/2006/relationships/hyperlink" Target="https://b2beez.ru/images/detailed/164/6244232783.jpg" TargetMode="External"/><Relationship Id="rId_hyperlink_2359" Type="http://schemas.openxmlformats.org/officeDocument/2006/relationships/hyperlink" Target="https://b2beez.ru/images/detailed/164/6244232673.jpg" TargetMode="External"/><Relationship Id="rId_hyperlink_2360" Type="http://schemas.openxmlformats.org/officeDocument/2006/relationships/hyperlink" Target="https://b2beez.ru/images/detailed/166/6244232629.jpg" TargetMode="External"/><Relationship Id="rId_hyperlink_2361" Type="http://schemas.openxmlformats.org/officeDocument/2006/relationships/hyperlink" Target="https://b2beez.ru/images/detailed/166/6244232605.jpg" TargetMode="External"/><Relationship Id="rId_hyperlink_2362" Type="http://schemas.openxmlformats.org/officeDocument/2006/relationships/hyperlink" Target="https://b2beez.ru/images/detailed/169/6249132304.jpg" TargetMode="External"/><Relationship Id="rId_hyperlink_2363" Type="http://schemas.openxmlformats.org/officeDocument/2006/relationships/hyperlink" Target="https://b2beez.ru/images/detailed/169/6244232574.jpg" TargetMode="External"/><Relationship Id="rId_hyperlink_2364" Type="http://schemas.openxmlformats.org/officeDocument/2006/relationships/hyperlink" Target="https://b2beez.ru/images/detailed/169/6244232774.jpg" TargetMode="External"/><Relationship Id="rId_hyperlink_2365" Type="http://schemas.openxmlformats.org/officeDocument/2006/relationships/hyperlink" Target="https://b2beez.ru/images/detailed/169/6244232567.jpg" TargetMode="External"/><Relationship Id="rId_hyperlink_2366" Type="http://schemas.openxmlformats.org/officeDocument/2006/relationships/hyperlink" Target="https://b2beez.ru/images/detailed/169/6244232694.jpg" TargetMode="External"/><Relationship Id="rId_hyperlink_2367" Type="http://schemas.openxmlformats.org/officeDocument/2006/relationships/hyperlink" Target="https://b2beez.ru/images/detailed/169/6246875054.jpg" TargetMode="External"/><Relationship Id="rId_hyperlink_2368" Type="http://schemas.openxmlformats.org/officeDocument/2006/relationships/hyperlink" Target="https://b2beez.ru/images/detailed/171/orig_lvrq-u2.jpg" TargetMode="External"/><Relationship Id="rId_hyperlink_2369" Type="http://schemas.openxmlformats.org/officeDocument/2006/relationships/hyperlink" Target="https://b2beez.ru/images/detailed/171/orig_v3ad-ni.jpg" TargetMode="External"/><Relationship Id="rId_hyperlink_2370" Type="http://schemas.openxmlformats.org/officeDocument/2006/relationships/hyperlink" Target="https://b2beez.ru/images/detailed/172/6244232653.jpg" TargetMode="External"/><Relationship Id="rId_hyperlink_2371" Type="http://schemas.openxmlformats.org/officeDocument/2006/relationships/hyperlink" Target="https://b2beez.ru/images/detailed/175/6244232562.jpg" TargetMode="External"/><Relationship Id="rId_hyperlink_2372" Type="http://schemas.openxmlformats.org/officeDocument/2006/relationships/hyperlink" Target="https://b2beez.ru/images/detailed/175/6244232748.jpg" TargetMode="External"/><Relationship Id="rId_hyperlink_2373" Type="http://schemas.openxmlformats.org/officeDocument/2006/relationships/hyperlink" Target="https://b2beez.ru/images/detailed/178/6244232743.jpg" TargetMode="External"/><Relationship Id="rId_hyperlink_2374" Type="http://schemas.openxmlformats.org/officeDocument/2006/relationships/hyperlink" Target="https://b2beez.ru/images/detailed/179/6244232695.jpg" TargetMode="External"/><Relationship Id="rId_hyperlink_2375" Type="http://schemas.openxmlformats.org/officeDocument/2006/relationships/hyperlink" Target="https://b2beez.ru/images/detailed/179/6244232538.jpg" TargetMode="External"/><Relationship Id="rId_hyperlink_2376" Type="http://schemas.openxmlformats.org/officeDocument/2006/relationships/hyperlink" Target="https://b2beez.ru/images/detailed/179/6244232761.jpg" TargetMode="External"/><Relationship Id="rId_hyperlink_2377" Type="http://schemas.openxmlformats.org/officeDocument/2006/relationships/hyperlink" Target="https://b2beez.ru/images/detailed/179/6377756878.jpg" TargetMode="External"/><Relationship Id="rId_hyperlink_2378" Type="http://schemas.openxmlformats.org/officeDocument/2006/relationships/hyperlink" Target="https://b2beez.ru/images/detailed/179/6244232598.jpg" TargetMode="External"/><Relationship Id="rId_hyperlink_2379" Type="http://schemas.openxmlformats.org/officeDocument/2006/relationships/hyperlink" Target="https://b2beez.ru/images/detailed/180/6244597268.jpg" TargetMode="External"/><Relationship Id="rId_hyperlink_2380" Type="http://schemas.openxmlformats.org/officeDocument/2006/relationships/hyperlink" Target="https://b2beez.ru/images/detailed/180/6244232664.jpg" TargetMode="External"/><Relationship Id="rId_hyperlink_2381" Type="http://schemas.openxmlformats.org/officeDocument/2006/relationships/hyperlink" Target="https://b2beez.ru/images/detailed/180/6244597281.jpg" TargetMode="External"/><Relationship Id="rId_hyperlink_2382" Type="http://schemas.openxmlformats.org/officeDocument/2006/relationships/hyperlink" Target="https://b2beez.ru/images/detailed/180/6244232664_z7d2-lg.jpg" TargetMode="External"/><Relationship Id="rId_hyperlink_2383" Type="http://schemas.openxmlformats.org/officeDocument/2006/relationships/hyperlink" Target="https://b2beez.ru/images/detailed/180/6244597266.jpg" TargetMode="External"/><Relationship Id="rId_hyperlink_2384" Type="http://schemas.openxmlformats.org/officeDocument/2006/relationships/hyperlink" Target="https://b2beez.ru/images/detailed/180/6244232658.jpg" TargetMode="External"/><Relationship Id="rId_hyperlink_2385" Type="http://schemas.openxmlformats.org/officeDocument/2006/relationships/hyperlink" Target="https://b2beez.ru/images/detailed/180/6244232561.jpg" TargetMode="External"/><Relationship Id="rId_hyperlink_2386" Type="http://schemas.openxmlformats.org/officeDocument/2006/relationships/hyperlink" Target="https://b2beez.ru/images/detailed/180/6244232792.jpg" TargetMode="External"/><Relationship Id="rId_hyperlink_2387" Type="http://schemas.openxmlformats.org/officeDocument/2006/relationships/hyperlink" Target="https://b2beez.ru/images/detailed/180/6248636262.jpg" TargetMode="External"/><Relationship Id="rId_hyperlink_2388" Type="http://schemas.openxmlformats.org/officeDocument/2006/relationships/hyperlink" Target="https://b2beez.ru/images/detailed/180/6244232795.jpg" TargetMode="External"/><Relationship Id="rId_hyperlink_2389" Type="http://schemas.openxmlformats.org/officeDocument/2006/relationships/hyperlink" Target="https://b2beez.ru/images/detailed/180/orig_85fh-e6.jpg" TargetMode="External"/><Relationship Id="rId_hyperlink_2390" Type="http://schemas.openxmlformats.org/officeDocument/2006/relationships/hyperlink" Target="https://b2beez.ru/images/detailed/180/6244232449.jpg" TargetMode="External"/><Relationship Id="rId_hyperlink_2391" Type="http://schemas.openxmlformats.org/officeDocument/2006/relationships/hyperlink" Target="https://b2beez.ru/images/detailed/180/6244597280.jpg" TargetMode="External"/><Relationship Id="rId_hyperlink_2392" Type="http://schemas.openxmlformats.org/officeDocument/2006/relationships/hyperlink" Target="https://b2beez.ru/images/detailed/180/6244232463.jpg" TargetMode="External"/><Relationship Id="rId_hyperlink_2393" Type="http://schemas.openxmlformats.org/officeDocument/2006/relationships/hyperlink" Target="https://b2beez.ru/images/detailed/180/orig_f9im-98.jpg" TargetMode="External"/><Relationship Id="rId_hyperlink_2394" Type="http://schemas.openxmlformats.org/officeDocument/2006/relationships/hyperlink" Target="https://b2beez.ru/images/detailed/180/6244232746.jpg" TargetMode="External"/><Relationship Id="rId_hyperlink_2395" Type="http://schemas.openxmlformats.org/officeDocument/2006/relationships/hyperlink" Target="https://b2beez.ru/images/detailed/180/6244232766.jpg" TargetMode="External"/><Relationship Id="rId_hyperlink_2396" Type="http://schemas.openxmlformats.org/officeDocument/2006/relationships/hyperlink" Target="https://b2beez.ru/images/detailed/180/orig_atuf-zd.jpg" TargetMode="External"/><Relationship Id="rId_hyperlink_2397" Type="http://schemas.openxmlformats.org/officeDocument/2006/relationships/hyperlink" Target="https://b2beez.ru/images/detailed/180/orig_ir2u-sd.jpg" TargetMode="External"/><Relationship Id="rId_hyperlink_2398" Type="http://schemas.openxmlformats.org/officeDocument/2006/relationships/hyperlink" Target="https://b2beez.ru/images/detailed/180/orig_9tb6-x9.jpg" TargetMode="External"/><Relationship Id="rId_hyperlink_2399" Type="http://schemas.openxmlformats.org/officeDocument/2006/relationships/hyperlink" Target="https://b2beez.ru/images/detailed/180/orig_uaat-ei.jpg" TargetMode="External"/><Relationship Id="rId_hyperlink_2400" Type="http://schemas.openxmlformats.org/officeDocument/2006/relationships/hyperlink" Target="https://b2beez.ru/images/detailed/180/6244232751.jpg" TargetMode="External"/><Relationship Id="rId_hyperlink_2401" Type="http://schemas.openxmlformats.org/officeDocument/2006/relationships/hyperlink" Target="https://b2beez.ru/images/detailed/180/orig_qtkw-2c.jpg" TargetMode="External"/><Relationship Id="rId_hyperlink_2402" Type="http://schemas.openxmlformats.org/officeDocument/2006/relationships/hyperlink" Target="https://b2beez.ru/images/detailed/0/" TargetMode="External"/><Relationship Id="rId_hyperlink_2403" Type="http://schemas.openxmlformats.org/officeDocument/2006/relationships/hyperlink" Target="https://b2beez.ru/images/detailed/180/orig_ng20-uq.jpg" TargetMode="External"/><Relationship Id="rId_hyperlink_2404" Type="http://schemas.openxmlformats.org/officeDocument/2006/relationships/hyperlink" Target="https://b2beez.ru/images/detailed/180/6244232713.jpg" TargetMode="External"/><Relationship Id="rId_hyperlink_2405" Type="http://schemas.openxmlformats.org/officeDocument/2006/relationships/hyperlink" Target="https://b2beez.ru/images/detailed/180/6244232665_rf86-0h.jpg" TargetMode="External"/><Relationship Id="rId_hyperlink_2406" Type="http://schemas.openxmlformats.org/officeDocument/2006/relationships/hyperlink" Target="https://b2beez.ru/images/detailed/180/6244232762.jpg" TargetMode="External"/><Relationship Id="rId_hyperlink_2407" Type="http://schemas.openxmlformats.org/officeDocument/2006/relationships/hyperlink" Target="https://b2beez.ru/images/detailed/180/6244232665_nzzz-pz.jpg" TargetMode="External"/><Relationship Id="rId_hyperlink_2408" Type="http://schemas.openxmlformats.org/officeDocument/2006/relationships/hyperlink" Target="https://b2beez.ru/images/detailed/183/6244232639.jpg" TargetMode="External"/><Relationship Id="rId_hyperlink_2409" Type="http://schemas.openxmlformats.org/officeDocument/2006/relationships/hyperlink" Target="https://b2beez.ru/images/detailed/183/6244232663.jpg" TargetMode="External"/><Relationship Id="rId_hyperlink_2410" Type="http://schemas.openxmlformats.org/officeDocument/2006/relationships/hyperlink" Target="https://b2beez.ru/images/detailed/183/6260708942.jpg" TargetMode="External"/><Relationship Id="rId_hyperlink_2411" Type="http://schemas.openxmlformats.org/officeDocument/2006/relationships/hyperlink" Target="https://b2beez.ru/images/detailed/187/6244232456.jpg" TargetMode="External"/><Relationship Id="rId_hyperlink_2412" Type="http://schemas.openxmlformats.org/officeDocument/2006/relationships/hyperlink" Target="https://b2beez.ru/images/detailed/187/6244232456_fp40-z6.jpg" TargetMode="External"/><Relationship Id="rId_hyperlink_2413" Type="http://schemas.openxmlformats.org/officeDocument/2006/relationships/hyperlink" Target="https://b2beez.ru/images/detailed/187/6244232487.jpg" TargetMode="External"/><Relationship Id="rId_hyperlink_2414" Type="http://schemas.openxmlformats.org/officeDocument/2006/relationships/hyperlink" Target="https://b2beez.ru/images/detailed/187/6244232456_f9ah-u5.jpg" TargetMode="External"/><Relationship Id="rId_hyperlink_2415" Type="http://schemas.openxmlformats.org/officeDocument/2006/relationships/hyperlink" Target="https://b2beez.ru/images/detailed/187/6244232536.jpg" TargetMode="External"/><Relationship Id="rId_hyperlink_2416" Type="http://schemas.openxmlformats.org/officeDocument/2006/relationships/hyperlink" Target="https://b2beez.ru/images/detailed/177/orig_dkpg-zz.jpg" TargetMode="External"/><Relationship Id="rId_hyperlink_2417" Type="http://schemas.openxmlformats.org/officeDocument/2006/relationships/hyperlink" Target="https://b2beez.ru/images/detailed/176/6243586622.jpg" TargetMode="External"/><Relationship Id="rId_hyperlink_2418" Type="http://schemas.openxmlformats.org/officeDocument/2006/relationships/hyperlink" Target="https://b2beez.ru/images/detailed/176/6243586862.jpg" TargetMode="External"/><Relationship Id="rId_hyperlink_2419" Type="http://schemas.openxmlformats.org/officeDocument/2006/relationships/hyperlink" Target="https://b2beez.ru/images/detailed/176/6243586646.jpg" TargetMode="External"/><Relationship Id="rId_hyperlink_2420" Type="http://schemas.openxmlformats.org/officeDocument/2006/relationships/hyperlink" Target="https://b2beez.ru/images/detailed/176/6243586937.jpg" TargetMode="External"/><Relationship Id="rId_hyperlink_2421" Type="http://schemas.openxmlformats.org/officeDocument/2006/relationships/hyperlink" Target="https://b2beez.ru/images/detailed/176/orig_s8ru-mk.jpg" TargetMode="External"/><Relationship Id="rId_hyperlink_2422" Type="http://schemas.openxmlformats.org/officeDocument/2006/relationships/hyperlink" Target="https://b2beez.ru/images/detailed/176/orig_m0f0-2y.jpg" TargetMode="External"/><Relationship Id="rId_hyperlink_2423" Type="http://schemas.openxmlformats.org/officeDocument/2006/relationships/hyperlink" Target="https://b2beez.ru/images/detailed/176/6243586624.jpg" TargetMode="External"/><Relationship Id="rId_hyperlink_2424" Type="http://schemas.openxmlformats.org/officeDocument/2006/relationships/hyperlink" Target="https://b2beez.ru/images/detailed/48/orig_r6gp-bh.jpg" TargetMode="External"/><Relationship Id="rId_hyperlink_2425" Type="http://schemas.openxmlformats.org/officeDocument/2006/relationships/hyperlink" Target="https://b2beez.ru/images/detailed/182/orig_xqnv-q3.jpg" TargetMode="External"/><Relationship Id="rId_hyperlink_2426" Type="http://schemas.openxmlformats.org/officeDocument/2006/relationships/hyperlink" Target="https://b2beez.ru/images/detailed/178/7154797481.jpg" TargetMode="External"/><Relationship Id="rId_hyperlink_2427" Type="http://schemas.openxmlformats.org/officeDocument/2006/relationships/hyperlink" Target="https://b2beez.ru/images/detailed/178/7154794614.jpg" TargetMode="External"/><Relationship Id="rId_hyperlink_2428" Type="http://schemas.openxmlformats.org/officeDocument/2006/relationships/hyperlink" Target="https://b2beez.ru/images/detailed/178/6247207009.jpg" TargetMode="External"/><Relationship Id="rId_hyperlink_2429" Type="http://schemas.openxmlformats.org/officeDocument/2006/relationships/hyperlink" Target="https://b2beez.ru/images/detailed/178/orig_t28a-82.jpg" TargetMode="External"/><Relationship Id="rId_hyperlink_2430" Type="http://schemas.openxmlformats.org/officeDocument/2006/relationships/hyperlink" Target="https://b2beez.ru/images/detailed/179/6247207007.jpg" TargetMode="External"/><Relationship Id="rId_hyperlink_2431" Type="http://schemas.openxmlformats.org/officeDocument/2006/relationships/hyperlink" Target="https://b2beez.ru/images/detailed/179/orig_62qu-lw.jpg" TargetMode="External"/><Relationship Id="rId_hyperlink_2432" Type="http://schemas.openxmlformats.org/officeDocument/2006/relationships/hyperlink" Target="https://b2beez.ru/images/detailed/179/6247206967.jpg" TargetMode="External"/><Relationship Id="rId_hyperlink_2433" Type="http://schemas.openxmlformats.org/officeDocument/2006/relationships/hyperlink" Target="https://b2beez.ru/images/detailed/179/6247206968.jpg" TargetMode="External"/><Relationship Id="rId_hyperlink_2434" Type="http://schemas.openxmlformats.org/officeDocument/2006/relationships/hyperlink" Target="https://b2beez.ru/images/detailed/180/6247206997.jpg" TargetMode="External"/><Relationship Id="rId_hyperlink_2435" Type="http://schemas.openxmlformats.org/officeDocument/2006/relationships/hyperlink" Target="https://b2beez.ru/images/detailed/180/orig_bovp-pa.jpg" TargetMode="External"/><Relationship Id="rId_hyperlink_2436" Type="http://schemas.openxmlformats.org/officeDocument/2006/relationships/hyperlink" Target="https://b2beez.ru/images/detailed/180/orig_po7f-yb.jpg" TargetMode="External"/><Relationship Id="rId_hyperlink_2437" Type="http://schemas.openxmlformats.org/officeDocument/2006/relationships/hyperlink" Target="https://b2beez.ru/images/detailed/204/S-895-2_l8fs-ni.jpg" TargetMode="External"/><Relationship Id="rId_hyperlink_2438" Type="http://schemas.openxmlformats.org/officeDocument/2006/relationships/hyperlink" Target="https://b2beez.ru/images/detailed/204/S-896-2_9b8d-16.jpg" TargetMode="External"/><Relationship Id="rId_hyperlink_2439" Type="http://schemas.openxmlformats.org/officeDocument/2006/relationships/hyperlink" Target="https://b2beez.ru/images/detailed/182/orig_c0ra-my.jpg" TargetMode="External"/><Relationship Id="rId_hyperlink_2440" Type="http://schemas.openxmlformats.org/officeDocument/2006/relationships/hyperlink" Target="https://b2beez.ru/images/detailed/182/orig_wgtn-i3.jpg" TargetMode="External"/><Relationship Id="rId_hyperlink_2441" Type="http://schemas.openxmlformats.org/officeDocument/2006/relationships/hyperlink" Target="https://b2beez.ru/images/detailed/182/orig_yz33-hl.jpg" TargetMode="External"/><Relationship Id="rId_hyperlink_2442" Type="http://schemas.openxmlformats.org/officeDocument/2006/relationships/hyperlink" Target="https://b2beez.ru/images/detailed/182/orig_6pqf-es.jpg" TargetMode="External"/><Relationship Id="rId_hyperlink_2443" Type="http://schemas.openxmlformats.org/officeDocument/2006/relationships/hyperlink" Target="https://b2beez.ru/images/detailed/182/6247206969.jpg" TargetMode="External"/><Relationship Id="rId_hyperlink_2444" Type="http://schemas.openxmlformats.org/officeDocument/2006/relationships/hyperlink" Target="https://b2beez.ru/images/detailed/182/orig_s6wg-gp.jpg" TargetMode="External"/><Relationship Id="rId_hyperlink_2445" Type="http://schemas.openxmlformats.org/officeDocument/2006/relationships/hyperlink" Target="https://b2beez.ru/images/detailed/182/6247206946.jpg" TargetMode="External"/><Relationship Id="rId_hyperlink_2446" Type="http://schemas.openxmlformats.org/officeDocument/2006/relationships/hyperlink" Target="https://b2beez.ru/images/detailed/182/orig_4p2k-lp.jpg" TargetMode="External"/><Relationship Id="rId_hyperlink_2447" Type="http://schemas.openxmlformats.org/officeDocument/2006/relationships/hyperlink" Target="https://b2beez.ru/images/detailed/182/7150351433.jpg" TargetMode="External"/><Relationship Id="rId_hyperlink_2448" Type="http://schemas.openxmlformats.org/officeDocument/2006/relationships/hyperlink" Target="https://b2beez.ru/images/detailed/182/6247207014.jpg" TargetMode="External"/><Relationship Id="rId_hyperlink_2449" Type="http://schemas.openxmlformats.org/officeDocument/2006/relationships/hyperlink" Target="https://b2beez.ru/images/detailed/182/6247207026.jpg" TargetMode="External"/><Relationship Id="rId_hyperlink_2450" Type="http://schemas.openxmlformats.org/officeDocument/2006/relationships/hyperlink" Target="https://b2beez.ru/images/detailed/182/orig_6067-tn.jpg" TargetMode="External"/><Relationship Id="rId_hyperlink_2451" Type="http://schemas.openxmlformats.org/officeDocument/2006/relationships/hyperlink" Target="https://b2beez.ru/images/detailed/182/orig_jyhf-lj.jpg" TargetMode="External"/><Relationship Id="rId_hyperlink_2452" Type="http://schemas.openxmlformats.org/officeDocument/2006/relationships/hyperlink" Target="https://b2beez.ru/images/detailed/182/6247206996.jpg" TargetMode="External"/><Relationship Id="rId_hyperlink_2453" Type="http://schemas.openxmlformats.org/officeDocument/2006/relationships/hyperlink" Target="https://b2beez.ru/images/detailed/182/6247206964.jpg" TargetMode="External"/><Relationship Id="rId_hyperlink_2454" Type="http://schemas.openxmlformats.org/officeDocument/2006/relationships/hyperlink" Target="https://b2beez.ru/images/detailed/182/6247207031.jpg" TargetMode="External"/><Relationship Id="rId_hyperlink_2455" Type="http://schemas.openxmlformats.org/officeDocument/2006/relationships/hyperlink" Target="https://b2beez.ru/images/detailed/182/orig_s93t-61.jpg" TargetMode="External"/><Relationship Id="rId_hyperlink_2456" Type="http://schemas.openxmlformats.org/officeDocument/2006/relationships/hyperlink" Target="https://b2beez.ru/images/detailed/182/orig_9h74-bo.jpg" TargetMode="External"/><Relationship Id="rId_hyperlink_2457" Type="http://schemas.openxmlformats.org/officeDocument/2006/relationships/hyperlink" Target="https://b2beez.ru/images/detailed/182/orig_v729-c0.jpg" TargetMode="External"/><Relationship Id="rId_hyperlink_2458" Type="http://schemas.openxmlformats.org/officeDocument/2006/relationships/hyperlink" Target="https://b2beez.ru/images/detailed/48/6260253244.jpg" TargetMode="External"/><Relationship Id="rId_hyperlink_2459" Type="http://schemas.openxmlformats.org/officeDocument/2006/relationships/hyperlink" Target="https://b2beez.ru/images/detailed/48/orig_6vpr-mo.jpg" TargetMode="External"/><Relationship Id="rId_hyperlink_2460" Type="http://schemas.openxmlformats.org/officeDocument/2006/relationships/hyperlink" Target="https://b2beez.ru/images/detailed/154/orig_svq2-6b.jpg" TargetMode="External"/><Relationship Id="rId_hyperlink_2461" Type="http://schemas.openxmlformats.org/officeDocument/2006/relationships/hyperlink" Target="https://b2beez.ru/images/detailed/204/D-9137.jpg" TargetMode="External"/><Relationship Id="rId_hyperlink_2462" Type="http://schemas.openxmlformats.org/officeDocument/2006/relationships/hyperlink" Target="https://b2beez.ru/images/detailed/48/6313100929.jpg" TargetMode="External"/><Relationship Id="rId_hyperlink_2463" Type="http://schemas.openxmlformats.org/officeDocument/2006/relationships/hyperlink" Target="https://b2beez.ru/images/detailed/48/orig_a3qh-jp.jpg" TargetMode="External"/><Relationship Id="rId_hyperlink_2464" Type="http://schemas.openxmlformats.org/officeDocument/2006/relationships/hyperlink" Target="https://b2beez.ru/images/detailed/48/orig_y1c2-n4.jpg" TargetMode="External"/><Relationship Id="rId_hyperlink_2465" Type="http://schemas.openxmlformats.org/officeDocument/2006/relationships/hyperlink" Target="https://b2beez.ru/images/detailed/157/7129844415.jpg" TargetMode="External"/><Relationship Id="rId_hyperlink_2466" Type="http://schemas.openxmlformats.org/officeDocument/2006/relationships/hyperlink" Target="https://b2beez.ru/images/detailed/157/7129846154.jpg" TargetMode="External"/><Relationship Id="rId_hyperlink_2467" Type="http://schemas.openxmlformats.org/officeDocument/2006/relationships/hyperlink" Target="https://b2beez.ru/images/detailed/48/6490163664_6j9l-7a.jpg" TargetMode="External"/><Relationship Id="rId_hyperlink_2468" Type="http://schemas.openxmlformats.org/officeDocument/2006/relationships/hyperlink" Target="https://b2beez.ru/images/detailed/178/orig_3j3v-mt.jpg" TargetMode="External"/><Relationship Id="rId_hyperlink_2469" Type="http://schemas.openxmlformats.org/officeDocument/2006/relationships/hyperlink" Target="https://b2beez.ru/images/detailed/48/orig_awqt-s3.jpg" TargetMode="External"/><Relationship Id="rId_hyperlink_2470" Type="http://schemas.openxmlformats.org/officeDocument/2006/relationships/hyperlink" Target="https://b2beez.ru/images/detailed/48/orig_36ee-iq.jpg" TargetMode="External"/><Relationship Id="rId_hyperlink_2471" Type="http://schemas.openxmlformats.org/officeDocument/2006/relationships/hyperlink" Target="https://b2beez.ru/images/detailed/48/orig_6duz-yv.jpg" TargetMode="External"/><Relationship Id="rId_hyperlink_2472" Type="http://schemas.openxmlformats.org/officeDocument/2006/relationships/hyperlink" Target="https://b2beez.ru/images/detailed/48/orig_glbf-4q.jpg" TargetMode="External"/><Relationship Id="rId_hyperlink_2473" Type="http://schemas.openxmlformats.org/officeDocument/2006/relationships/hyperlink" Target="https://b2beez.ru/images/detailed/48/orig_7irj-k3.jpg" TargetMode="External"/><Relationship Id="rId_hyperlink_2474" Type="http://schemas.openxmlformats.org/officeDocument/2006/relationships/hyperlink" Target="https://b2beez.ru/images/detailed/48/orig_7db9-hm.jpg" TargetMode="External"/><Relationship Id="rId_hyperlink_2475" Type="http://schemas.openxmlformats.org/officeDocument/2006/relationships/hyperlink" Target="https://b2beez.ru/images/detailed/48/orig_wmhf-iw.jpg" TargetMode="External"/><Relationship Id="rId_hyperlink_2476" Type="http://schemas.openxmlformats.org/officeDocument/2006/relationships/hyperlink" Target="https://b2beez.ru/images/detailed/48/orig_4c5g-un.jpg" TargetMode="External"/><Relationship Id="rId_hyperlink_2477" Type="http://schemas.openxmlformats.org/officeDocument/2006/relationships/hyperlink" Target="https://b2beez.ru/images/detailed/48/orig_5dqm-u2.jpg" TargetMode="External"/><Relationship Id="rId_hyperlink_2478" Type="http://schemas.openxmlformats.org/officeDocument/2006/relationships/hyperlink" Target="https://b2beez.ru/images/detailed/48/6490163740.jpg" TargetMode="External"/><Relationship Id="rId_hyperlink_2479" Type="http://schemas.openxmlformats.org/officeDocument/2006/relationships/hyperlink" Target="https://b2beez.ru/images/detailed/48/orig_kwi4-z8.jpg" TargetMode="External"/><Relationship Id="rId_hyperlink_2480" Type="http://schemas.openxmlformats.org/officeDocument/2006/relationships/hyperlink" Target="https://b2beez.ru/images/detailed/48/orig_23yc-ad.jpg" TargetMode="External"/><Relationship Id="rId_hyperlink_2481" Type="http://schemas.openxmlformats.org/officeDocument/2006/relationships/hyperlink" Target="https://b2beez.ru/images/detailed/48/orig_pj15-3s.jpg" TargetMode="External"/><Relationship Id="rId_hyperlink_2482" Type="http://schemas.openxmlformats.org/officeDocument/2006/relationships/hyperlink" Target="https://b2beez.ru/images/detailed/48/6490164089_v4x1-gk.jpg" TargetMode="External"/><Relationship Id="rId_hyperlink_2483" Type="http://schemas.openxmlformats.org/officeDocument/2006/relationships/hyperlink" Target="https://b2beez.ru/images/detailed/48/6490164075.jpg" TargetMode="External"/><Relationship Id="rId_hyperlink_2484" Type="http://schemas.openxmlformats.org/officeDocument/2006/relationships/hyperlink" Target="https://b2beez.ru/images/detailed/160/orig_z6x9-mg.jpg" TargetMode="External"/><Relationship Id="rId_hyperlink_2485" Type="http://schemas.openxmlformats.org/officeDocument/2006/relationships/hyperlink" Target="https://b2beez.ru/images/detailed/204/1_i1wv-sh.jpg" TargetMode="External"/><Relationship Id="rId_hyperlink_2486" Type="http://schemas.openxmlformats.org/officeDocument/2006/relationships/hyperlink" Target="https://b2beez.ru/images/detailed/48/6490178027.jpg" TargetMode="External"/><Relationship Id="rId_hyperlink_2487" Type="http://schemas.openxmlformats.org/officeDocument/2006/relationships/hyperlink" Target="https://b2beez.ru/images/detailed/48/6490164016_6u89-ev.jpg" TargetMode="External"/><Relationship Id="rId_hyperlink_2488" Type="http://schemas.openxmlformats.org/officeDocument/2006/relationships/hyperlink" Target="https://b2beez.ru/images/detailed/48/orig_3bz4-py.jpg" TargetMode="External"/><Relationship Id="rId_hyperlink_2489" Type="http://schemas.openxmlformats.org/officeDocument/2006/relationships/hyperlink" Target="https://b2beez.ru/images/detailed/48/orig_t36r-cl.jpg" TargetMode="External"/><Relationship Id="rId_hyperlink_2490" Type="http://schemas.openxmlformats.org/officeDocument/2006/relationships/hyperlink" Target="https://b2beez.ru/images/detailed/48/orig_vtye-kg.jpg" TargetMode="External"/><Relationship Id="rId_hyperlink_2491" Type="http://schemas.openxmlformats.org/officeDocument/2006/relationships/hyperlink" Target="https://b2beez.ru/images/detailed/48/orig_lmdw-1m.jpg" TargetMode="External"/><Relationship Id="rId_hyperlink_2492" Type="http://schemas.openxmlformats.org/officeDocument/2006/relationships/hyperlink" Target="https://b2beez.ru/images/detailed/48/orig_kvvz-0m.jpg" TargetMode="External"/><Relationship Id="rId_hyperlink_2493" Type="http://schemas.openxmlformats.org/officeDocument/2006/relationships/hyperlink" Target="https://b2beez.ru/images/detailed/48/orig_agn1-kv.jpg" TargetMode="External"/><Relationship Id="rId_hyperlink_2494" Type="http://schemas.openxmlformats.org/officeDocument/2006/relationships/hyperlink" Target="https://b2beez.ru/images/detailed/48/orig_g9dk-qc.jpg" TargetMode="External"/><Relationship Id="rId_hyperlink_2495" Type="http://schemas.openxmlformats.org/officeDocument/2006/relationships/hyperlink" Target="https://b2beez.ru/images/detailed/48/orig_yn33-h0.jpg" TargetMode="External"/><Relationship Id="rId_hyperlink_2496" Type="http://schemas.openxmlformats.org/officeDocument/2006/relationships/hyperlink" Target="https://b2beez.ru/images/detailed/48/orig_91pr-9k.jpg" TargetMode="External"/><Relationship Id="rId_hyperlink_2497" Type="http://schemas.openxmlformats.org/officeDocument/2006/relationships/hyperlink" Target="https://b2beez.ru/images/detailed/48/orig_jyec-en.jpg" TargetMode="External"/><Relationship Id="rId_hyperlink_2498" Type="http://schemas.openxmlformats.org/officeDocument/2006/relationships/hyperlink" Target="https://b2beez.ru/images/detailed/48/orig_ha60-zq.jpg" TargetMode="External"/><Relationship Id="rId_hyperlink_2499" Type="http://schemas.openxmlformats.org/officeDocument/2006/relationships/hyperlink" Target="https://b2beez.ru/images/detailed/48/orig_332n-xu.jpg" TargetMode="External"/><Relationship Id="rId_hyperlink_2500" Type="http://schemas.openxmlformats.org/officeDocument/2006/relationships/hyperlink" Target="https://b2beez.ru/images/detailed/48/orig_85qd-pz.jpg" TargetMode="External"/><Relationship Id="rId_hyperlink_2501" Type="http://schemas.openxmlformats.org/officeDocument/2006/relationships/hyperlink" Target="https://b2beez.ru/images/detailed/0/" TargetMode="External"/><Relationship Id="rId_hyperlink_2502" Type="http://schemas.openxmlformats.org/officeDocument/2006/relationships/hyperlink" Target="https://b2beez.ru/images/detailed/0/" TargetMode="External"/><Relationship Id="rId_hyperlink_2503" Type="http://schemas.openxmlformats.org/officeDocument/2006/relationships/hyperlink" Target="https://b2beez.ru/images/detailed/168/orig_9su0-2q.jpg" TargetMode="External"/><Relationship Id="rId_hyperlink_2504" Type="http://schemas.openxmlformats.org/officeDocument/2006/relationships/hyperlink" Target="https://b2beez.ru/images/detailed/176/6916317001.jpg" TargetMode="External"/><Relationship Id="rId_hyperlink_2505" Type="http://schemas.openxmlformats.org/officeDocument/2006/relationships/hyperlink" Target="https://b2beez.ru/images/detailed/48/orig_mze6-bb.jpg" TargetMode="External"/><Relationship Id="rId_hyperlink_2506" Type="http://schemas.openxmlformats.org/officeDocument/2006/relationships/hyperlink" Target="https://b2beez.ru/images/detailed/48/orig_5ksd-u6.jpg" TargetMode="External"/><Relationship Id="rId_hyperlink_2507" Type="http://schemas.openxmlformats.org/officeDocument/2006/relationships/hyperlink" Target="https://b2beez.ru/images/detailed/47/orig_f4zl-yx.jpg" TargetMode="External"/><Relationship Id="rId_hyperlink_2508" Type="http://schemas.openxmlformats.org/officeDocument/2006/relationships/hyperlink" Target="https://b2beez.ru/images/detailed/48/orig_w7kj-sl.jpg" TargetMode="External"/><Relationship Id="rId_hyperlink_2509" Type="http://schemas.openxmlformats.org/officeDocument/2006/relationships/hyperlink" Target="https://b2beez.ru/images/detailed/48/orig_oyqe-pf.jpg" TargetMode="External"/><Relationship Id="rId_hyperlink_2510" Type="http://schemas.openxmlformats.org/officeDocument/2006/relationships/hyperlink" Target="https://b2beez.ru/images/detailed/48/orig_0m56-ut.jpg" TargetMode="External"/><Relationship Id="rId_hyperlink_2511" Type="http://schemas.openxmlformats.org/officeDocument/2006/relationships/hyperlink" Target="https://b2beez.ru/images/detailed/48/orig_27ke-67.jpg" TargetMode="External"/><Relationship Id="rId_hyperlink_2512" Type="http://schemas.openxmlformats.org/officeDocument/2006/relationships/hyperlink" Target="https://b2beez.ru/images/detailed/48/orig_axnv-r9.jpg" TargetMode="External"/><Relationship Id="rId_hyperlink_2513" Type="http://schemas.openxmlformats.org/officeDocument/2006/relationships/hyperlink" Target="https://b2beez.ru/images/detailed/48/orig_mrnr-yx.jpg" TargetMode="External"/><Relationship Id="rId_hyperlink_2514" Type="http://schemas.openxmlformats.org/officeDocument/2006/relationships/hyperlink" Target="https://b2beez.ru/images/detailed/178/7181482950.jpg" TargetMode="External"/><Relationship Id="rId_hyperlink_2515" Type="http://schemas.openxmlformats.org/officeDocument/2006/relationships/hyperlink" Target="https://b2beez.ru/images/detailed/160/6862252299.jpg" TargetMode="External"/><Relationship Id="rId_hyperlink_2516" Type="http://schemas.openxmlformats.org/officeDocument/2006/relationships/hyperlink" Target="https://b2beez.ru/images/detailed/160/6861966554.jpg" TargetMode="External"/><Relationship Id="rId_hyperlink_2517" Type="http://schemas.openxmlformats.org/officeDocument/2006/relationships/hyperlink" Target="https://b2beez.ru/images/detailed/48/orig_32go-h0.jpg" TargetMode="External"/><Relationship Id="rId_hyperlink_2518" Type="http://schemas.openxmlformats.org/officeDocument/2006/relationships/hyperlink" Target="https://b2beez.ru/images/detailed/48/6495470577.jpg" TargetMode="External"/><Relationship Id="rId_hyperlink_2519" Type="http://schemas.openxmlformats.org/officeDocument/2006/relationships/hyperlink" Target="https://b2beez.ru/images/detailed/48/orig_pmar-no.png" TargetMode="External"/><Relationship Id="rId_hyperlink_2520" Type="http://schemas.openxmlformats.org/officeDocument/2006/relationships/hyperlink" Target="https://b2beez.ru/images/detailed/48/orig_ev3x-6f.jpg" TargetMode="External"/><Relationship Id="rId_hyperlink_2521" Type="http://schemas.openxmlformats.org/officeDocument/2006/relationships/hyperlink" Target="https://b2beez.ru/images/detailed/48/orig_j8lv-cb.jpg" TargetMode="External"/><Relationship Id="rId_hyperlink_2522" Type="http://schemas.openxmlformats.org/officeDocument/2006/relationships/hyperlink" Target="https://b2beez.ru/images/detailed/48/6490163842.jpg" TargetMode="External"/><Relationship Id="rId_hyperlink_2523" Type="http://schemas.openxmlformats.org/officeDocument/2006/relationships/hyperlink" Target="https://b2beez.ru/images/detailed/48/orig_9gsl-ah.jpg" TargetMode="External"/><Relationship Id="rId_hyperlink_2524" Type="http://schemas.openxmlformats.org/officeDocument/2006/relationships/hyperlink" Target="https://b2beez.ru/images/detailed/48/orig_fivk-es.jpg" TargetMode="External"/><Relationship Id="rId_hyperlink_2525" Type="http://schemas.openxmlformats.org/officeDocument/2006/relationships/hyperlink" Target="https://b2beez.ru/images/detailed/48/orig_3whp-gi.jpg" TargetMode="External"/><Relationship Id="rId_hyperlink_2526" Type="http://schemas.openxmlformats.org/officeDocument/2006/relationships/hyperlink" Target="https://b2beez.ru/images/detailed/48/orig_jr28-10.jpg" TargetMode="External"/><Relationship Id="rId_hyperlink_2527" Type="http://schemas.openxmlformats.org/officeDocument/2006/relationships/hyperlink" Target="https://b2beez.ru/images/detailed/48/orig_i08a-zq.jpg" TargetMode="External"/><Relationship Id="rId_hyperlink_2528" Type="http://schemas.openxmlformats.org/officeDocument/2006/relationships/hyperlink" Target="https://b2beez.ru/images/detailed/48/orig_6xhe-wh.jpg" TargetMode="External"/><Relationship Id="rId_hyperlink_2529" Type="http://schemas.openxmlformats.org/officeDocument/2006/relationships/hyperlink" Target="https://b2beez.ru/images/detailed/92/7181154230.jpg" TargetMode="External"/><Relationship Id="rId_hyperlink_2530" Type="http://schemas.openxmlformats.org/officeDocument/2006/relationships/hyperlink" Target="https://b2beez.ru/images/detailed/48/orig_wmro-j0.jpg" TargetMode="External"/><Relationship Id="rId_hyperlink_2531" Type="http://schemas.openxmlformats.org/officeDocument/2006/relationships/hyperlink" Target="https://b2beez.ru/images/detailed/48/orig_hnu0-eq.jpg" TargetMode="External"/><Relationship Id="rId_hyperlink_2532" Type="http://schemas.openxmlformats.org/officeDocument/2006/relationships/hyperlink" Target="https://b2beez.ru/images/detailed/48/orig_upmo-pk.jpg" TargetMode="External"/><Relationship Id="rId_hyperlink_2533" Type="http://schemas.openxmlformats.org/officeDocument/2006/relationships/hyperlink" Target="https://b2beez.ru/images/detailed/153/orig_of1t-9a.jpg" TargetMode="External"/><Relationship Id="rId_hyperlink_2534" Type="http://schemas.openxmlformats.org/officeDocument/2006/relationships/hyperlink" Target="https://b2beez.ru/images/detailed/153/orig_cted-k6.jpg" TargetMode="External"/><Relationship Id="rId_hyperlink_2535" Type="http://schemas.openxmlformats.org/officeDocument/2006/relationships/hyperlink" Target="https://b2beez.ru/images/detailed/153/orig_bp2z-am.jpg" TargetMode="External"/><Relationship Id="rId_hyperlink_2536" Type="http://schemas.openxmlformats.org/officeDocument/2006/relationships/hyperlink" Target="https://b2beez.ru/images/detailed/153/orig_3rs4-54.jpg" TargetMode="External"/><Relationship Id="rId_hyperlink_2537" Type="http://schemas.openxmlformats.org/officeDocument/2006/relationships/hyperlink" Target="https://b2beez.ru/images/detailed/153/orig_tlyy-vz.jpg" TargetMode="External"/><Relationship Id="rId_hyperlink_2538" Type="http://schemas.openxmlformats.org/officeDocument/2006/relationships/hyperlink" Target="https://b2beez.ru/images/detailed/153/orig_pt0o-w9.jpg" TargetMode="External"/><Relationship Id="rId_hyperlink_2539" Type="http://schemas.openxmlformats.org/officeDocument/2006/relationships/hyperlink" Target="https://b2beez.ru/images/detailed/153/orig_4pxc-x2.jpg" TargetMode="External"/><Relationship Id="rId_hyperlink_2540" Type="http://schemas.openxmlformats.org/officeDocument/2006/relationships/hyperlink" Target="https://b2beez.ru/images/detailed/153/orig_sjmu-j4.jpg" TargetMode="External"/><Relationship Id="rId_hyperlink_2541" Type="http://schemas.openxmlformats.org/officeDocument/2006/relationships/hyperlink" Target="https://b2beez.ru/images/detailed/153/orig_56iu-t0.jpg" TargetMode="External"/><Relationship Id="rId_hyperlink_2542" Type="http://schemas.openxmlformats.org/officeDocument/2006/relationships/hyperlink" Target="https://b2beez.ru/images/detailed/48/orig_8bzl-gd.jpg" TargetMode="External"/><Relationship Id="rId_hyperlink_2543" Type="http://schemas.openxmlformats.org/officeDocument/2006/relationships/hyperlink" Target="https://b2beez.ru/images/detailed/48/orig_x6mn-qt.jpg" TargetMode="External"/><Relationship Id="rId_hyperlink_2544" Type="http://schemas.openxmlformats.org/officeDocument/2006/relationships/hyperlink" Target="https://b2beez.ru/images/detailed/48/orig_85ku-gg.jpg" TargetMode="External"/><Relationship Id="rId_hyperlink_2545" Type="http://schemas.openxmlformats.org/officeDocument/2006/relationships/hyperlink" Target="https://b2beez.ru/images/detailed/48/orig_zm2m-cf.jpg" TargetMode="External"/><Relationship Id="rId_hyperlink_2546" Type="http://schemas.openxmlformats.org/officeDocument/2006/relationships/hyperlink" Target="https://b2beez.ru/images/detailed/157/6243586132.jpg" TargetMode="External"/><Relationship Id="rId_hyperlink_2547" Type="http://schemas.openxmlformats.org/officeDocument/2006/relationships/hyperlink" Target="https://b2beez.ru/images/detailed/157/6495850974.jpg" TargetMode="External"/><Relationship Id="rId_hyperlink_2548" Type="http://schemas.openxmlformats.org/officeDocument/2006/relationships/hyperlink" Target="https://b2beez.ru/images/detailed/166/orig_jhgw-sm.jpg" TargetMode="External"/><Relationship Id="rId_hyperlink_2549" Type="http://schemas.openxmlformats.org/officeDocument/2006/relationships/hyperlink" Target="https://b2beez.ru/images/detailed/166/orig_oji2-4s.jpg" TargetMode="External"/><Relationship Id="rId_hyperlink_2550" Type="http://schemas.openxmlformats.org/officeDocument/2006/relationships/hyperlink" Target="https://b2beez.ru/images/detailed/176/orig_s8s7-qu.jpg" TargetMode="External"/><Relationship Id="rId_hyperlink_2551" Type="http://schemas.openxmlformats.org/officeDocument/2006/relationships/hyperlink" Target="https://b2beez.ru/images/detailed/167/6243585817.jpg" TargetMode="External"/><Relationship Id="rId_hyperlink_2552" Type="http://schemas.openxmlformats.org/officeDocument/2006/relationships/hyperlink" Target="https://b2beez.ru/images/detailed/155/orig_g4lq-3k.jpg" TargetMode="External"/><Relationship Id="rId_hyperlink_2553" Type="http://schemas.openxmlformats.org/officeDocument/2006/relationships/hyperlink" Target="https://b2beez.ru/images/detailed/48/6490164060.jpg" TargetMode="External"/><Relationship Id="rId_hyperlink_2554" Type="http://schemas.openxmlformats.org/officeDocument/2006/relationships/hyperlink" Target="https://b2beez.ru/images/detailed/171/orig_0ahk-9t.jpg" TargetMode="External"/><Relationship Id="rId_hyperlink_2555" Type="http://schemas.openxmlformats.org/officeDocument/2006/relationships/hyperlink" Target="https://b2beez.ru/images/detailed/48/orig_ijxy-bz.jpg" TargetMode="External"/><Relationship Id="rId_hyperlink_2556" Type="http://schemas.openxmlformats.org/officeDocument/2006/relationships/hyperlink" Target="https://b2beez.ru/images/detailed/48/orig_0467-1e.jpg" TargetMode="External"/><Relationship Id="rId_hyperlink_2557" Type="http://schemas.openxmlformats.org/officeDocument/2006/relationships/hyperlink" Target="https://b2beez.ru/images/detailed/48/orig_whm1-a4.jpg" TargetMode="External"/><Relationship Id="rId_hyperlink_2558" Type="http://schemas.openxmlformats.org/officeDocument/2006/relationships/hyperlink" Target="https://b2beez.ru/images/detailed/48/6490163625.jpg" TargetMode="External"/><Relationship Id="rId_hyperlink_2559" Type="http://schemas.openxmlformats.org/officeDocument/2006/relationships/hyperlink" Target="https://b2beez.ru/images/detailed/48/6490163997.jpg" TargetMode="External"/><Relationship Id="rId_hyperlink_2560" Type="http://schemas.openxmlformats.org/officeDocument/2006/relationships/hyperlink" Target="https://b2beez.ru/images/detailed/48/orig_kh1e-3x.jpg" TargetMode="External"/><Relationship Id="rId_hyperlink_2561" Type="http://schemas.openxmlformats.org/officeDocument/2006/relationships/hyperlink" Target="https://b2beez.ru/images/detailed/48/6923472541.jpg" TargetMode="External"/><Relationship Id="rId_hyperlink_2562" Type="http://schemas.openxmlformats.org/officeDocument/2006/relationships/hyperlink" Target="https://b2beez.ru/images/detailed/48/orig_l1aa-pn.jpg" TargetMode="External"/><Relationship Id="rId_hyperlink_2563" Type="http://schemas.openxmlformats.org/officeDocument/2006/relationships/hyperlink" Target="https://b2beez.ru/images/detailed/48/6633831951.jpg" TargetMode="External"/><Relationship Id="rId_hyperlink_2564" Type="http://schemas.openxmlformats.org/officeDocument/2006/relationships/hyperlink" Target="https://b2beez.ru/images/detailed/48/6633170351_qtrr-lb.jpg" TargetMode="External"/><Relationship Id="rId_hyperlink_2565" Type="http://schemas.openxmlformats.org/officeDocument/2006/relationships/hyperlink" Target="https://b2beez.ru/images/detailed/48/orig_pil9-ue.jpg" TargetMode="External"/><Relationship Id="rId_hyperlink_2566" Type="http://schemas.openxmlformats.org/officeDocument/2006/relationships/hyperlink" Target="https://b2beez.ru/images/detailed/48/orig_pe2l-9w.jpg" TargetMode="External"/><Relationship Id="rId_hyperlink_2567" Type="http://schemas.openxmlformats.org/officeDocument/2006/relationships/hyperlink" Target="https://b2beez.ru/images/detailed/48/orig_tg37-oy.jpg" TargetMode="External"/><Relationship Id="rId_hyperlink_2568" Type="http://schemas.openxmlformats.org/officeDocument/2006/relationships/hyperlink" Target="https://b2beez.ru/images/detailed/48/orig_mxin-r2.jpg" TargetMode="External"/><Relationship Id="rId_hyperlink_2569" Type="http://schemas.openxmlformats.org/officeDocument/2006/relationships/hyperlink" Target="https://b2beez.ru/images/detailed/48/orig_m4jq-hl.jpg" TargetMode="External"/><Relationship Id="rId_hyperlink_2570" Type="http://schemas.openxmlformats.org/officeDocument/2006/relationships/hyperlink" Target="https://b2beez.ru/images/detailed/48/orig_cdy5-v5.jpg" TargetMode="External"/><Relationship Id="rId_hyperlink_2571" Type="http://schemas.openxmlformats.org/officeDocument/2006/relationships/hyperlink" Target="https://b2beez.ru/images/detailed/48/orig_82vy-qj.jpg" TargetMode="External"/><Relationship Id="rId_hyperlink_2572" Type="http://schemas.openxmlformats.org/officeDocument/2006/relationships/hyperlink" Target="https://b2beez.ru/images/detailed/48/orig_yh5e-gw.jpg" TargetMode="External"/><Relationship Id="rId_hyperlink_2573" Type="http://schemas.openxmlformats.org/officeDocument/2006/relationships/hyperlink" Target="https://b2beez.ru/images/detailed/48/orig_ufx5-tk.jpg" TargetMode="External"/><Relationship Id="rId_hyperlink_2574" Type="http://schemas.openxmlformats.org/officeDocument/2006/relationships/hyperlink" Target="https://b2beez.ru/images/detailed/48/orig_myzq-8n.jpg" TargetMode="External"/><Relationship Id="rId_hyperlink_2575" Type="http://schemas.openxmlformats.org/officeDocument/2006/relationships/hyperlink" Target="https://b2beez.ru/images/detailed/48/orig_x2im-59.jpg" TargetMode="External"/><Relationship Id="rId_hyperlink_2576" Type="http://schemas.openxmlformats.org/officeDocument/2006/relationships/hyperlink" Target="https://b2beez.ru/images/detailed/160/orig_lpsa-f9.jpg" TargetMode="External"/><Relationship Id="rId_hyperlink_2577" Type="http://schemas.openxmlformats.org/officeDocument/2006/relationships/hyperlink" Target="https://b2beez.ru/images/detailed/48/orig_lwjw-ga.jpg" TargetMode="External"/><Relationship Id="rId_hyperlink_2578" Type="http://schemas.openxmlformats.org/officeDocument/2006/relationships/hyperlink" Target="https://b2beez.ru/images/detailed/48/orig_8cp8-6x.jpg" TargetMode="External"/><Relationship Id="rId_hyperlink_2579" Type="http://schemas.openxmlformats.org/officeDocument/2006/relationships/hyperlink" Target="https://b2beez.ru/images/detailed/48/orig_y8gi-14.jpg" TargetMode="External"/><Relationship Id="rId_hyperlink_2580" Type="http://schemas.openxmlformats.org/officeDocument/2006/relationships/hyperlink" Target="https://b2beez.ru/images/detailed/48/orig_sol2-n5.jpg" TargetMode="External"/><Relationship Id="rId_hyperlink_2581" Type="http://schemas.openxmlformats.org/officeDocument/2006/relationships/hyperlink" Target="https://b2beez.ru/images/detailed/48/orig_1j9h-51.jpg" TargetMode="External"/><Relationship Id="rId_hyperlink_2582" Type="http://schemas.openxmlformats.org/officeDocument/2006/relationships/hyperlink" Target="https://b2beez.ru/images/detailed/153/orig_sdoz-6g.jpg" TargetMode="External"/><Relationship Id="rId_hyperlink_2583" Type="http://schemas.openxmlformats.org/officeDocument/2006/relationships/hyperlink" Target="https://b2beez.ru/images/detailed/48/orig_csz3-sy.jpg" TargetMode="External"/><Relationship Id="rId_hyperlink_2584" Type="http://schemas.openxmlformats.org/officeDocument/2006/relationships/hyperlink" Target="https://b2beez.ru/images/detailed/48/orig_6618-ci.jpg" TargetMode="External"/><Relationship Id="rId_hyperlink_2585" Type="http://schemas.openxmlformats.org/officeDocument/2006/relationships/hyperlink" Target="https://b2beez.ru/images/detailed/173/orig_nv28-6d.jpg" TargetMode="External"/><Relationship Id="rId_hyperlink_2586" Type="http://schemas.openxmlformats.org/officeDocument/2006/relationships/hyperlink" Target="https://b2beez.ru/images/detailed/167/6243585893.jpg" TargetMode="External"/><Relationship Id="rId_hyperlink_2587" Type="http://schemas.openxmlformats.org/officeDocument/2006/relationships/hyperlink" Target="https://b2beez.ru/images/detailed/167/6243585797.jpg" TargetMode="External"/><Relationship Id="rId_hyperlink_2588" Type="http://schemas.openxmlformats.org/officeDocument/2006/relationships/hyperlink" Target="https://b2beez.ru/images/detailed/168/orig_maeo-6m.jpg" TargetMode="External"/><Relationship Id="rId_hyperlink_2589" Type="http://schemas.openxmlformats.org/officeDocument/2006/relationships/hyperlink" Target="https://b2beez.ru/images/detailed/168/6243585895.jpg" TargetMode="External"/><Relationship Id="rId_hyperlink_2590" Type="http://schemas.openxmlformats.org/officeDocument/2006/relationships/hyperlink" Target="https://b2beez.ru/images/detailed/169/orig_fw6g-8i.jpg" TargetMode="External"/><Relationship Id="rId_hyperlink_2591" Type="http://schemas.openxmlformats.org/officeDocument/2006/relationships/hyperlink" Target="https://b2beez.ru/images/detailed/169/orig_prd3-7f.jpg" TargetMode="External"/><Relationship Id="rId_hyperlink_2592" Type="http://schemas.openxmlformats.org/officeDocument/2006/relationships/hyperlink" Target="https://b2beez.ru/images/detailed/171/6243586014.jpg" TargetMode="External"/><Relationship Id="rId_hyperlink_2593" Type="http://schemas.openxmlformats.org/officeDocument/2006/relationships/hyperlink" Target="https://b2beez.ru/images/detailed/179/6243585976.jpg" TargetMode="External"/><Relationship Id="rId_hyperlink_2594" Type="http://schemas.openxmlformats.org/officeDocument/2006/relationships/hyperlink" Target="https://b2beez.ru/images/detailed/179/6243586092.jpg" TargetMode="External"/><Relationship Id="rId_hyperlink_2595" Type="http://schemas.openxmlformats.org/officeDocument/2006/relationships/hyperlink" Target="https://b2beez.ru/images/detailed/204/Z-83.jpg" TargetMode="External"/><Relationship Id="rId_hyperlink_2596" Type="http://schemas.openxmlformats.org/officeDocument/2006/relationships/hyperlink" Target="https://b2beez.ru/images/detailed/161/6243586105.jpg" TargetMode="External"/><Relationship Id="rId_hyperlink_2597" Type="http://schemas.openxmlformats.org/officeDocument/2006/relationships/hyperlink" Target="https://b2beez.ru/images/detailed/161/6243585773.jpg" TargetMode="External"/><Relationship Id="rId_hyperlink_2598" Type="http://schemas.openxmlformats.org/officeDocument/2006/relationships/hyperlink" Target="https://b2beez.ru/images/detailed/167/6243586286.jpg" TargetMode="External"/><Relationship Id="rId_hyperlink_2599" Type="http://schemas.openxmlformats.org/officeDocument/2006/relationships/hyperlink" Target="https://b2beez.ru/images/detailed/173/6243586113.jpg" TargetMode="External"/><Relationship Id="rId_hyperlink_2600" Type="http://schemas.openxmlformats.org/officeDocument/2006/relationships/hyperlink" Target="https://b2beez.ru/images/detailed/173/6243585781.jpg" TargetMode="External"/><Relationship Id="rId_hyperlink_2601" Type="http://schemas.openxmlformats.org/officeDocument/2006/relationships/hyperlink" Target="https://b2beez.ru/images/detailed/176/orig_b0k5-y4.jpg" TargetMode="External"/><Relationship Id="rId_hyperlink_2602" Type="http://schemas.openxmlformats.org/officeDocument/2006/relationships/hyperlink" Target="https://b2beez.ru/images/detailed/178/6187548938.jpg" TargetMode="External"/><Relationship Id="rId_hyperlink_2603" Type="http://schemas.openxmlformats.org/officeDocument/2006/relationships/hyperlink" Target="https://b2beez.ru/images/detailed/179/orig_a4z7-ca.jpg" TargetMode="External"/><Relationship Id="rId_hyperlink_2604" Type="http://schemas.openxmlformats.org/officeDocument/2006/relationships/hyperlink" Target="https://b2beez.ru/images/detailed/177/orig_eplw-1o.jpg" TargetMode="External"/><Relationship Id="rId_hyperlink_2605" Type="http://schemas.openxmlformats.org/officeDocument/2006/relationships/hyperlink" Target="https://b2beez.ru/images/detailed/174/orig_bvv3-3w.jpg" TargetMode="External"/><Relationship Id="rId_hyperlink_2606" Type="http://schemas.openxmlformats.org/officeDocument/2006/relationships/hyperlink" Target="https://b2beez.ru/images/detailed/156/orig_s0ej-aj.jpg" TargetMode="External"/><Relationship Id="rId_hyperlink_2607" Type="http://schemas.openxmlformats.org/officeDocument/2006/relationships/hyperlink" Target="https://b2beez.ru/images/detailed/161/6847199738.jpg" TargetMode="External"/><Relationship Id="rId_hyperlink_2608" Type="http://schemas.openxmlformats.org/officeDocument/2006/relationships/hyperlink" Target="https://b2beez.ru/images/detailed/174/6241667215.jpg" TargetMode="External"/><Relationship Id="rId_hyperlink_2609" Type="http://schemas.openxmlformats.org/officeDocument/2006/relationships/hyperlink" Target="https://b2beez.ru/images/detailed/188/orig_86uj-jm.jpg" TargetMode="External"/><Relationship Id="rId_hyperlink_2610" Type="http://schemas.openxmlformats.org/officeDocument/2006/relationships/hyperlink" Target="https://b2beez.ru/images/detailed/188/orig_etwu-ir.jpg" TargetMode="External"/><Relationship Id="rId_hyperlink_2611" Type="http://schemas.openxmlformats.org/officeDocument/2006/relationships/hyperlink" Target="https://b2beez.ru/images/detailed/188/orig_ht96-ax.jpg" TargetMode="External"/><Relationship Id="rId_hyperlink_2612" Type="http://schemas.openxmlformats.org/officeDocument/2006/relationships/hyperlink" Target="https://b2beez.ru/images/detailed/188/orig_gllo-43.jpg" TargetMode="External"/><Relationship Id="rId_hyperlink_2613" Type="http://schemas.openxmlformats.org/officeDocument/2006/relationships/hyperlink" Target="https://b2beez.ru/images/detailed/188/orig_3sye-jg.jpg" TargetMode="External"/><Relationship Id="rId_hyperlink_2614" Type="http://schemas.openxmlformats.org/officeDocument/2006/relationships/hyperlink" Target="https://b2beez.ru/images/detailed/188/orig_asz4-kg.jpg" TargetMode="External"/><Relationship Id="rId_hyperlink_2615" Type="http://schemas.openxmlformats.org/officeDocument/2006/relationships/hyperlink" Target="https://b2beez.ru/images/detailed/173/orig_jad3-rr.jpg" TargetMode="External"/><Relationship Id="rId_hyperlink_2616" Type="http://schemas.openxmlformats.org/officeDocument/2006/relationships/hyperlink" Target="https://b2beez.ru/images/detailed/173/orig_h1et-y3.jpg" TargetMode="External"/><Relationship Id="rId_hyperlink_2617" Type="http://schemas.openxmlformats.org/officeDocument/2006/relationships/hyperlink" Target="https://b2beez.ru/images/detailed/182/orig_63id-5v.jpg" TargetMode="External"/><Relationship Id="rId_hyperlink_2618" Type="http://schemas.openxmlformats.org/officeDocument/2006/relationships/hyperlink" Target="https://b2beez.ru/images/detailed/172/orig_n8p2-f1.jpg" TargetMode="External"/><Relationship Id="rId_hyperlink_2619" Type="http://schemas.openxmlformats.org/officeDocument/2006/relationships/hyperlink" Target="https://b2beez.ru/images/detailed/172/orig_ahkg-x5.jpg" TargetMode="External"/><Relationship Id="rId_hyperlink_2620" Type="http://schemas.openxmlformats.org/officeDocument/2006/relationships/hyperlink" Target="https://b2beez.ru/images/detailed/172/orig_iylg-ix.jpg" TargetMode="External"/><Relationship Id="rId_hyperlink_2621" Type="http://schemas.openxmlformats.org/officeDocument/2006/relationships/hyperlink" Target="https://b2beez.ru/images/detailed/172/orig_qr7s-tm.jpg" TargetMode="External"/><Relationship Id="rId_hyperlink_2622" Type="http://schemas.openxmlformats.org/officeDocument/2006/relationships/hyperlink" Target="https://b2beez.ru/images/detailed/172/orig_5er1-j1.jpg" TargetMode="External"/><Relationship Id="rId_hyperlink_2623" Type="http://schemas.openxmlformats.org/officeDocument/2006/relationships/hyperlink" Target="https://b2beez.ru/images/detailed/172/orig_hxlz-4i.jpg" TargetMode="External"/><Relationship Id="rId_hyperlink_2624" Type="http://schemas.openxmlformats.org/officeDocument/2006/relationships/hyperlink" Target="https://b2beez.ru/images/detailed/48/orig_d8v1-jv.jpg" TargetMode="External"/><Relationship Id="rId_hyperlink_2625" Type="http://schemas.openxmlformats.org/officeDocument/2006/relationships/hyperlink" Target="https://b2beez.ru/images/detailed/48/6923483021.jpg" TargetMode="External"/><Relationship Id="rId_hyperlink_2626" Type="http://schemas.openxmlformats.org/officeDocument/2006/relationships/hyperlink" Target="https://b2beez.ru/images/detailed/48/orig_fo5d-3r.jpg" TargetMode="External"/><Relationship Id="rId_hyperlink_2627" Type="http://schemas.openxmlformats.org/officeDocument/2006/relationships/hyperlink" Target="https://b2beez.ru/images/detailed/154/orig_j4hq-hh.jpg" TargetMode="External"/><Relationship Id="rId_hyperlink_2628" Type="http://schemas.openxmlformats.org/officeDocument/2006/relationships/hyperlink" Target="https://b2beez.ru/images/detailed/187/orig_mm1g-mr.jpg" TargetMode="External"/><Relationship Id="rId_hyperlink_2629" Type="http://schemas.openxmlformats.org/officeDocument/2006/relationships/hyperlink" Target="https://b2beez.ru/images/detailed/179/6862004945.jpg" TargetMode="External"/><Relationship Id="rId_hyperlink_2630" Type="http://schemas.openxmlformats.org/officeDocument/2006/relationships/hyperlink" Target="https://b2beez.ru/images/detailed/187/6861988448.jpg" TargetMode="External"/><Relationship Id="rId_hyperlink_2631" Type="http://schemas.openxmlformats.org/officeDocument/2006/relationships/hyperlink" Target="https://b2beez.ru/images/detailed/187/orig_c1ul-ak.png" TargetMode="External"/><Relationship Id="rId_hyperlink_2632" Type="http://schemas.openxmlformats.org/officeDocument/2006/relationships/hyperlink" Target="https://b2beez.ru/images/detailed/187/orig_enmi-hl.jpg" TargetMode="External"/><Relationship Id="rId_hyperlink_2633" Type="http://schemas.openxmlformats.org/officeDocument/2006/relationships/hyperlink" Target="https://b2beez.ru/images/detailed/153/orig_aj1g-vj.jpg" TargetMode="External"/><Relationship Id="rId_hyperlink_2634" Type="http://schemas.openxmlformats.org/officeDocument/2006/relationships/hyperlink" Target="https://b2beez.ru/images/detailed/172/orig_ryo0-hw.jpg" TargetMode="External"/><Relationship Id="rId_hyperlink_2635" Type="http://schemas.openxmlformats.org/officeDocument/2006/relationships/hyperlink" Target="https://b2beez.ru/images/detailed/161/orig_r2p2-pz.jpg" TargetMode="External"/><Relationship Id="rId_hyperlink_2636" Type="http://schemas.openxmlformats.org/officeDocument/2006/relationships/hyperlink" Target="https://b2beez.ru/images/detailed/205/1_l2sh-dh.jpg" TargetMode="External"/><Relationship Id="rId_hyperlink_2637" Type="http://schemas.openxmlformats.org/officeDocument/2006/relationships/hyperlink" Target="https://b2beez.ru/images/detailed/171/7061810034.jpg" TargetMode="External"/><Relationship Id="rId_hyperlink_2638" Type="http://schemas.openxmlformats.org/officeDocument/2006/relationships/hyperlink" Target="https://b2beez.ru/images/detailed/0/" TargetMode="External"/><Relationship Id="rId_hyperlink_2639" Type="http://schemas.openxmlformats.org/officeDocument/2006/relationships/hyperlink" Target="https://b2beez.ru/images/detailed/48/6242949157.jpg" TargetMode="External"/><Relationship Id="rId_hyperlink_2640" Type="http://schemas.openxmlformats.org/officeDocument/2006/relationships/hyperlink" Target="https://b2beez.ru/images/detailed/48/orig_m84a-4i.jpg" TargetMode="External"/><Relationship Id="rId_hyperlink_2641" Type="http://schemas.openxmlformats.org/officeDocument/2006/relationships/hyperlink" Target="https://b2beez.ru/images/detailed/166/7155198652.jpg" TargetMode="External"/><Relationship Id="rId_hyperlink_2642" Type="http://schemas.openxmlformats.org/officeDocument/2006/relationships/hyperlink" Target="https://b2beez.ru/images/detailed/175/orig_ynvp-c0.jpg" TargetMode="External"/><Relationship Id="rId_hyperlink_2643" Type="http://schemas.openxmlformats.org/officeDocument/2006/relationships/hyperlink" Target="https://b2beez.ru/images/detailed/169/orig_824j-wg.jpg" TargetMode="External"/><Relationship Id="rId_hyperlink_2644" Type="http://schemas.openxmlformats.org/officeDocument/2006/relationships/hyperlink" Target="https://b2beez.ru/images/detailed/166/orig_36xw-jv.jpg" TargetMode="External"/><Relationship Id="rId_hyperlink_2645" Type="http://schemas.openxmlformats.org/officeDocument/2006/relationships/hyperlink" Target="https://b2beez.ru/images/detailed/172/7053695301.jpg" TargetMode="External"/><Relationship Id="rId_hyperlink_2646" Type="http://schemas.openxmlformats.org/officeDocument/2006/relationships/hyperlink" Target="https://b2beez.ru/images/detailed/172/orig_918j-v7.jpg" TargetMode="External"/><Relationship Id="rId_hyperlink_2647" Type="http://schemas.openxmlformats.org/officeDocument/2006/relationships/hyperlink" Target="https://b2beez.ru/images/detailed/187/orig_euei-v6.jpg" TargetMode="External"/><Relationship Id="rId_hyperlink_2648" Type="http://schemas.openxmlformats.org/officeDocument/2006/relationships/hyperlink" Target="https://b2beez.ru/images/detailed/160/6872932347.jpg" TargetMode="External"/><Relationship Id="rId_hyperlink_2649" Type="http://schemas.openxmlformats.org/officeDocument/2006/relationships/hyperlink" Target="https://b2beez.ru/images/detailed/155/orig_am9m-ww.jpg" TargetMode="External"/><Relationship Id="rId_hyperlink_2650" Type="http://schemas.openxmlformats.org/officeDocument/2006/relationships/hyperlink" Target="https://b2beez.ru/images/detailed/187/orig_1mcp-1d.jpg" TargetMode="External"/><Relationship Id="rId_hyperlink_2651" Type="http://schemas.openxmlformats.org/officeDocument/2006/relationships/hyperlink" Target="https://b2beez.ru/images/detailed/166/orig_tvih-ws.jpg" TargetMode="External"/><Relationship Id="rId_hyperlink_2652" Type="http://schemas.openxmlformats.org/officeDocument/2006/relationships/hyperlink" Target="https://b2beez.ru/images/detailed/173/orig_yhle-39.jpg" TargetMode="External"/><Relationship Id="rId_hyperlink_2653" Type="http://schemas.openxmlformats.org/officeDocument/2006/relationships/hyperlink" Target="https://b2beez.ru/images/detailed/162/orig_wyyj-fg.jpg" TargetMode="External"/><Relationship Id="rId_hyperlink_2654" Type="http://schemas.openxmlformats.org/officeDocument/2006/relationships/hyperlink" Target="https://b2beez.ru/images/detailed/162/orig_0txx-b1.jpg" TargetMode="External"/><Relationship Id="rId_hyperlink_2655" Type="http://schemas.openxmlformats.org/officeDocument/2006/relationships/hyperlink" Target="https://b2beez.ru/images/detailed/177/orig_tmq6-nz.jpg" TargetMode="External"/><Relationship Id="rId_hyperlink_2656" Type="http://schemas.openxmlformats.org/officeDocument/2006/relationships/hyperlink" Target="https://b2beez.ru/images/detailed/153/6127212515.jpg" TargetMode="External"/><Relationship Id="rId_hyperlink_2657" Type="http://schemas.openxmlformats.org/officeDocument/2006/relationships/hyperlink" Target="https://b2beez.ru/images/detailed/167/7050392738.jpg" TargetMode="External"/><Relationship Id="rId_hyperlink_2658" Type="http://schemas.openxmlformats.org/officeDocument/2006/relationships/hyperlink" Target="https://b2beez.ru/images/detailed/186/orig_pwb1-dk.jpg" TargetMode="External"/><Relationship Id="rId_hyperlink_2659" Type="http://schemas.openxmlformats.org/officeDocument/2006/relationships/hyperlink" Target="https://b2beez.ru/images/detailed/167/orig_uj12-5q.jpg" TargetMode="External"/><Relationship Id="rId_hyperlink_2660" Type="http://schemas.openxmlformats.org/officeDocument/2006/relationships/hyperlink" Target="https://b2beez.ru/images/detailed/203/1_pyf0-sp.jpg" TargetMode="External"/><Relationship Id="rId_hyperlink_2661" Type="http://schemas.openxmlformats.org/officeDocument/2006/relationships/hyperlink" Target="https://b2beez.ru/images/detailed/162/orig_631s-2j.jpg" TargetMode="External"/><Relationship Id="rId_hyperlink_2662" Type="http://schemas.openxmlformats.org/officeDocument/2006/relationships/hyperlink" Target="https://b2beez.ru/images/detailed/181/6637780471.jpg" TargetMode="External"/><Relationship Id="rId_hyperlink_2663" Type="http://schemas.openxmlformats.org/officeDocument/2006/relationships/hyperlink" Target="https://b2beez.ru/images/detailed/161/orig_8ogc-x2.jpg" TargetMode="External"/><Relationship Id="rId_hyperlink_2664" Type="http://schemas.openxmlformats.org/officeDocument/2006/relationships/hyperlink" Target="https://b2beez.ru/images/detailed/162/6241667148.jpg" TargetMode="External"/><Relationship Id="rId_hyperlink_2665" Type="http://schemas.openxmlformats.org/officeDocument/2006/relationships/hyperlink" Target="https://b2beez.ru/images/detailed/162/6241667057.jpg" TargetMode="External"/><Relationship Id="rId_hyperlink_2666" Type="http://schemas.openxmlformats.org/officeDocument/2006/relationships/hyperlink" Target="https://b2beez.ru/images/detailed/162/orig_6dj9-90.jpg" TargetMode="External"/><Relationship Id="rId_hyperlink_2667" Type="http://schemas.openxmlformats.org/officeDocument/2006/relationships/hyperlink" Target="https://b2beez.ru/images/detailed/159/7154868943.jpg" TargetMode="External"/><Relationship Id="rId_hyperlink_2668" Type="http://schemas.openxmlformats.org/officeDocument/2006/relationships/hyperlink" Target="https://b2beez.ru/images/detailed/181/6417447632.jpg" TargetMode="External"/><Relationship Id="rId_hyperlink_2669" Type="http://schemas.openxmlformats.org/officeDocument/2006/relationships/hyperlink" Target="https://b2beez.ru/images/detailed/181/orig_7sn5-fv.jpg" TargetMode="External"/><Relationship Id="rId_hyperlink_2670" Type="http://schemas.openxmlformats.org/officeDocument/2006/relationships/hyperlink" Target="https://b2beez.ru/images/detailed/204/Z-56-2.jpg" TargetMode="External"/><Relationship Id="rId_hyperlink_2671" Type="http://schemas.openxmlformats.org/officeDocument/2006/relationships/hyperlink" Target="https://b2beez.ru/images/detailed/167/orig_6xed-hx.jpg" TargetMode="External"/><Relationship Id="rId_hyperlink_2672" Type="http://schemas.openxmlformats.org/officeDocument/2006/relationships/hyperlink" Target="https://b2beez.ru/images/detailed/174/orig_ywgi-yg.jpg" TargetMode="External"/><Relationship Id="rId_hyperlink_2673" Type="http://schemas.openxmlformats.org/officeDocument/2006/relationships/hyperlink" Target="https://b2beez.ru/images/detailed/156/orig_oon5-nb.jpg" TargetMode="External"/><Relationship Id="rId_hyperlink_2674" Type="http://schemas.openxmlformats.org/officeDocument/2006/relationships/hyperlink" Target="https://b2beez.ru/images/detailed/204/Z-612-3.jpg" TargetMode="External"/><Relationship Id="rId_hyperlink_2675" Type="http://schemas.openxmlformats.org/officeDocument/2006/relationships/hyperlink" Target="https://b2beez.ru/images/detailed/204/Z-429-2_va1z-hg.jpg" TargetMode="External"/><Relationship Id="rId_hyperlink_2676" Type="http://schemas.openxmlformats.org/officeDocument/2006/relationships/hyperlink" Target="https://b2beez.ru/images/detailed/155/orig_ouzm-6r.jpg" TargetMode="External"/><Relationship Id="rId_hyperlink_2677" Type="http://schemas.openxmlformats.org/officeDocument/2006/relationships/hyperlink" Target="https://b2beez.ru/images/detailed/204/Z-600-3_7xyu-es.jpg" TargetMode="External"/><Relationship Id="rId_hyperlink_2678" Type="http://schemas.openxmlformats.org/officeDocument/2006/relationships/hyperlink" Target="https://b2beez.ru/images/detailed/204/Z-643-2.jpg" TargetMode="External"/><Relationship Id="rId_hyperlink_2679" Type="http://schemas.openxmlformats.org/officeDocument/2006/relationships/hyperlink" Target="https://b2beez.ru/images/detailed/204/Z-586-3.jpg" TargetMode="External"/><Relationship Id="rId_hyperlink_2680" Type="http://schemas.openxmlformats.org/officeDocument/2006/relationships/hyperlink" Target="https://b2beez.ru/images/detailed/156/orig_ytrh-f2.jpg" TargetMode="External"/><Relationship Id="rId_hyperlink_2681" Type="http://schemas.openxmlformats.org/officeDocument/2006/relationships/hyperlink" Target="https://b2beez.ru/images/detailed/204/Z-409-6.jpg" TargetMode="External"/><Relationship Id="rId_hyperlink_2682" Type="http://schemas.openxmlformats.org/officeDocument/2006/relationships/hyperlink" Target="https://b2beez.ru/images/detailed/155/6847201799.jpg" TargetMode="External"/><Relationship Id="rId_hyperlink_2683" Type="http://schemas.openxmlformats.org/officeDocument/2006/relationships/hyperlink" Target="https://b2beez.ru/images/detailed/156/orig_2qw5-8j.jpg" TargetMode="External"/><Relationship Id="rId_hyperlink_2684" Type="http://schemas.openxmlformats.org/officeDocument/2006/relationships/hyperlink" Target="https://b2beez.ru/images/detailed/156/6847206584_wger-jk.jpg" TargetMode="External"/><Relationship Id="rId_hyperlink_2685" Type="http://schemas.openxmlformats.org/officeDocument/2006/relationships/hyperlink" Target="https://b2beez.ru/images/detailed/156/6847206584.jpg" TargetMode="External"/><Relationship Id="rId_hyperlink_2686" Type="http://schemas.openxmlformats.org/officeDocument/2006/relationships/hyperlink" Target="https://b2beez.ru/images/detailed/157/7186635525.jpg" TargetMode="External"/><Relationship Id="rId_hyperlink_2687" Type="http://schemas.openxmlformats.org/officeDocument/2006/relationships/hyperlink" Target="https://b2beez.ru/images/detailed/167/orig_b07h-9d.jpg" TargetMode="External"/><Relationship Id="rId_hyperlink_2688" Type="http://schemas.openxmlformats.org/officeDocument/2006/relationships/hyperlink" Target="https://b2beez.ru/images/detailed/169/orig_b1za-3s.jpg" TargetMode="External"/><Relationship Id="rId_hyperlink_2689" Type="http://schemas.openxmlformats.org/officeDocument/2006/relationships/hyperlink" Target="https://b2beez.ru/images/detailed/161/orig_ikw4-wt.jpg" TargetMode="External"/><Relationship Id="rId_hyperlink_2690" Type="http://schemas.openxmlformats.org/officeDocument/2006/relationships/hyperlink" Target="https://b2beez.ru/images/detailed/169/6545700608.jpg" TargetMode="External"/><Relationship Id="rId_hyperlink_2691" Type="http://schemas.openxmlformats.org/officeDocument/2006/relationships/hyperlink" Target="https://b2beez.ru/images/detailed/168/orig_a3td-55.jpg" TargetMode="External"/><Relationship Id="rId_hyperlink_2692" Type="http://schemas.openxmlformats.org/officeDocument/2006/relationships/hyperlink" Target="https://b2beez.ru/images/detailed/168/6719431979.jpg" TargetMode="External"/><Relationship Id="rId_hyperlink_2693" Type="http://schemas.openxmlformats.org/officeDocument/2006/relationships/hyperlink" Target="https://b2beez.ru/images/detailed/167/6241667129.jpg" TargetMode="External"/><Relationship Id="rId_hyperlink_2694" Type="http://schemas.openxmlformats.org/officeDocument/2006/relationships/hyperlink" Target="https://b2beez.ru/images/detailed/166/orig_f5dp-gw.jpg" TargetMode="External"/><Relationship Id="rId_hyperlink_2695" Type="http://schemas.openxmlformats.org/officeDocument/2006/relationships/hyperlink" Target="https://b2beez.ru/images/detailed/48/orig_8zem-67.jpg" TargetMode="External"/><Relationship Id="rId_hyperlink_2696" Type="http://schemas.openxmlformats.org/officeDocument/2006/relationships/hyperlink" Target="https://b2beez.ru/images/detailed/154/orig_5tz8-80.jpg" TargetMode="External"/><Relationship Id="rId_hyperlink_2697" Type="http://schemas.openxmlformats.org/officeDocument/2006/relationships/hyperlink" Target="https://b2beez.ru/images/detailed/169/7050407492.jpg" TargetMode="External"/><Relationship Id="rId_hyperlink_2698" Type="http://schemas.openxmlformats.org/officeDocument/2006/relationships/hyperlink" Target="https://b2beez.ru/images/detailed/166/6241667250.jpg" TargetMode="External"/><Relationship Id="rId_hyperlink_2699" Type="http://schemas.openxmlformats.org/officeDocument/2006/relationships/hyperlink" Target="https://b2beez.ru/images/detailed/162/6536295582.jpg" TargetMode="External"/><Relationship Id="rId_hyperlink_2700" Type="http://schemas.openxmlformats.org/officeDocument/2006/relationships/hyperlink" Target="https://b2beez.ru/images/detailed/174/7053701429.jpg" TargetMode="External"/><Relationship Id="rId_hyperlink_2701" Type="http://schemas.openxmlformats.org/officeDocument/2006/relationships/hyperlink" Target="https://b2beez.ru/images/detailed/162/orig_6ple-x1.jpg" TargetMode="External"/><Relationship Id="rId_hyperlink_2702" Type="http://schemas.openxmlformats.org/officeDocument/2006/relationships/hyperlink" Target="https://b2beez.ru/images/detailed/156/orig_tnou-tx.jpg" TargetMode="External"/><Relationship Id="rId_hyperlink_2703" Type="http://schemas.openxmlformats.org/officeDocument/2006/relationships/hyperlink" Target="https://b2beez.ru/images/detailed/171/orig_12mi-ic.jpg" TargetMode="External"/><Relationship Id="rId_hyperlink_2704" Type="http://schemas.openxmlformats.org/officeDocument/2006/relationships/hyperlink" Target="https://b2beez.ru/images/detailed/169/orig_ecsy-5g.jpg" TargetMode="External"/><Relationship Id="rId_hyperlink_2705" Type="http://schemas.openxmlformats.org/officeDocument/2006/relationships/hyperlink" Target="https://b2beez.ru/images/detailed/175/orig_sl25-ln.jpg" TargetMode="External"/><Relationship Id="rId_hyperlink_2706" Type="http://schemas.openxmlformats.org/officeDocument/2006/relationships/hyperlink" Target="https://b2beez.ru/images/detailed/162/orig_1oj8-3m.jpg" TargetMode="External"/><Relationship Id="rId_hyperlink_2707" Type="http://schemas.openxmlformats.org/officeDocument/2006/relationships/hyperlink" Target="https://b2beez.ru/images/detailed/176/orig_8k8d-lp.jpg" TargetMode="External"/><Relationship Id="rId_hyperlink_2708" Type="http://schemas.openxmlformats.org/officeDocument/2006/relationships/hyperlink" Target="https://b2beez.ru/images/detailed/203/1_0i1v-fg.jpg" TargetMode="External"/><Relationship Id="rId_hyperlink_2709" Type="http://schemas.openxmlformats.org/officeDocument/2006/relationships/hyperlink" Target="https://b2beez.ru/images/detailed/173/orig_mf3f-rt.jpg" TargetMode="External"/><Relationship Id="rId_hyperlink_2710" Type="http://schemas.openxmlformats.org/officeDocument/2006/relationships/hyperlink" Target="https://b2beez.ru/images/detailed/186/7154039540.jpg" TargetMode="External"/><Relationship Id="rId_hyperlink_2711" Type="http://schemas.openxmlformats.org/officeDocument/2006/relationships/hyperlink" Target="https://b2beez.ru/images/detailed/156/orig_i6x3-2s.jpg" TargetMode="External"/><Relationship Id="rId_hyperlink_2712" Type="http://schemas.openxmlformats.org/officeDocument/2006/relationships/hyperlink" Target="https://b2beez.ru/images/detailed/184/orig_8dt2-wk.jpg" TargetMode="External"/><Relationship Id="rId_hyperlink_2713" Type="http://schemas.openxmlformats.org/officeDocument/2006/relationships/hyperlink" Target="https://b2beez.ru/images/detailed/156/orig_sh2q-43.jpg" TargetMode="External"/><Relationship Id="rId_hyperlink_2714" Type="http://schemas.openxmlformats.org/officeDocument/2006/relationships/hyperlink" Target="https://b2beez.ru/images/detailed/173/6242948053.jpg" TargetMode="External"/><Relationship Id="rId_hyperlink_2715" Type="http://schemas.openxmlformats.org/officeDocument/2006/relationships/hyperlink" Target="https://b2beez.ru/images/detailed/162/orig_3hrh-i8.jpg" TargetMode="External"/><Relationship Id="rId_hyperlink_2716" Type="http://schemas.openxmlformats.org/officeDocument/2006/relationships/hyperlink" Target="https://b2beez.ru/images/detailed/166/7062130473.jpg" TargetMode="External"/><Relationship Id="rId_hyperlink_2717" Type="http://schemas.openxmlformats.org/officeDocument/2006/relationships/hyperlink" Target="https://b2beez.ru/images/detailed/162/6242948132.jpg" TargetMode="External"/><Relationship Id="rId_hyperlink_2718" Type="http://schemas.openxmlformats.org/officeDocument/2006/relationships/hyperlink" Target="https://b2beez.ru/images/detailed/174/6242948107.jpg" TargetMode="External"/><Relationship Id="rId_hyperlink_2719" Type="http://schemas.openxmlformats.org/officeDocument/2006/relationships/hyperlink" Target="https://b2beez.ru/images/detailed/177/orig_jx9w-ki.jpg" TargetMode="External"/><Relationship Id="rId_hyperlink_2720" Type="http://schemas.openxmlformats.org/officeDocument/2006/relationships/hyperlink" Target="https://b2beez.ru/images/detailed/177/orig_3nap-zn.jpg" TargetMode="External"/><Relationship Id="rId_hyperlink_2721" Type="http://schemas.openxmlformats.org/officeDocument/2006/relationships/hyperlink" Target="https://b2beez.ru/images/detailed/177/6786997516.jpg" TargetMode="External"/><Relationship Id="rId_hyperlink_2722" Type="http://schemas.openxmlformats.org/officeDocument/2006/relationships/hyperlink" Target="https://b2beez.ru/images/detailed/47/6243370250.jpg" TargetMode="External"/><Relationship Id="rId_hyperlink_2723" Type="http://schemas.openxmlformats.org/officeDocument/2006/relationships/hyperlink" Target="https://b2beez.ru/images/detailed/168/orig_snrc-yq.jpg" TargetMode="External"/><Relationship Id="rId_hyperlink_2724" Type="http://schemas.openxmlformats.org/officeDocument/2006/relationships/hyperlink" Target="https://b2beez.ru/images/detailed/174/7050394012.jpg" TargetMode="External"/><Relationship Id="rId_hyperlink_2725" Type="http://schemas.openxmlformats.org/officeDocument/2006/relationships/hyperlink" Target="https://b2beez.ru/images/detailed/177/orig_9exn-yg.jpg" TargetMode="External"/><Relationship Id="rId_hyperlink_2726" Type="http://schemas.openxmlformats.org/officeDocument/2006/relationships/hyperlink" Target="https://b2beez.ru/images/detailed/175/6743182545.jpg" TargetMode="External"/><Relationship Id="rId_hyperlink_2727" Type="http://schemas.openxmlformats.org/officeDocument/2006/relationships/hyperlink" Target="https://b2beez.ru/images/detailed/175/orig_5kc1-ji.jpg" TargetMode="External"/><Relationship Id="rId_hyperlink_2728" Type="http://schemas.openxmlformats.org/officeDocument/2006/relationships/hyperlink" Target="https://b2beez.ru/images/detailed/175/orig_d7sv-vb.jpg" TargetMode="External"/><Relationship Id="rId_hyperlink_2729" Type="http://schemas.openxmlformats.org/officeDocument/2006/relationships/hyperlink" Target="https://b2beez.ru/images/detailed/178/6671240808.jpg" TargetMode="External"/><Relationship Id="rId_hyperlink_2730" Type="http://schemas.openxmlformats.org/officeDocument/2006/relationships/hyperlink" Target="https://b2beez.ru/images/detailed/182/orig_ali3-xo.jpg" TargetMode="External"/><Relationship Id="rId_hyperlink_2731" Type="http://schemas.openxmlformats.org/officeDocument/2006/relationships/hyperlink" Target="https://b2beez.ru/images/detailed/182/orig_g2xi-gq.jpg" TargetMode="External"/><Relationship Id="rId_hyperlink_2732" Type="http://schemas.openxmlformats.org/officeDocument/2006/relationships/hyperlink" Target="https://b2beez.ru/images/detailed/173/orig_tf8o-3t.jpg" TargetMode="External"/><Relationship Id="rId_hyperlink_2733" Type="http://schemas.openxmlformats.org/officeDocument/2006/relationships/hyperlink" Target="https://b2beez.ru/images/detailed/204/S-1883-2_f3aa-0t.jpg" TargetMode="External"/><Relationship Id="rId_hyperlink_2734" Type="http://schemas.openxmlformats.org/officeDocument/2006/relationships/hyperlink" Target="https://b2beez.ru/images/detailed/156/orig_upzw-mh.jpg" TargetMode="External"/><Relationship Id="rId_hyperlink_2735" Type="http://schemas.openxmlformats.org/officeDocument/2006/relationships/hyperlink" Target="https://b2beez.ru/images/detailed/169/6242948854.jpg" TargetMode="External"/><Relationship Id="rId_hyperlink_2736" Type="http://schemas.openxmlformats.org/officeDocument/2006/relationships/hyperlink" Target="https://b2beez.ru/images/detailed/168/orig_o2de-fi.jpg" TargetMode="External"/><Relationship Id="rId_hyperlink_2737" Type="http://schemas.openxmlformats.org/officeDocument/2006/relationships/hyperlink" Target="https://b2beez.ru/images/detailed/168/orig_bfoj-9v.jpg" TargetMode="External"/><Relationship Id="rId_hyperlink_2738" Type="http://schemas.openxmlformats.org/officeDocument/2006/relationships/hyperlink" Target="https://b2beez.ru/images/detailed/160/6873039194.jpg" TargetMode="External"/><Relationship Id="rId_hyperlink_2739" Type="http://schemas.openxmlformats.org/officeDocument/2006/relationships/hyperlink" Target="https://b2beez.ru/images/detailed/166/orig_zqie-k2.jpg" TargetMode="External"/><Relationship Id="rId_hyperlink_2740" Type="http://schemas.openxmlformats.org/officeDocument/2006/relationships/hyperlink" Target="https://b2beez.ru/images/detailed/154/orig_vwid-bc.jpg" TargetMode="External"/><Relationship Id="rId_hyperlink_2741" Type="http://schemas.openxmlformats.org/officeDocument/2006/relationships/hyperlink" Target="https://b2beez.ru/images/detailed/166/6242949353.jpg" TargetMode="External"/><Relationship Id="rId_hyperlink_2742" Type="http://schemas.openxmlformats.org/officeDocument/2006/relationships/hyperlink" Target="https://b2beez.ru/images/detailed/171/6295553950.jpg" TargetMode="External"/><Relationship Id="rId_hyperlink_2743" Type="http://schemas.openxmlformats.org/officeDocument/2006/relationships/hyperlink" Target="https://b2beez.ru/images/detailed/178/orig_6tav-jy.jpg" TargetMode="External"/><Relationship Id="rId_hyperlink_2744" Type="http://schemas.openxmlformats.org/officeDocument/2006/relationships/hyperlink" Target="https://b2beez.ru/images/detailed/204/A-1937-7.jpg" TargetMode="External"/><Relationship Id="rId_hyperlink_2745" Type="http://schemas.openxmlformats.org/officeDocument/2006/relationships/hyperlink" Target="https://b2beez.ru/images/detailed/162/orig_mt6d-m4.jpg" TargetMode="External"/><Relationship Id="rId_hyperlink_2746" Type="http://schemas.openxmlformats.org/officeDocument/2006/relationships/hyperlink" Target="https://b2beez.ru/images/detailed/162/orig_c1z2-tz.jpg" TargetMode="External"/><Relationship Id="rId_hyperlink_2747" Type="http://schemas.openxmlformats.org/officeDocument/2006/relationships/hyperlink" Target="https://b2beez.ru/images/detailed/177/orig_qjk1-sm.jpg" TargetMode="External"/><Relationship Id="rId_hyperlink_2748" Type="http://schemas.openxmlformats.org/officeDocument/2006/relationships/hyperlink" Target="https://b2beez.ru/images/detailed/177/orig_rpca-ue.jpg" TargetMode="External"/><Relationship Id="rId_hyperlink_2749" Type="http://schemas.openxmlformats.org/officeDocument/2006/relationships/hyperlink" Target="https://b2beez.ru/images/detailed/181/orig_42ae-fn.jpg" TargetMode="External"/><Relationship Id="rId_hyperlink_2750" Type="http://schemas.openxmlformats.org/officeDocument/2006/relationships/hyperlink" Target="https://b2beez.ru/images/detailed/182/orig_v40m-gk.jpg" TargetMode="External"/><Relationship Id="rId_hyperlink_2751" Type="http://schemas.openxmlformats.org/officeDocument/2006/relationships/hyperlink" Target="https://b2beez.ru/images/detailed/160/orig_yvxc-bi.jpg" TargetMode="External"/><Relationship Id="rId_hyperlink_2752" Type="http://schemas.openxmlformats.org/officeDocument/2006/relationships/hyperlink" Target="https://b2beez.ru/images/detailed/177/6786998994.jpg" TargetMode="External"/><Relationship Id="rId_hyperlink_2753" Type="http://schemas.openxmlformats.org/officeDocument/2006/relationships/hyperlink" Target="https://b2beez.ru/images/detailed/174/6242948086.jpg" TargetMode="External"/><Relationship Id="rId_hyperlink_2754" Type="http://schemas.openxmlformats.org/officeDocument/2006/relationships/hyperlink" Target="https://b2beez.ru/images/detailed/183/orig_hrnn-uu.jpg" TargetMode="External"/><Relationship Id="rId_hyperlink_2755" Type="http://schemas.openxmlformats.org/officeDocument/2006/relationships/hyperlink" Target="https://b2beez.ru/images/detailed/177/orig_xkj7-pv.jpg" TargetMode="External"/><Relationship Id="rId_hyperlink_2756" Type="http://schemas.openxmlformats.org/officeDocument/2006/relationships/hyperlink" Target="https://b2beez.ru/images/detailed/180/orig.jpg" TargetMode="External"/><Relationship Id="rId_hyperlink_2757" Type="http://schemas.openxmlformats.org/officeDocument/2006/relationships/hyperlink" Target="https://b2beez.ru/images/detailed/188/orig_tft5-p4.jpg" TargetMode="External"/><Relationship Id="rId_hyperlink_2758" Type="http://schemas.openxmlformats.org/officeDocument/2006/relationships/hyperlink" Target="https://b2beez.ru/images/detailed/188/orig_c57d-jm.jpg" TargetMode="External"/><Relationship Id="rId_hyperlink_2759" Type="http://schemas.openxmlformats.org/officeDocument/2006/relationships/hyperlink" Target="https://b2beez.ru/images/detailed/188/orig_t8ou-52.jpg" TargetMode="External"/><Relationship Id="rId_hyperlink_2760" Type="http://schemas.openxmlformats.org/officeDocument/2006/relationships/hyperlink" Target="https://b2beez.ru/images/detailed/188/orig_jfyg-a5.jpg" TargetMode="External"/><Relationship Id="rId_hyperlink_2761" Type="http://schemas.openxmlformats.org/officeDocument/2006/relationships/hyperlink" Target="https://b2beez.ru/images/detailed/188/orig_8qme-j0.jpg" TargetMode="External"/><Relationship Id="rId_hyperlink_2762" Type="http://schemas.openxmlformats.org/officeDocument/2006/relationships/hyperlink" Target="https://b2beez.ru/images/detailed/188/orig_c9jw-7s.jpg" TargetMode="External"/><Relationship Id="rId_hyperlink_2763" Type="http://schemas.openxmlformats.org/officeDocument/2006/relationships/hyperlink" Target="https://b2beez.ru/images/detailed/188/orig_nmzg-e8.jpg" TargetMode="External"/><Relationship Id="rId_hyperlink_2764" Type="http://schemas.openxmlformats.org/officeDocument/2006/relationships/hyperlink" Target="https://b2beez.ru/images/detailed/188/orig_0dy6-wz.jpg" TargetMode="External"/><Relationship Id="rId_hyperlink_2765" Type="http://schemas.openxmlformats.org/officeDocument/2006/relationships/hyperlink" Target="https://b2beez.ru/images/detailed/188/orig_k3et-93.jpg" TargetMode="External"/><Relationship Id="rId_hyperlink_2766" Type="http://schemas.openxmlformats.org/officeDocument/2006/relationships/hyperlink" Target="https://b2beez.ru/images/detailed/188/orig_e8gi-wb.jpg" TargetMode="External"/><Relationship Id="rId_hyperlink_2767" Type="http://schemas.openxmlformats.org/officeDocument/2006/relationships/hyperlink" Target="https://b2beez.ru/images/detailed/188/orig_8ebq-91.jpg" TargetMode="External"/><Relationship Id="rId_hyperlink_2768" Type="http://schemas.openxmlformats.org/officeDocument/2006/relationships/hyperlink" Target="https://b2beez.ru/images/detailed/188/orig_x5nf-kr.jpg" TargetMode="External"/><Relationship Id="rId_hyperlink_2769" Type="http://schemas.openxmlformats.org/officeDocument/2006/relationships/hyperlink" Target="https://b2beez.ru/images/detailed/0/" TargetMode="External"/><Relationship Id="rId_hyperlink_2770" Type="http://schemas.openxmlformats.org/officeDocument/2006/relationships/hyperlink" Target="https://b2beez.ru/images/detailed/178/orig_vm37-v6.jpg" TargetMode="External"/><Relationship Id="rId_hyperlink_2771" Type="http://schemas.openxmlformats.org/officeDocument/2006/relationships/hyperlink" Target="https://b2beez.ru/images/detailed/168/orig_ctdw-0a.jpg" TargetMode="External"/><Relationship Id="rId_hyperlink_2772" Type="http://schemas.openxmlformats.org/officeDocument/2006/relationships/hyperlink" Target="https://b2beez.ru/images/detailed/169/7131303937.jpg" TargetMode="External"/><Relationship Id="rId_hyperlink_2773" Type="http://schemas.openxmlformats.org/officeDocument/2006/relationships/hyperlink" Target="https://b2beez.ru/images/detailed/204/Z-591-2.jpg" TargetMode="External"/><Relationship Id="rId_hyperlink_2774" Type="http://schemas.openxmlformats.org/officeDocument/2006/relationships/hyperlink" Target="https://b2beez.ru/images/detailed/168/7068332310.jpg" TargetMode="External"/><Relationship Id="rId_hyperlink_2775" Type="http://schemas.openxmlformats.org/officeDocument/2006/relationships/hyperlink" Target="https://b2beez.ru/images/detailed/0/" TargetMode="External"/><Relationship Id="rId_hyperlink_2776" Type="http://schemas.openxmlformats.org/officeDocument/2006/relationships/hyperlink" Target="https://b2beez.ru/images/detailed/0/" TargetMode="External"/><Relationship Id="rId_hyperlink_2777" Type="http://schemas.openxmlformats.org/officeDocument/2006/relationships/hyperlink" Target="https://b2beez.ru/images/detailed/169/7129307780.jpg" TargetMode="External"/><Relationship Id="rId_hyperlink_2778" Type="http://schemas.openxmlformats.org/officeDocument/2006/relationships/hyperlink" Target="https://b2beez.ru/images/detailed/169/7129316044.jpg" TargetMode="External"/><Relationship Id="rId_hyperlink_2779" Type="http://schemas.openxmlformats.org/officeDocument/2006/relationships/hyperlink" Target="https://b2beez.ru/images/detailed/0/" TargetMode="External"/><Relationship Id="rId_hyperlink_2780" Type="http://schemas.openxmlformats.org/officeDocument/2006/relationships/hyperlink" Target="https://b2beez.ru/images/detailed/0/" TargetMode="External"/><Relationship Id="rId_hyperlink_2781" Type="http://schemas.openxmlformats.org/officeDocument/2006/relationships/hyperlink" Target="https://b2beez.ru/images/detailed/204/B-217-U2-2.jpg" TargetMode="External"/><Relationship Id="rId_hyperlink_2782" Type="http://schemas.openxmlformats.org/officeDocument/2006/relationships/hyperlink" Target="https://b2beez.ru/images/detailed/204/B-218-U1.jpg" TargetMode="External"/><Relationship Id="rId_hyperlink_2783" Type="http://schemas.openxmlformats.org/officeDocument/2006/relationships/hyperlink" Target="https://b2beez.ru/images/detailed/0/" TargetMode="External"/><Relationship Id="rId_hyperlink_2784" Type="http://schemas.openxmlformats.org/officeDocument/2006/relationships/hyperlink" Target="https://b2beez.ru/images/detailed/0/" TargetMode="External"/><Relationship Id="rId_hyperlink_2785" Type="http://schemas.openxmlformats.org/officeDocument/2006/relationships/hyperlink" Target="https://b2beez.ru/images/detailed/167/orig_2xj9-yz.jpg" TargetMode="External"/><Relationship Id="rId_hyperlink_2786" Type="http://schemas.openxmlformats.org/officeDocument/2006/relationships/hyperlink" Target="https://b2beez.ru/images/detailed/154/orig_and6-zx.jpg" TargetMode="External"/><Relationship Id="rId_hyperlink_2787" Type="http://schemas.openxmlformats.org/officeDocument/2006/relationships/hyperlink" Target="https://b2beez.ru/images/detailed/156/7054515371.jpg" TargetMode="External"/><Relationship Id="rId_hyperlink_2788" Type="http://schemas.openxmlformats.org/officeDocument/2006/relationships/hyperlink" Target="https://b2beez.ru/images/detailed/156/7155750550.jpg" TargetMode="External"/><Relationship Id="rId_hyperlink_2789" Type="http://schemas.openxmlformats.org/officeDocument/2006/relationships/hyperlink" Target="https://b2beez.ru/images/detailed/183/7132416983.jpg" TargetMode="External"/><Relationship Id="rId_hyperlink_2790" Type="http://schemas.openxmlformats.org/officeDocument/2006/relationships/hyperlink" Target="https://b2beez.ru/images/detailed/165/orig_ycz9-pa.jpg" TargetMode="External"/><Relationship Id="rId_hyperlink_2791" Type="http://schemas.openxmlformats.org/officeDocument/2006/relationships/hyperlink" Target="https://b2beez.ru/images/detailed/174/7053702403.jpg" TargetMode="External"/><Relationship Id="rId_hyperlink_2792" Type="http://schemas.openxmlformats.org/officeDocument/2006/relationships/hyperlink" Target="https://b2beez.ru/images/detailed/160/7129219426.jpg" TargetMode="External"/><Relationship Id="rId_hyperlink_2793" Type="http://schemas.openxmlformats.org/officeDocument/2006/relationships/hyperlink" Target="https://b2beez.ru/images/detailed/160/7128636462.jpg" TargetMode="External"/><Relationship Id="rId_hyperlink_2794" Type="http://schemas.openxmlformats.org/officeDocument/2006/relationships/hyperlink" Target="https://b2beez.ru/images/detailed/183/orig_rgl0-l0.jpg" TargetMode="External"/><Relationship Id="rId_hyperlink_2795" Type="http://schemas.openxmlformats.org/officeDocument/2006/relationships/hyperlink" Target="https://b2beez.ru/images/detailed/183/orig_xvqj-3a.jpg" TargetMode="External"/><Relationship Id="rId_hyperlink_2796" Type="http://schemas.openxmlformats.org/officeDocument/2006/relationships/hyperlink" Target="https://b2beez.ru/images/detailed/183/orig_3grh-9s.jpg" TargetMode="External"/><Relationship Id="rId_hyperlink_2797" Type="http://schemas.openxmlformats.org/officeDocument/2006/relationships/hyperlink" Target="https://b2beez.ru/images/detailed/153/orig_6n3j-wm.jpg" TargetMode="External"/><Relationship Id="rId_hyperlink_2798" Type="http://schemas.openxmlformats.org/officeDocument/2006/relationships/hyperlink" Target="https://b2beez.ru/images/detailed/173/orig_qr09-qu.jpg" TargetMode="External"/><Relationship Id="rId_hyperlink_2799" Type="http://schemas.openxmlformats.org/officeDocument/2006/relationships/hyperlink" Target="https://b2beez.ru/images/detailed/177/orig_7f1d-u2.jpg" TargetMode="External"/><Relationship Id="rId_hyperlink_2800" Type="http://schemas.openxmlformats.org/officeDocument/2006/relationships/hyperlink" Target="https://b2beez.ru/images/detailed/177/orig_qu8j-ht.jpg" TargetMode="External"/><Relationship Id="rId_hyperlink_2801" Type="http://schemas.openxmlformats.org/officeDocument/2006/relationships/hyperlink" Target="https://b2beez.ru/images/detailed/177/orig_y7v3-og.jpg" TargetMode="External"/><Relationship Id="rId_hyperlink_2802" Type="http://schemas.openxmlformats.org/officeDocument/2006/relationships/hyperlink" Target="https://b2beez.ru/images/detailed/170/7062149295.jpg" TargetMode="External"/><Relationship Id="rId_hyperlink_2803" Type="http://schemas.openxmlformats.org/officeDocument/2006/relationships/hyperlink" Target="https://b2beez.ru/images/detailed/47/6324923681.jpg" TargetMode="External"/><Relationship Id="rId_hyperlink_2804" Type="http://schemas.openxmlformats.org/officeDocument/2006/relationships/hyperlink" Target="https://b2beez.ru/images/detailed/159/6861970713.jpg" TargetMode="External"/><Relationship Id="rId_hyperlink_2805" Type="http://schemas.openxmlformats.org/officeDocument/2006/relationships/hyperlink" Target="https://b2beez.ru/images/detailed/166/orig_9bqk-5k.jpg" TargetMode="External"/><Relationship Id="rId_hyperlink_2806" Type="http://schemas.openxmlformats.org/officeDocument/2006/relationships/hyperlink" Target="https://b2beez.ru/images/detailed/162/orig_59gh-fi.jpg" TargetMode="External"/><Relationship Id="rId_hyperlink_2807" Type="http://schemas.openxmlformats.org/officeDocument/2006/relationships/hyperlink" Target="https://b2beez.ru/images/detailed/204/Z-854-3_uo5m-gi.jpg" TargetMode="External"/><Relationship Id="rId_hyperlink_2808" Type="http://schemas.openxmlformats.org/officeDocument/2006/relationships/hyperlink" Target="https://b2beez.ru/images/detailed/188/orig_6z3f-qn.jpg" TargetMode="External"/><Relationship Id="rId_hyperlink_2809" Type="http://schemas.openxmlformats.org/officeDocument/2006/relationships/hyperlink" Target="https://b2beez.ru/images/detailed/173/orig_08kw-5m.jpg" TargetMode="External"/><Relationship Id="rId_hyperlink_2810" Type="http://schemas.openxmlformats.org/officeDocument/2006/relationships/hyperlink" Target="https://b2beez.ru/images/detailed/48/6241667113.jpg" TargetMode="External"/><Relationship Id="rId_hyperlink_2811" Type="http://schemas.openxmlformats.org/officeDocument/2006/relationships/hyperlink" Target="https://b2beez.ru/images/detailed/180/6242948217.jpg" TargetMode="External"/><Relationship Id="rId_hyperlink_2812" Type="http://schemas.openxmlformats.org/officeDocument/2006/relationships/hyperlink" Target="https://b2beez.ru/images/detailed/162/6241667281.jpg" TargetMode="External"/><Relationship Id="rId_hyperlink_2813" Type="http://schemas.openxmlformats.org/officeDocument/2006/relationships/hyperlink" Target="https://b2beez.ru/images/detailed/153/orig_cnj4-fi.jpg" TargetMode="External"/><Relationship Id="rId_hyperlink_2814" Type="http://schemas.openxmlformats.org/officeDocument/2006/relationships/hyperlink" Target="https://b2beez.ru/images/detailed/154/7067474661.jpg" TargetMode="External"/><Relationship Id="rId_hyperlink_2815" Type="http://schemas.openxmlformats.org/officeDocument/2006/relationships/hyperlink" Target="https://b2beez.ru/images/detailed/154/orig_55sp-0k.jpg" TargetMode="External"/><Relationship Id="rId_hyperlink_2816" Type="http://schemas.openxmlformats.org/officeDocument/2006/relationships/hyperlink" Target="https://b2beez.ru/images/detailed/155/6241667107.jpg" TargetMode="External"/><Relationship Id="rId_hyperlink_2817" Type="http://schemas.openxmlformats.org/officeDocument/2006/relationships/hyperlink" Target="https://b2beez.ru/images/detailed/155/6242641791.jpg" TargetMode="External"/><Relationship Id="rId_hyperlink_2818" Type="http://schemas.openxmlformats.org/officeDocument/2006/relationships/hyperlink" Target="https://b2beez.ru/images/detailed/155/orig_cbl2-3e.jpg" TargetMode="External"/><Relationship Id="rId_hyperlink_2819" Type="http://schemas.openxmlformats.org/officeDocument/2006/relationships/hyperlink" Target="https://b2beez.ru/images/detailed/155/orig_41u2-y7.jpg" TargetMode="External"/><Relationship Id="rId_hyperlink_2820" Type="http://schemas.openxmlformats.org/officeDocument/2006/relationships/hyperlink" Target="https://b2beez.ru/images/detailed/155/orig_j5xt-yp.jpg" TargetMode="External"/><Relationship Id="rId_hyperlink_2821" Type="http://schemas.openxmlformats.org/officeDocument/2006/relationships/hyperlink" Target="https://b2beez.ru/images/detailed/156/orig_p2er-d2.jpg" TargetMode="External"/><Relationship Id="rId_hyperlink_2822" Type="http://schemas.openxmlformats.org/officeDocument/2006/relationships/hyperlink" Target="https://b2beez.ru/images/detailed/156/orig_03c1-iq.jpg" TargetMode="External"/><Relationship Id="rId_hyperlink_2823" Type="http://schemas.openxmlformats.org/officeDocument/2006/relationships/hyperlink" Target="https://b2beez.ru/images/detailed/156/6242948704.jpg" TargetMode="External"/><Relationship Id="rId_hyperlink_2824" Type="http://schemas.openxmlformats.org/officeDocument/2006/relationships/hyperlink" Target="https://b2beez.ru/images/detailed/156/orig_ygfa-6l.jpg" TargetMode="External"/><Relationship Id="rId_hyperlink_2825" Type="http://schemas.openxmlformats.org/officeDocument/2006/relationships/hyperlink" Target="https://b2beez.ru/images/detailed/156/orig_71yx-78.jpg" TargetMode="External"/><Relationship Id="rId_hyperlink_2826" Type="http://schemas.openxmlformats.org/officeDocument/2006/relationships/hyperlink" Target="https://b2beez.ru/images/detailed/156/7154874587.jpg" TargetMode="External"/><Relationship Id="rId_hyperlink_2827" Type="http://schemas.openxmlformats.org/officeDocument/2006/relationships/hyperlink" Target="https://b2beez.ru/images/detailed/157/6459652915.jpg" TargetMode="External"/><Relationship Id="rId_hyperlink_2828" Type="http://schemas.openxmlformats.org/officeDocument/2006/relationships/hyperlink" Target="https://b2beez.ru/images/detailed/157/orig_bwfy-c1.jpg" TargetMode="External"/><Relationship Id="rId_hyperlink_2829" Type="http://schemas.openxmlformats.org/officeDocument/2006/relationships/hyperlink" Target="https://b2beez.ru/images/detailed/159/orig_5gj4-37.jpg" TargetMode="External"/><Relationship Id="rId_hyperlink_2830" Type="http://schemas.openxmlformats.org/officeDocument/2006/relationships/hyperlink" Target="https://b2beez.ru/images/detailed/161/7049712633.jpg" TargetMode="External"/><Relationship Id="rId_hyperlink_2831" Type="http://schemas.openxmlformats.org/officeDocument/2006/relationships/hyperlink" Target="https://b2beez.ru/images/detailed/161/orig_vmya-2p.jpg" TargetMode="External"/><Relationship Id="rId_hyperlink_2832" Type="http://schemas.openxmlformats.org/officeDocument/2006/relationships/hyperlink" Target="https://b2beez.ru/images/detailed/161/orig_dhpd-wn.jpg" TargetMode="External"/><Relationship Id="rId_hyperlink_2833" Type="http://schemas.openxmlformats.org/officeDocument/2006/relationships/hyperlink" Target="https://b2beez.ru/images/detailed/161/6242948100.jpg" TargetMode="External"/><Relationship Id="rId_hyperlink_2834" Type="http://schemas.openxmlformats.org/officeDocument/2006/relationships/hyperlink" Target="https://b2beez.ru/images/detailed/161/orig_ee0z-zp.jpg" TargetMode="External"/><Relationship Id="rId_hyperlink_2835" Type="http://schemas.openxmlformats.org/officeDocument/2006/relationships/hyperlink" Target="https://b2beez.ru/images/detailed/161/6652376705.jpg" TargetMode="External"/><Relationship Id="rId_hyperlink_2836" Type="http://schemas.openxmlformats.org/officeDocument/2006/relationships/hyperlink" Target="https://b2beez.ru/images/detailed/162/orig_vjvy-ro.jpg" TargetMode="External"/><Relationship Id="rId_hyperlink_2837" Type="http://schemas.openxmlformats.org/officeDocument/2006/relationships/hyperlink" Target="https://b2beez.ru/images/detailed/162/orig_kp4i-jc.jpg" TargetMode="External"/><Relationship Id="rId_hyperlink_2838" Type="http://schemas.openxmlformats.org/officeDocument/2006/relationships/hyperlink" Target="https://b2beez.ru/images/detailed/166/orig_bq1q-1w.jpg" TargetMode="External"/><Relationship Id="rId_hyperlink_2839" Type="http://schemas.openxmlformats.org/officeDocument/2006/relationships/hyperlink" Target="https://b2beez.ru/images/detailed/166/6545700828.jpg" TargetMode="External"/><Relationship Id="rId_hyperlink_2840" Type="http://schemas.openxmlformats.org/officeDocument/2006/relationships/hyperlink" Target="https://b2beez.ru/images/detailed/166/orig_c8jx-jq.jpg" TargetMode="External"/><Relationship Id="rId_hyperlink_2841" Type="http://schemas.openxmlformats.org/officeDocument/2006/relationships/hyperlink" Target="https://b2beez.ru/images/detailed/166/orig_1i65-ij.jpg" TargetMode="External"/><Relationship Id="rId_hyperlink_2842" Type="http://schemas.openxmlformats.org/officeDocument/2006/relationships/hyperlink" Target="https://b2beez.ru/images/detailed/166/6242949019.jpg" TargetMode="External"/><Relationship Id="rId_hyperlink_2843" Type="http://schemas.openxmlformats.org/officeDocument/2006/relationships/hyperlink" Target="https://b2beez.ru/images/detailed/167/orig_c0kn-68.jpg" TargetMode="External"/><Relationship Id="rId_hyperlink_2844" Type="http://schemas.openxmlformats.org/officeDocument/2006/relationships/hyperlink" Target="https://b2beez.ru/images/detailed/167/6224627810_c8fp-eo.jpg" TargetMode="External"/><Relationship Id="rId_hyperlink_2845" Type="http://schemas.openxmlformats.org/officeDocument/2006/relationships/hyperlink" Target="https://b2beez.ru/images/detailed/167/6241667103.jpg" TargetMode="External"/><Relationship Id="rId_hyperlink_2846" Type="http://schemas.openxmlformats.org/officeDocument/2006/relationships/hyperlink" Target="https://b2beez.ru/images/detailed/167/orig_onj9-zw.jpg" TargetMode="External"/><Relationship Id="rId_hyperlink_2847" Type="http://schemas.openxmlformats.org/officeDocument/2006/relationships/hyperlink" Target="https://b2beez.ru/images/detailed/167/orig_c4un-uh.jpg" TargetMode="External"/><Relationship Id="rId_hyperlink_2848" Type="http://schemas.openxmlformats.org/officeDocument/2006/relationships/hyperlink" Target="https://b2beez.ru/images/detailed/167/6224627885_imsr-be.jpg" TargetMode="External"/><Relationship Id="rId_hyperlink_2849" Type="http://schemas.openxmlformats.org/officeDocument/2006/relationships/hyperlink" Target="https://b2beez.ru/images/detailed/167/orig_hf2f-ve.jpg" TargetMode="External"/><Relationship Id="rId_hyperlink_2850" Type="http://schemas.openxmlformats.org/officeDocument/2006/relationships/hyperlink" Target="https://b2beez.ru/images/detailed/167/orig_23sy-nf.jpg" TargetMode="External"/><Relationship Id="rId_hyperlink_2851" Type="http://schemas.openxmlformats.org/officeDocument/2006/relationships/hyperlink" Target="https://b2beez.ru/images/detailed/167/6224627832_tbvj-md.jpg" TargetMode="External"/><Relationship Id="rId_hyperlink_2852" Type="http://schemas.openxmlformats.org/officeDocument/2006/relationships/hyperlink" Target="https://b2beez.ru/images/detailed/167/6241667204.jpg" TargetMode="External"/><Relationship Id="rId_hyperlink_2853" Type="http://schemas.openxmlformats.org/officeDocument/2006/relationships/hyperlink" Target="https://b2beez.ru/images/detailed/167/6224628049_vqil-zt.jpg" TargetMode="External"/><Relationship Id="rId_hyperlink_2854" Type="http://schemas.openxmlformats.org/officeDocument/2006/relationships/hyperlink" Target="https://b2beez.ru/images/detailed/167/7080892909.jpg" TargetMode="External"/><Relationship Id="rId_hyperlink_2855" Type="http://schemas.openxmlformats.org/officeDocument/2006/relationships/hyperlink" Target="https://b2beez.ru/images/detailed/168/orig_uns6-j2.jpg" TargetMode="External"/><Relationship Id="rId_hyperlink_2856" Type="http://schemas.openxmlformats.org/officeDocument/2006/relationships/hyperlink" Target="https://b2beez.ru/images/detailed/168/6242641974.jpg" TargetMode="External"/><Relationship Id="rId_hyperlink_2857" Type="http://schemas.openxmlformats.org/officeDocument/2006/relationships/hyperlink" Target="https://b2beez.ru/images/detailed/168/orig_qhay-kl.jpg" TargetMode="External"/><Relationship Id="rId_hyperlink_2858" Type="http://schemas.openxmlformats.org/officeDocument/2006/relationships/hyperlink" Target="https://b2beez.ru/images/detailed/168/6241667303.jpg" TargetMode="External"/><Relationship Id="rId_hyperlink_2859" Type="http://schemas.openxmlformats.org/officeDocument/2006/relationships/hyperlink" Target="https://b2beez.ru/images/detailed/168/orig_nwb1-jb.jpg" TargetMode="External"/><Relationship Id="rId_hyperlink_2860" Type="http://schemas.openxmlformats.org/officeDocument/2006/relationships/hyperlink" Target="https://b2beez.ru/images/detailed/168/7050400720.jpg" TargetMode="External"/><Relationship Id="rId_hyperlink_2861" Type="http://schemas.openxmlformats.org/officeDocument/2006/relationships/hyperlink" Target="https://b2beez.ru/images/detailed/168/6242948924.jpg" TargetMode="External"/><Relationship Id="rId_hyperlink_2862" Type="http://schemas.openxmlformats.org/officeDocument/2006/relationships/hyperlink" Target="https://b2beez.ru/images/detailed/168/6246874265.jpg" TargetMode="External"/><Relationship Id="rId_hyperlink_2863" Type="http://schemas.openxmlformats.org/officeDocument/2006/relationships/hyperlink" Target="https://b2beez.ru/images/detailed/168/orig_bbn4-2g.jpg" TargetMode="External"/><Relationship Id="rId_hyperlink_2864" Type="http://schemas.openxmlformats.org/officeDocument/2006/relationships/hyperlink" Target="https://b2beez.ru/images/detailed/168/6241667110.jpg" TargetMode="External"/><Relationship Id="rId_hyperlink_2865" Type="http://schemas.openxmlformats.org/officeDocument/2006/relationships/hyperlink" Target="https://b2beez.ru/images/detailed/168/6241667309.jpg" TargetMode="External"/><Relationship Id="rId_hyperlink_2866" Type="http://schemas.openxmlformats.org/officeDocument/2006/relationships/hyperlink" Target="https://b2beez.ru/images/detailed/168/6241667095.jpg" TargetMode="External"/><Relationship Id="rId_hyperlink_2867" Type="http://schemas.openxmlformats.org/officeDocument/2006/relationships/hyperlink" Target="https://b2beez.ru/images/detailed/168/orig_dxol-n4.jpg" TargetMode="External"/><Relationship Id="rId_hyperlink_2868" Type="http://schemas.openxmlformats.org/officeDocument/2006/relationships/hyperlink" Target="https://b2beez.ru/images/detailed/168/6241667145.jpg" TargetMode="External"/><Relationship Id="rId_hyperlink_2869" Type="http://schemas.openxmlformats.org/officeDocument/2006/relationships/hyperlink" Target="https://b2beez.ru/images/detailed/168/6241667122.jpg" TargetMode="External"/><Relationship Id="rId_hyperlink_2870" Type="http://schemas.openxmlformats.org/officeDocument/2006/relationships/hyperlink" Target="https://b2beez.ru/images/detailed/168/6241667090.jpg" TargetMode="External"/><Relationship Id="rId_hyperlink_2871" Type="http://schemas.openxmlformats.org/officeDocument/2006/relationships/hyperlink" Target="https://b2beez.ru/images/detailed/168/orig_wnc8-u8.jpg" TargetMode="External"/><Relationship Id="rId_hyperlink_2872" Type="http://schemas.openxmlformats.org/officeDocument/2006/relationships/hyperlink" Target="https://b2beez.ru/images/detailed/168/orig_liep-19.jpg" TargetMode="External"/><Relationship Id="rId_hyperlink_2873" Type="http://schemas.openxmlformats.org/officeDocument/2006/relationships/hyperlink" Target="https://b2beez.ru/images/detailed/168/orig_1p82-49.jpg" TargetMode="External"/><Relationship Id="rId_hyperlink_2874" Type="http://schemas.openxmlformats.org/officeDocument/2006/relationships/hyperlink" Target="https://b2beez.ru/images/detailed/168/6241667124.jpg" TargetMode="External"/><Relationship Id="rId_hyperlink_2875" Type="http://schemas.openxmlformats.org/officeDocument/2006/relationships/hyperlink" Target="https://b2beez.ru/images/detailed/168/6241667233.jpg" TargetMode="External"/><Relationship Id="rId_hyperlink_2876" Type="http://schemas.openxmlformats.org/officeDocument/2006/relationships/hyperlink" Target="https://b2beez.ru/images/detailed/168/orig_km66-wi.jpg" TargetMode="External"/><Relationship Id="rId_hyperlink_2877" Type="http://schemas.openxmlformats.org/officeDocument/2006/relationships/hyperlink" Target="https://b2beez.ru/images/detailed/168/6241667112.jpg" TargetMode="External"/><Relationship Id="rId_hyperlink_2878" Type="http://schemas.openxmlformats.org/officeDocument/2006/relationships/hyperlink" Target="https://b2beez.ru/images/detailed/168/6241667154.jpg" TargetMode="External"/><Relationship Id="rId_hyperlink_2879" Type="http://schemas.openxmlformats.org/officeDocument/2006/relationships/hyperlink" Target="https://b2beez.ru/images/detailed/168/orig_cify-hn.jpg" TargetMode="External"/><Relationship Id="rId_hyperlink_2880" Type="http://schemas.openxmlformats.org/officeDocument/2006/relationships/hyperlink" Target="https://b2beez.ru/images/detailed/168/6241667225.jpg" TargetMode="External"/><Relationship Id="rId_hyperlink_2881" Type="http://schemas.openxmlformats.org/officeDocument/2006/relationships/hyperlink" Target="https://b2beez.ru/images/detailed/169/6224627810_r1u9-3n.jpg" TargetMode="External"/><Relationship Id="rId_hyperlink_2882" Type="http://schemas.openxmlformats.org/officeDocument/2006/relationships/hyperlink" Target="https://b2beez.ru/images/detailed/169/orig_nqln-4t.jpg" TargetMode="External"/><Relationship Id="rId_hyperlink_2883" Type="http://schemas.openxmlformats.org/officeDocument/2006/relationships/hyperlink" Target="https://b2beez.ru/images/detailed/169/orig_novw-1l.jpg" TargetMode="External"/><Relationship Id="rId_hyperlink_2884" Type="http://schemas.openxmlformats.org/officeDocument/2006/relationships/hyperlink" Target="https://b2beez.ru/images/detailed/170/orig.jpg" TargetMode="External"/><Relationship Id="rId_hyperlink_2885" Type="http://schemas.openxmlformats.org/officeDocument/2006/relationships/hyperlink" Target="https://b2beez.ru/images/detailed/171/orig_10yd-7q.jpg" TargetMode="External"/><Relationship Id="rId_hyperlink_2886" Type="http://schemas.openxmlformats.org/officeDocument/2006/relationships/hyperlink" Target="https://b2beez.ru/images/detailed/172/orig_1m9q-1j.jpg" TargetMode="External"/><Relationship Id="rId_hyperlink_2887" Type="http://schemas.openxmlformats.org/officeDocument/2006/relationships/hyperlink" Target="https://b2beez.ru/images/detailed/172/orig_v4n0-n5.jpg" TargetMode="External"/><Relationship Id="rId_hyperlink_2888" Type="http://schemas.openxmlformats.org/officeDocument/2006/relationships/hyperlink" Target="https://b2beez.ru/images/detailed/160/7186655257.jpg" TargetMode="External"/><Relationship Id="rId_hyperlink_2889" Type="http://schemas.openxmlformats.org/officeDocument/2006/relationships/hyperlink" Target="https://b2beez.ru/images/detailed/173/6242948755.jpg" TargetMode="External"/><Relationship Id="rId_hyperlink_2890" Type="http://schemas.openxmlformats.org/officeDocument/2006/relationships/hyperlink" Target="https://b2beez.ru/images/detailed/173/6242948077.jpg" TargetMode="External"/><Relationship Id="rId_hyperlink_2891" Type="http://schemas.openxmlformats.org/officeDocument/2006/relationships/hyperlink" Target="https://b2beez.ru/images/detailed/173/6242948119.jpg" TargetMode="External"/><Relationship Id="rId_hyperlink_2892" Type="http://schemas.openxmlformats.org/officeDocument/2006/relationships/hyperlink" Target="https://b2beez.ru/images/detailed/173/6246915865.jpg" TargetMode="External"/><Relationship Id="rId_hyperlink_2893" Type="http://schemas.openxmlformats.org/officeDocument/2006/relationships/hyperlink" Target="https://b2beez.ru/images/detailed/173/orig_iame-pk.jpg" TargetMode="External"/><Relationship Id="rId_hyperlink_2894" Type="http://schemas.openxmlformats.org/officeDocument/2006/relationships/hyperlink" Target="https://b2beez.ru/images/detailed/173/orig_9n8y-xe.jpg" TargetMode="External"/><Relationship Id="rId_hyperlink_2895" Type="http://schemas.openxmlformats.org/officeDocument/2006/relationships/hyperlink" Target="https://b2beez.ru/images/detailed/173/6741815363.jpg" TargetMode="External"/><Relationship Id="rId_hyperlink_2896" Type="http://schemas.openxmlformats.org/officeDocument/2006/relationships/hyperlink" Target="https://b2beez.ru/images/detailed/173/6741821090.jpg" TargetMode="External"/><Relationship Id="rId_hyperlink_2897" Type="http://schemas.openxmlformats.org/officeDocument/2006/relationships/hyperlink" Target="https://b2beez.ru/images/detailed/173/6741822824.jpg" TargetMode="External"/><Relationship Id="rId_hyperlink_2898" Type="http://schemas.openxmlformats.org/officeDocument/2006/relationships/hyperlink" Target="https://b2beez.ru/images/detailed/173/6692956345.jpg" TargetMode="External"/><Relationship Id="rId_hyperlink_2899" Type="http://schemas.openxmlformats.org/officeDocument/2006/relationships/hyperlink" Target="https://b2beez.ru/images/detailed/173/6585431583.jpg" TargetMode="External"/><Relationship Id="rId_hyperlink_2900" Type="http://schemas.openxmlformats.org/officeDocument/2006/relationships/hyperlink" Target="https://b2beez.ru/images/detailed/173/orig_4t0a-9b.jpg" TargetMode="External"/><Relationship Id="rId_hyperlink_2901" Type="http://schemas.openxmlformats.org/officeDocument/2006/relationships/hyperlink" Target="https://b2beez.ru/images/detailed/173/6242948052.jpg" TargetMode="External"/><Relationship Id="rId_hyperlink_2902" Type="http://schemas.openxmlformats.org/officeDocument/2006/relationships/hyperlink" Target="https://b2beez.ru/images/detailed/173/6494808398.jpg" TargetMode="External"/><Relationship Id="rId_hyperlink_2903" Type="http://schemas.openxmlformats.org/officeDocument/2006/relationships/hyperlink" Target="https://b2beez.ru/images/detailed/173/6242948250.jpg" TargetMode="External"/><Relationship Id="rId_hyperlink_2904" Type="http://schemas.openxmlformats.org/officeDocument/2006/relationships/hyperlink" Target="https://b2beez.ru/images/detailed/173/orig_j03s-dt.jpg" TargetMode="External"/><Relationship Id="rId_hyperlink_2905" Type="http://schemas.openxmlformats.org/officeDocument/2006/relationships/hyperlink" Target="https://b2beez.ru/images/detailed/173/orig_221r-2a.jpg" TargetMode="External"/><Relationship Id="rId_hyperlink_2906" Type="http://schemas.openxmlformats.org/officeDocument/2006/relationships/hyperlink" Target="https://b2beez.ru/images/detailed/174/6242948180.jpg" TargetMode="External"/><Relationship Id="rId_hyperlink_2907" Type="http://schemas.openxmlformats.org/officeDocument/2006/relationships/hyperlink" Target="https://b2beez.ru/images/detailed/174/6242948180_z1pk-qm.jpg" TargetMode="External"/><Relationship Id="rId_hyperlink_2908" Type="http://schemas.openxmlformats.org/officeDocument/2006/relationships/hyperlink" Target="https://b2beez.ru/images/detailed/174/orig_rzxb-b1.jpg" TargetMode="External"/><Relationship Id="rId_hyperlink_2909" Type="http://schemas.openxmlformats.org/officeDocument/2006/relationships/hyperlink" Target="https://b2beez.ru/images/detailed/204/1_vxss-62.jpg" TargetMode="External"/><Relationship Id="rId_hyperlink_2910" Type="http://schemas.openxmlformats.org/officeDocument/2006/relationships/hyperlink" Target="https://b2beez.ru/images/detailed/0/" TargetMode="External"/><Relationship Id="rId_hyperlink_2911" Type="http://schemas.openxmlformats.org/officeDocument/2006/relationships/hyperlink" Target="https://b2beez.ru/images/detailed/176/6243370393.jpg" TargetMode="External"/><Relationship Id="rId_hyperlink_2912" Type="http://schemas.openxmlformats.org/officeDocument/2006/relationships/hyperlink" Target="https://b2beez.ru/images/detailed/176/6536295135.jpg" TargetMode="External"/><Relationship Id="rId_hyperlink_2913" Type="http://schemas.openxmlformats.org/officeDocument/2006/relationships/hyperlink" Target="https://b2beez.ru/images/detailed/176/orig_ew4u-yv.jpg" TargetMode="External"/><Relationship Id="rId_hyperlink_2914" Type="http://schemas.openxmlformats.org/officeDocument/2006/relationships/hyperlink" Target="https://b2beez.ru/images/detailed/176/orig_ntbl-yh.jpg" TargetMode="External"/><Relationship Id="rId_hyperlink_2915" Type="http://schemas.openxmlformats.org/officeDocument/2006/relationships/hyperlink" Target="https://b2beez.ru/images/detailed/177/6242948861.jpg" TargetMode="External"/><Relationship Id="rId_hyperlink_2916" Type="http://schemas.openxmlformats.org/officeDocument/2006/relationships/hyperlink" Target="https://b2beez.ru/images/detailed/178/7137662430.jpg" TargetMode="External"/><Relationship Id="rId_hyperlink_2917" Type="http://schemas.openxmlformats.org/officeDocument/2006/relationships/hyperlink" Target="https://b2beez.ru/images/detailed/178/6243370481.jpg" TargetMode="External"/><Relationship Id="rId_hyperlink_2918" Type="http://schemas.openxmlformats.org/officeDocument/2006/relationships/hyperlink" Target="https://b2beez.ru/images/detailed/179/orig_8ugw-kw.jpg" TargetMode="External"/><Relationship Id="rId_hyperlink_2919" Type="http://schemas.openxmlformats.org/officeDocument/2006/relationships/hyperlink" Target="https://b2beez.ru/images/detailed/180/6337759251.jpg" TargetMode="External"/><Relationship Id="rId_hyperlink_2920" Type="http://schemas.openxmlformats.org/officeDocument/2006/relationships/hyperlink" Target="https://b2beez.ru/images/detailed/180/orig_5vwd-4p.jpg" TargetMode="External"/><Relationship Id="rId_hyperlink_2921" Type="http://schemas.openxmlformats.org/officeDocument/2006/relationships/hyperlink" Target="https://b2beez.ru/images/detailed/0/" TargetMode="External"/><Relationship Id="rId_hyperlink_2922" Type="http://schemas.openxmlformats.org/officeDocument/2006/relationships/hyperlink" Target="https://b2beez.ru/images/detailed/181/orig_m0o6-ff.jpg" TargetMode="External"/><Relationship Id="rId_hyperlink_2923" Type="http://schemas.openxmlformats.org/officeDocument/2006/relationships/hyperlink" Target="https://b2beez.ru/images/detailed/181/6911117808.jpg" TargetMode="External"/><Relationship Id="rId_hyperlink_2924" Type="http://schemas.openxmlformats.org/officeDocument/2006/relationships/hyperlink" Target="https://b2beez.ru/images/detailed/182/6242948699.jpg" TargetMode="External"/><Relationship Id="rId_hyperlink_2925" Type="http://schemas.openxmlformats.org/officeDocument/2006/relationships/hyperlink" Target="https://b2beez.ru/images/detailed/184/orig_945n-x1.jpg" TargetMode="External"/><Relationship Id="rId_hyperlink_2926" Type="http://schemas.openxmlformats.org/officeDocument/2006/relationships/hyperlink" Target="https://b2beez.ru/images/detailed/185/orig_xkvp-zw.jpg" TargetMode="External"/><Relationship Id="rId_hyperlink_2927" Type="http://schemas.openxmlformats.org/officeDocument/2006/relationships/hyperlink" Target="https://b2beez.ru/images/detailed/185/7129242636.jpg" TargetMode="External"/><Relationship Id="rId_hyperlink_2928" Type="http://schemas.openxmlformats.org/officeDocument/2006/relationships/hyperlink" Target="https://b2beez.ru/images/detailed/185/orig_sry3-ty.jpg" TargetMode="External"/><Relationship Id="rId_hyperlink_2929" Type="http://schemas.openxmlformats.org/officeDocument/2006/relationships/hyperlink" Target="https://b2beez.ru/images/detailed/186/orig_iwa2-1t.jpg" TargetMode="External"/><Relationship Id="rId_hyperlink_2930" Type="http://schemas.openxmlformats.org/officeDocument/2006/relationships/hyperlink" Target="https://b2beez.ru/images/detailed/186/6533290863.jpg" TargetMode="External"/><Relationship Id="rId_hyperlink_2931" Type="http://schemas.openxmlformats.org/officeDocument/2006/relationships/hyperlink" Target="https://b2beez.ru/images/detailed/186/orig_8ify-7c.jpg" TargetMode="External"/><Relationship Id="rId_hyperlink_2932" Type="http://schemas.openxmlformats.org/officeDocument/2006/relationships/hyperlink" Target="https://b2beez.ru/images/detailed/186/7129233885.jpg" TargetMode="External"/><Relationship Id="rId_hyperlink_2933" Type="http://schemas.openxmlformats.org/officeDocument/2006/relationships/hyperlink" Target="https://b2beez.ru/images/detailed/187/orig_fr30-08.jpg" TargetMode="External"/><Relationship Id="rId_hyperlink_2934" Type="http://schemas.openxmlformats.org/officeDocument/2006/relationships/hyperlink" Target="https://b2beez.ru/images/detailed/187/6246884603.jpg" TargetMode="External"/><Relationship Id="rId_hyperlink_2935" Type="http://schemas.openxmlformats.org/officeDocument/2006/relationships/hyperlink" Target="https://b2beez.ru/images/detailed/0/" TargetMode="External"/><Relationship Id="rId_hyperlink_2936" Type="http://schemas.openxmlformats.org/officeDocument/2006/relationships/hyperlink" Target="https://b2beez.ru/images/detailed/204/Z-591-2_3ooh-f2.jpg" TargetMode="External"/><Relationship Id="rId_hyperlink_2937" Type="http://schemas.openxmlformats.org/officeDocument/2006/relationships/hyperlink" Target="https://b2beez.ru/images/detailed/0/" TargetMode="External"/><Relationship Id="rId_hyperlink_2938" Type="http://schemas.openxmlformats.org/officeDocument/2006/relationships/hyperlink" Target="https://b2beez.ru/images/detailed/154/orig_zjdr-c7.jpg" TargetMode="External"/><Relationship Id="rId_hyperlink_2939" Type="http://schemas.openxmlformats.org/officeDocument/2006/relationships/hyperlink" Target="https://b2beez.ru/images/detailed/155/6242949144.jpg" TargetMode="External"/><Relationship Id="rId_hyperlink_2940" Type="http://schemas.openxmlformats.org/officeDocument/2006/relationships/hyperlink" Target="https://b2beez.ru/images/detailed/155/orig_bjc5-zm.jpg" TargetMode="External"/><Relationship Id="rId_hyperlink_2941" Type="http://schemas.openxmlformats.org/officeDocument/2006/relationships/hyperlink" Target="https://b2beez.ru/images/detailed/160/6295553932.jpg" TargetMode="External"/><Relationship Id="rId_hyperlink_2942" Type="http://schemas.openxmlformats.org/officeDocument/2006/relationships/hyperlink" Target="https://b2beez.ru/images/detailed/161/orig_8bo5-e8.jpg" TargetMode="External"/><Relationship Id="rId_hyperlink_2943" Type="http://schemas.openxmlformats.org/officeDocument/2006/relationships/hyperlink" Target="https://b2beez.ru/images/detailed/161/6242641640.jpg" TargetMode="External"/><Relationship Id="rId_hyperlink_2944" Type="http://schemas.openxmlformats.org/officeDocument/2006/relationships/hyperlink" Target="https://b2beez.ru/images/detailed/161/6247178832.jpg" TargetMode="External"/><Relationship Id="rId_hyperlink_2945" Type="http://schemas.openxmlformats.org/officeDocument/2006/relationships/hyperlink" Target="https://b2beez.ru/images/detailed/161/6241667249.jpg" TargetMode="External"/><Relationship Id="rId_hyperlink_2946" Type="http://schemas.openxmlformats.org/officeDocument/2006/relationships/hyperlink" Target="https://b2beez.ru/images/detailed/0/" TargetMode="External"/><Relationship Id="rId_hyperlink_2947" Type="http://schemas.openxmlformats.org/officeDocument/2006/relationships/hyperlink" Target="https://b2beez.ru/images/detailed/162/6241667246.jpg" TargetMode="External"/><Relationship Id="rId_hyperlink_2948" Type="http://schemas.openxmlformats.org/officeDocument/2006/relationships/hyperlink" Target="https://b2beez.ru/images/detailed/166/6224627810.jpg" TargetMode="External"/><Relationship Id="rId_hyperlink_2949" Type="http://schemas.openxmlformats.org/officeDocument/2006/relationships/hyperlink" Target="https://b2beez.ru/images/detailed/204/K-2609-2_8uje-en.jpg" TargetMode="External"/><Relationship Id="rId_hyperlink_2950" Type="http://schemas.openxmlformats.org/officeDocument/2006/relationships/hyperlink" Target="https://b2beez.ru/images/detailed/167/6224627810.jpg" TargetMode="External"/><Relationship Id="rId_hyperlink_2951" Type="http://schemas.openxmlformats.org/officeDocument/2006/relationships/hyperlink" Target="https://b2beez.ru/images/detailed/167/6242949496.jpg" TargetMode="External"/><Relationship Id="rId_hyperlink_2952" Type="http://schemas.openxmlformats.org/officeDocument/2006/relationships/hyperlink" Target="https://b2beez.ru/images/detailed/167/6224627810_1f04-cd.jpg" TargetMode="External"/><Relationship Id="rId_hyperlink_2953" Type="http://schemas.openxmlformats.org/officeDocument/2006/relationships/hyperlink" Target="https://b2beez.ru/images/detailed/167/6242949662.jpg" TargetMode="External"/><Relationship Id="rId_hyperlink_2954" Type="http://schemas.openxmlformats.org/officeDocument/2006/relationships/hyperlink" Target="https://b2beez.ru/images/detailed/167/6242948950.jpg" TargetMode="External"/><Relationship Id="rId_hyperlink_2955" Type="http://schemas.openxmlformats.org/officeDocument/2006/relationships/hyperlink" Target="https://b2beez.ru/images/detailed/167/6242949185.jpg" TargetMode="External"/><Relationship Id="rId_hyperlink_2956" Type="http://schemas.openxmlformats.org/officeDocument/2006/relationships/hyperlink" Target="https://b2beez.ru/images/detailed/167/6224627810_6nx5-mc.jpg" TargetMode="External"/><Relationship Id="rId_hyperlink_2957" Type="http://schemas.openxmlformats.org/officeDocument/2006/relationships/hyperlink" Target="https://b2beez.ru/images/detailed/167/6224627810_q6k1-tm.jpg" TargetMode="External"/><Relationship Id="rId_hyperlink_2958" Type="http://schemas.openxmlformats.org/officeDocument/2006/relationships/hyperlink" Target="https://b2beez.ru/images/detailed/167/6224627810_s4r4-lt.jpg" TargetMode="External"/><Relationship Id="rId_hyperlink_2959" Type="http://schemas.openxmlformats.org/officeDocument/2006/relationships/hyperlink" Target="https://b2beez.ru/images/detailed/167/6224627832_1pmh-w0.jpg" TargetMode="External"/><Relationship Id="rId_hyperlink_2960" Type="http://schemas.openxmlformats.org/officeDocument/2006/relationships/hyperlink" Target="https://b2beez.ru/images/detailed/167/6224627964.jpg" TargetMode="External"/><Relationship Id="rId_hyperlink_2961" Type="http://schemas.openxmlformats.org/officeDocument/2006/relationships/hyperlink" Target="https://b2beez.ru/images/detailed/167/6224627964_p7bj-k7.jpg" TargetMode="External"/><Relationship Id="rId_hyperlink_2962" Type="http://schemas.openxmlformats.org/officeDocument/2006/relationships/hyperlink" Target="https://b2beez.ru/images/detailed/203/1_jmez-px.jpg" TargetMode="External"/><Relationship Id="rId_hyperlink_2963" Type="http://schemas.openxmlformats.org/officeDocument/2006/relationships/hyperlink" Target="https://b2beez.ru/images/detailed/168/orig_4zo0-w9.jpg" TargetMode="External"/><Relationship Id="rId_hyperlink_2964" Type="http://schemas.openxmlformats.org/officeDocument/2006/relationships/hyperlink" Target="https://b2beez.ru/images/detailed/169/6224627810_0o55-et.jpg" TargetMode="External"/><Relationship Id="rId_hyperlink_2965" Type="http://schemas.openxmlformats.org/officeDocument/2006/relationships/hyperlink" Target="https://b2beez.ru/images/detailed/169/6224627810_x5tg-uk.jpg" TargetMode="External"/><Relationship Id="rId_hyperlink_2966" Type="http://schemas.openxmlformats.org/officeDocument/2006/relationships/hyperlink" Target="https://b2beez.ru/images/detailed/169/6830327928.jpg" TargetMode="External"/><Relationship Id="rId_hyperlink_2967" Type="http://schemas.openxmlformats.org/officeDocument/2006/relationships/hyperlink" Target="https://b2beez.ru/images/detailed/204/N-175.jpg" TargetMode="External"/><Relationship Id="rId_hyperlink_2968" Type="http://schemas.openxmlformats.org/officeDocument/2006/relationships/hyperlink" Target="https://b2beez.ru/images/detailed/171/6243370148.jpg" TargetMode="External"/><Relationship Id="rId_hyperlink_2969" Type="http://schemas.openxmlformats.org/officeDocument/2006/relationships/hyperlink" Target="https://b2beez.ru/images/detailed/172/orig_gctb-ds.jpg" TargetMode="External"/><Relationship Id="rId_hyperlink_2970" Type="http://schemas.openxmlformats.org/officeDocument/2006/relationships/hyperlink" Target="https://b2beez.ru/images/detailed/172/6242948054_iytw-bz.jpg" TargetMode="External"/><Relationship Id="rId_hyperlink_2971" Type="http://schemas.openxmlformats.org/officeDocument/2006/relationships/hyperlink" Target="https://b2beez.ru/images/detailed/172/6242948054_k2d1-gh.jpg" TargetMode="External"/><Relationship Id="rId_hyperlink_2972" Type="http://schemas.openxmlformats.org/officeDocument/2006/relationships/hyperlink" Target="https://b2beez.ru/images/detailed/173/6741830145.jpg" TargetMode="External"/><Relationship Id="rId_hyperlink_2973" Type="http://schemas.openxmlformats.org/officeDocument/2006/relationships/hyperlink" Target="https://b2beez.ru/images/detailed/173/orig_l4xw-33.jpg" TargetMode="External"/><Relationship Id="rId_hyperlink_2974" Type="http://schemas.openxmlformats.org/officeDocument/2006/relationships/hyperlink" Target="https://b2beez.ru/images/detailed/173/orig_m0qw-p1.jpg" TargetMode="External"/><Relationship Id="rId_hyperlink_2975" Type="http://schemas.openxmlformats.org/officeDocument/2006/relationships/hyperlink" Target="https://b2beez.ru/images/detailed/173/orig_tgo1-23.jpg" TargetMode="External"/><Relationship Id="rId_hyperlink_2976" Type="http://schemas.openxmlformats.org/officeDocument/2006/relationships/hyperlink" Target="https://b2beez.ru/images/detailed/173/orig_xiap-41.jpg" TargetMode="External"/><Relationship Id="rId_hyperlink_2977" Type="http://schemas.openxmlformats.org/officeDocument/2006/relationships/hyperlink" Target="https://b2beez.ru/images/detailed/173/orig_z2ps-jy.jpg" TargetMode="External"/><Relationship Id="rId_hyperlink_2978" Type="http://schemas.openxmlformats.org/officeDocument/2006/relationships/hyperlink" Target="https://b2beez.ru/images/detailed/174/6242948661.jpg" TargetMode="External"/><Relationship Id="rId_hyperlink_2979" Type="http://schemas.openxmlformats.org/officeDocument/2006/relationships/hyperlink" Target="https://b2beez.ru/images/detailed/174/6242948045.jpg" TargetMode="External"/><Relationship Id="rId_hyperlink_2980" Type="http://schemas.openxmlformats.org/officeDocument/2006/relationships/hyperlink" Target="https://b2beez.ru/images/detailed/174/6242949376.jpg" TargetMode="External"/><Relationship Id="rId_hyperlink_2981" Type="http://schemas.openxmlformats.org/officeDocument/2006/relationships/hyperlink" Target="https://b2beez.ru/images/detailed/47/6242948322.jpg" TargetMode="External"/><Relationship Id="rId_hyperlink_2982" Type="http://schemas.openxmlformats.org/officeDocument/2006/relationships/hyperlink" Target="https://b2beez.ru/images/detailed/175/6242948101.jpg" TargetMode="External"/><Relationship Id="rId_hyperlink_2983" Type="http://schemas.openxmlformats.org/officeDocument/2006/relationships/hyperlink" Target="https://b2beez.ru/images/detailed/175/6246915490.jpg" TargetMode="External"/><Relationship Id="rId_hyperlink_2984" Type="http://schemas.openxmlformats.org/officeDocument/2006/relationships/hyperlink" Target="https://b2beez.ru/images/detailed/175/6242948054.jpg" TargetMode="External"/><Relationship Id="rId_hyperlink_2985" Type="http://schemas.openxmlformats.org/officeDocument/2006/relationships/hyperlink" Target="https://b2beez.ru/images/detailed/176/6242948662.jpg" TargetMode="External"/><Relationship Id="rId_hyperlink_2986" Type="http://schemas.openxmlformats.org/officeDocument/2006/relationships/hyperlink" Target="https://b2beez.ru/images/detailed/176/6242949015.jpg" TargetMode="External"/><Relationship Id="rId_hyperlink_2987" Type="http://schemas.openxmlformats.org/officeDocument/2006/relationships/hyperlink" Target="https://b2beez.ru/images/detailed/176/6242949369.jpg" TargetMode="External"/><Relationship Id="rId_hyperlink_2988" Type="http://schemas.openxmlformats.org/officeDocument/2006/relationships/hyperlink" Target="https://b2beez.ru/images/detailed/176/6243370266.jpg" TargetMode="External"/><Relationship Id="rId_hyperlink_2989" Type="http://schemas.openxmlformats.org/officeDocument/2006/relationships/hyperlink" Target="https://b2beez.ru/images/detailed/176/6242948757.jpg" TargetMode="External"/><Relationship Id="rId_hyperlink_2990" Type="http://schemas.openxmlformats.org/officeDocument/2006/relationships/hyperlink" Target="https://b2beez.ru/images/detailed/177/6242948879.jpg" TargetMode="External"/><Relationship Id="rId_hyperlink_2991" Type="http://schemas.openxmlformats.org/officeDocument/2006/relationships/hyperlink" Target="https://b2beez.ru/images/detailed/185/orig_mr16-28.jpg" TargetMode="External"/><Relationship Id="rId_hyperlink_2992" Type="http://schemas.openxmlformats.org/officeDocument/2006/relationships/hyperlink" Target="https://b2beez.ru/images/detailed/185/orig_xk7p-h0.jpg" TargetMode="External"/><Relationship Id="rId_hyperlink_2993" Type="http://schemas.openxmlformats.org/officeDocument/2006/relationships/hyperlink" Target="https://b2beez.ru/images/detailed/185/orig_u9ol-ci.jpg" TargetMode="External"/><Relationship Id="rId_hyperlink_2994" Type="http://schemas.openxmlformats.org/officeDocument/2006/relationships/hyperlink" Target="https://b2beez.ru/images/detailed/185/orig_kohf-f0.jpg" TargetMode="External"/><Relationship Id="rId_hyperlink_2995" Type="http://schemas.openxmlformats.org/officeDocument/2006/relationships/hyperlink" Target="https://b2beez.ru/images/detailed/204/Z-602-2_c8gs-mp.jpg" TargetMode="External"/><Relationship Id="rId_hyperlink_2996" Type="http://schemas.openxmlformats.org/officeDocument/2006/relationships/hyperlink" Target="https://b2beez.ru/images/detailed/204/Z-638-2.jpg" TargetMode="External"/><Relationship Id="rId_hyperlink_2997" Type="http://schemas.openxmlformats.org/officeDocument/2006/relationships/hyperlink" Target="https://b2beez.ru/images/detailed/155/orig_1nf6-q1.jpg" TargetMode="External"/><Relationship Id="rId_hyperlink_2998" Type="http://schemas.openxmlformats.org/officeDocument/2006/relationships/hyperlink" Target="https://b2beez.ru/images/detailed/154/7090240155.jpg" TargetMode="External"/><Relationship Id="rId_hyperlink_2999" Type="http://schemas.openxmlformats.org/officeDocument/2006/relationships/hyperlink" Target="https://b2beez.ru/images/detailed/167/6242949231.jpg" TargetMode="External"/><Relationship Id="rId_hyperlink_3000" Type="http://schemas.openxmlformats.org/officeDocument/2006/relationships/hyperlink" Target="https://b2beez.ru/images/detailed/168/6241667242.jpg" TargetMode="External"/><Relationship Id="rId_hyperlink_3001" Type="http://schemas.openxmlformats.org/officeDocument/2006/relationships/hyperlink" Target="https://b2beez.ru/images/detailed/167/6246910102.jpg" TargetMode="External"/><Relationship Id="rId_hyperlink_3002" Type="http://schemas.openxmlformats.org/officeDocument/2006/relationships/hyperlink" Target="https://b2beez.ru/images/detailed/186/6242948079.jpg" TargetMode="External"/><Relationship Id="rId_hyperlink_3003" Type="http://schemas.openxmlformats.org/officeDocument/2006/relationships/hyperlink" Target="https://b2beez.ru/images/detailed/186/6242948225.jpg" TargetMode="External"/><Relationship Id="rId_hyperlink_3004" Type="http://schemas.openxmlformats.org/officeDocument/2006/relationships/hyperlink" Target="https://b2beez.ru/images/detailed/155/6242948653.jpg" TargetMode="External"/><Relationship Id="rId_hyperlink_3005" Type="http://schemas.openxmlformats.org/officeDocument/2006/relationships/hyperlink" Target="https://b2beez.ru/images/detailed/176/orig_58gf-6w.jpg" TargetMode="External"/><Relationship Id="rId_hyperlink_3006" Type="http://schemas.openxmlformats.org/officeDocument/2006/relationships/hyperlink" Target="https://b2beez.ru/images/detailed/179/6246937112.jpg" TargetMode="External"/><Relationship Id="rId_hyperlink_3007" Type="http://schemas.openxmlformats.org/officeDocument/2006/relationships/hyperlink" Target="https://b2beez.ru/images/detailed/155/6242949405.jpg" TargetMode="External"/><Relationship Id="rId_hyperlink_3008" Type="http://schemas.openxmlformats.org/officeDocument/2006/relationships/hyperlink" Target="https://b2beez.ru/images/detailed/179/6242948088.jpg" TargetMode="External"/><Relationship Id="rId_hyperlink_3009" Type="http://schemas.openxmlformats.org/officeDocument/2006/relationships/hyperlink" Target="https://b2beez.ru/images/detailed/172/orig_a1x2-fh.jpg" TargetMode="External"/><Relationship Id="rId_hyperlink_3010" Type="http://schemas.openxmlformats.org/officeDocument/2006/relationships/hyperlink" Target="https://b2beez.ru/images/detailed/182/orig_ex8n-eo.jpg" TargetMode="External"/><Relationship Id="rId_hyperlink_3011" Type="http://schemas.openxmlformats.org/officeDocument/2006/relationships/hyperlink" Target="https://b2beez.ru/images/detailed/187/6787018707.jpg" TargetMode="External"/><Relationship Id="rId_hyperlink_3012" Type="http://schemas.openxmlformats.org/officeDocument/2006/relationships/hyperlink" Target="https://b2beez.ru/images/detailed/161/orig_db1u-7e.jpg" TargetMode="External"/><Relationship Id="rId_hyperlink_3013" Type="http://schemas.openxmlformats.org/officeDocument/2006/relationships/hyperlink" Target="https://b2beez.ru/images/detailed/161/orig_e2t9-15.jpg" TargetMode="External"/><Relationship Id="rId_hyperlink_3014" Type="http://schemas.openxmlformats.org/officeDocument/2006/relationships/hyperlink" Target="https://b2beez.ru/images/detailed/161/6787001904.jpg" TargetMode="External"/><Relationship Id="rId_hyperlink_3015" Type="http://schemas.openxmlformats.org/officeDocument/2006/relationships/hyperlink" Target="https://b2beez.ru/images/detailed/186/orig_nuhw-q9.jpg" TargetMode="External"/><Relationship Id="rId_hyperlink_3016" Type="http://schemas.openxmlformats.org/officeDocument/2006/relationships/hyperlink" Target="https://b2beez.ru/images/detailed/156/6861973202.jpg" TargetMode="External"/><Relationship Id="rId_hyperlink_3017" Type="http://schemas.openxmlformats.org/officeDocument/2006/relationships/hyperlink" Target="https://b2beez.ru/images/detailed/186/orig_54nt-lo.jpg" TargetMode="External"/><Relationship Id="rId_hyperlink_3018" Type="http://schemas.openxmlformats.org/officeDocument/2006/relationships/hyperlink" Target="https://b2beez.ru/images/detailed/47/orig_xqh2-tz.jpg" TargetMode="External"/><Relationship Id="rId_hyperlink_3019" Type="http://schemas.openxmlformats.org/officeDocument/2006/relationships/hyperlink" Target="https://b2beez.ru/images/detailed/161/6830597841.jpg" TargetMode="External"/><Relationship Id="rId_hyperlink_3020" Type="http://schemas.openxmlformats.org/officeDocument/2006/relationships/hyperlink" Target="https://b2beez.ru/images/detailed/187/orig_huvw-qy.jpg" TargetMode="External"/><Relationship Id="rId_hyperlink_3021" Type="http://schemas.openxmlformats.org/officeDocument/2006/relationships/hyperlink" Target="https://b2beez.ru/images/detailed/204/G-85-2_lldg-9d.jpg" TargetMode="External"/><Relationship Id="rId_hyperlink_3022" Type="http://schemas.openxmlformats.org/officeDocument/2006/relationships/hyperlink" Target="https://b2beez.ru/images/detailed/162/orig_3c3n-ho.jpg" TargetMode="External"/><Relationship Id="rId_hyperlink_3023" Type="http://schemas.openxmlformats.org/officeDocument/2006/relationships/hyperlink" Target="https://b2beez.ru/images/detailed/154/6241667142.jpg" TargetMode="External"/><Relationship Id="rId_hyperlink_3024" Type="http://schemas.openxmlformats.org/officeDocument/2006/relationships/hyperlink" Target="https://b2beez.ru/images/detailed/154/6241667063.jpg" TargetMode="External"/><Relationship Id="rId_hyperlink_3025" Type="http://schemas.openxmlformats.org/officeDocument/2006/relationships/hyperlink" Target="https://b2beez.ru/images/detailed/167/orig_3psg-yh.jpg" TargetMode="External"/><Relationship Id="rId_hyperlink_3026" Type="http://schemas.openxmlformats.org/officeDocument/2006/relationships/hyperlink" Target="https://b2beez.ru/images/detailed/0/" TargetMode="External"/><Relationship Id="rId_hyperlink_3027" Type="http://schemas.openxmlformats.org/officeDocument/2006/relationships/hyperlink" Target="https://b2beez.ru/images/detailed/204/Z-7510.jpg" TargetMode="External"/><Relationship Id="rId_hyperlink_3028" Type="http://schemas.openxmlformats.org/officeDocument/2006/relationships/hyperlink" Target="https://b2beez.ru/images/detailed/48/6295554006.jpg" TargetMode="External"/><Relationship Id="rId_hyperlink_3029" Type="http://schemas.openxmlformats.org/officeDocument/2006/relationships/hyperlink" Target="https://b2beez.ru/images/detailed/171/6911116425.jpg" TargetMode="External"/><Relationship Id="rId_hyperlink_3030" Type="http://schemas.openxmlformats.org/officeDocument/2006/relationships/hyperlink" Target="https://b2beez.ru/images/detailed/178/orig_6pqx-j7.jpg" TargetMode="External"/><Relationship Id="rId_hyperlink_3031" Type="http://schemas.openxmlformats.org/officeDocument/2006/relationships/hyperlink" Target="https://b2beez.ru/images/detailed/187/orig_wlof-yv.jpg" TargetMode="External"/><Relationship Id="rId_hyperlink_3032" Type="http://schemas.openxmlformats.org/officeDocument/2006/relationships/hyperlink" Target="https://b2beez.ru/images/detailed/168/orig_krd3-ly.jpg" TargetMode="External"/><Relationship Id="rId_hyperlink_3033" Type="http://schemas.openxmlformats.org/officeDocument/2006/relationships/hyperlink" Target="https://b2beez.ru/images/detailed/156/orig_xu9s-ew.jpg" TargetMode="External"/><Relationship Id="rId_hyperlink_3034" Type="http://schemas.openxmlformats.org/officeDocument/2006/relationships/hyperlink" Target="https://b2beez.ru/images/detailed/156/orig_f06n-vv.jpg" TargetMode="External"/><Relationship Id="rId_hyperlink_3035" Type="http://schemas.openxmlformats.org/officeDocument/2006/relationships/hyperlink" Target="https://b2beez.ru/images/detailed/156/6241667082.jpg" TargetMode="External"/><Relationship Id="rId_hyperlink_3036" Type="http://schemas.openxmlformats.org/officeDocument/2006/relationships/hyperlink" Target="https://b2beez.ru/images/detailed/155/orig_3q45-dg.jpg" TargetMode="External"/><Relationship Id="rId_hyperlink_3037" Type="http://schemas.openxmlformats.org/officeDocument/2006/relationships/hyperlink" Target="https://b2beez.ru/images/detailed/155/6417447889.jpg" TargetMode="External"/><Relationship Id="rId_hyperlink_3038" Type="http://schemas.openxmlformats.org/officeDocument/2006/relationships/hyperlink" Target="https://b2beez.ru/images/detailed/176/7181115591.jpg" TargetMode="External"/><Relationship Id="rId_hyperlink_3039" Type="http://schemas.openxmlformats.org/officeDocument/2006/relationships/hyperlink" Target="https://b2beez.ru/images/detailed/159/orig_h0vg-d2.jpg" TargetMode="External"/><Relationship Id="rId_hyperlink_3040" Type="http://schemas.openxmlformats.org/officeDocument/2006/relationships/hyperlink" Target="https://b2beez.ru/images/detailed/184/orig_6qsw-rx.jpg" TargetMode="External"/><Relationship Id="rId_hyperlink_3041" Type="http://schemas.openxmlformats.org/officeDocument/2006/relationships/hyperlink" Target="https://b2beez.ru/images/detailed/187/orig_315m-sj.jpg" TargetMode="External"/><Relationship Id="rId_hyperlink_3042" Type="http://schemas.openxmlformats.org/officeDocument/2006/relationships/hyperlink" Target="https://b2beez.ru/images/detailed/204/1_65qt-9k.jpg" TargetMode="External"/><Relationship Id="rId_hyperlink_3043" Type="http://schemas.openxmlformats.org/officeDocument/2006/relationships/hyperlink" Target="https://b2beez.ru/images/detailed/167/6787000409.jpg" TargetMode="External"/><Relationship Id="rId_hyperlink_3044" Type="http://schemas.openxmlformats.org/officeDocument/2006/relationships/hyperlink" Target="https://b2beez.ru/images/detailed/153/orig_tf8t-lq.jpg" TargetMode="External"/><Relationship Id="rId_hyperlink_3045" Type="http://schemas.openxmlformats.org/officeDocument/2006/relationships/hyperlink" Target="https://b2beez.ru/images/detailed/162/orig_riqp-4q.jpg" TargetMode="External"/><Relationship Id="rId_hyperlink_3046" Type="http://schemas.openxmlformats.org/officeDocument/2006/relationships/hyperlink" Target="https://b2beez.ru/images/detailed/173/orig_ftj6-h8.jpg" TargetMode="External"/><Relationship Id="rId_hyperlink_3047" Type="http://schemas.openxmlformats.org/officeDocument/2006/relationships/hyperlink" Target="https://b2beez.ru/images/detailed/204/1_5aun-e8.jpg" TargetMode="External"/><Relationship Id="rId_hyperlink_3048" Type="http://schemas.openxmlformats.org/officeDocument/2006/relationships/hyperlink" Target="https://b2beez.ru/images/detailed/177/6242948870.jpg" TargetMode="External"/><Relationship Id="rId_hyperlink_3049" Type="http://schemas.openxmlformats.org/officeDocument/2006/relationships/hyperlink" Target="https://b2beez.ru/images/detailed/155/orig_m6xm-at.jpg" TargetMode="External"/><Relationship Id="rId_hyperlink_3050" Type="http://schemas.openxmlformats.org/officeDocument/2006/relationships/hyperlink" Target="https://b2beez.ru/images/detailed/161/6717474885.jpg" TargetMode="External"/><Relationship Id="rId_hyperlink_3051" Type="http://schemas.openxmlformats.org/officeDocument/2006/relationships/hyperlink" Target="https://b2beez.ru/images/detailed/204/Z-998.jpg" TargetMode="External"/><Relationship Id="rId_hyperlink_3052" Type="http://schemas.openxmlformats.org/officeDocument/2006/relationships/hyperlink" Target="https://b2beez.ru/images/detailed/156/6243482530.jpg" TargetMode="External"/><Relationship Id="rId_hyperlink_3053" Type="http://schemas.openxmlformats.org/officeDocument/2006/relationships/hyperlink" Target="https://b2beez.ru/images/detailed/154/6843718450.jpg" TargetMode="External"/><Relationship Id="rId_hyperlink_3054" Type="http://schemas.openxmlformats.org/officeDocument/2006/relationships/hyperlink" Target="https://b2beez.ru/images/detailed/179/orig_0gat-0g.jpg" TargetMode="External"/><Relationship Id="rId_hyperlink_3055" Type="http://schemas.openxmlformats.org/officeDocument/2006/relationships/hyperlink" Target="https://b2beez.ru/images/detailed/162/orig_753c-rj.jpg" TargetMode="External"/><Relationship Id="rId_hyperlink_3056" Type="http://schemas.openxmlformats.org/officeDocument/2006/relationships/hyperlink" Target="https://b2beez.ru/images/detailed/162/6901585970.jpg" TargetMode="External"/><Relationship Id="rId_hyperlink_3057" Type="http://schemas.openxmlformats.org/officeDocument/2006/relationships/hyperlink" Target="https://b2beez.ru/images/detailed/155/6243482583.jpg" TargetMode="External"/><Relationship Id="rId_hyperlink_3058" Type="http://schemas.openxmlformats.org/officeDocument/2006/relationships/hyperlink" Target="https://b2beez.ru/images/detailed/185/7154790658.jpg" TargetMode="External"/><Relationship Id="rId_hyperlink_3059" Type="http://schemas.openxmlformats.org/officeDocument/2006/relationships/hyperlink" Target="https://b2beez.ru/images/detailed/186/orig_5hbf-fn.jpg" TargetMode="External"/><Relationship Id="rId_hyperlink_3060" Type="http://schemas.openxmlformats.org/officeDocument/2006/relationships/hyperlink" Target="https://b2beez.ru/images/detailed/161/orig_4gb9-62.jpg" TargetMode="External"/><Relationship Id="rId_hyperlink_3061" Type="http://schemas.openxmlformats.org/officeDocument/2006/relationships/hyperlink" Target="https://b2beez.ru/images/detailed/179/6983198662.jpg" TargetMode="External"/><Relationship Id="rId_hyperlink_3062" Type="http://schemas.openxmlformats.org/officeDocument/2006/relationships/hyperlink" Target="https://b2beez.ru/images/detailed/166/orig_8ukw-1h.jpg" TargetMode="External"/><Relationship Id="rId_hyperlink_3063" Type="http://schemas.openxmlformats.org/officeDocument/2006/relationships/hyperlink" Target="https://b2beez.ru/images/detailed/171/orig_5gu2-65.jpg" TargetMode="External"/><Relationship Id="rId_hyperlink_3064" Type="http://schemas.openxmlformats.org/officeDocument/2006/relationships/hyperlink" Target="https://b2beez.ru/images/detailed/186/orig_aukj-4d.jpg" TargetMode="External"/><Relationship Id="rId_hyperlink_3065" Type="http://schemas.openxmlformats.org/officeDocument/2006/relationships/hyperlink" Target="https://b2beez.ru/images/detailed/174/orig_b0u4-ud.jpg" TargetMode="External"/><Relationship Id="rId_hyperlink_3066" Type="http://schemas.openxmlformats.org/officeDocument/2006/relationships/hyperlink" Target="https://b2beez.ru/images/detailed/175/6923481828.jpg" TargetMode="External"/><Relationship Id="rId_hyperlink_3067" Type="http://schemas.openxmlformats.org/officeDocument/2006/relationships/hyperlink" Target="https://b2beez.ru/images/detailed/48/orig_qxka-uj.jpg" TargetMode="External"/><Relationship Id="rId_hyperlink_3068" Type="http://schemas.openxmlformats.org/officeDocument/2006/relationships/hyperlink" Target="https://b2beez.ru/images/detailed/204/0100_1677.jpg" TargetMode="External"/><Relationship Id="rId_hyperlink_3069" Type="http://schemas.openxmlformats.org/officeDocument/2006/relationships/hyperlink" Target="https://b2beez.ru/images/detailed/48/orig_w86x-d8.jpg" TargetMode="External"/><Relationship Id="rId_hyperlink_3070" Type="http://schemas.openxmlformats.org/officeDocument/2006/relationships/hyperlink" Target="https://b2beez.ru/images/detailed/173/orig_vxpw-mq.jpg" TargetMode="External"/><Relationship Id="rId_hyperlink_3071" Type="http://schemas.openxmlformats.org/officeDocument/2006/relationships/hyperlink" Target="https://b2beez.ru/images/detailed/181/6861999459.jpg" TargetMode="External"/><Relationship Id="rId_hyperlink_3072" Type="http://schemas.openxmlformats.org/officeDocument/2006/relationships/hyperlink" Target="https://b2beez.ru/images/detailed/181/6861996014.jpg" TargetMode="External"/><Relationship Id="rId_hyperlink_3073" Type="http://schemas.openxmlformats.org/officeDocument/2006/relationships/hyperlink" Target="https://b2beez.ru/images/detailed/161/orig_dcun-t6.jpg" TargetMode="External"/><Relationship Id="rId_hyperlink_3074" Type="http://schemas.openxmlformats.org/officeDocument/2006/relationships/hyperlink" Target="https://b2beez.ru/images/detailed/171/6824406794.jpg" TargetMode="External"/><Relationship Id="rId_hyperlink_3075" Type="http://schemas.openxmlformats.org/officeDocument/2006/relationships/hyperlink" Target="https://b2beez.ru/images/detailed/177/6243482688.jpg" TargetMode="External"/><Relationship Id="rId_hyperlink_3076" Type="http://schemas.openxmlformats.org/officeDocument/2006/relationships/hyperlink" Target="https://b2beez.ru/images/detailed/174/orig_f6xm-w4.jpg" TargetMode="External"/><Relationship Id="rId_hyperlink_3077" Type="http://schemas.openxmlformats.org/officeDocument/2006/relationships/hyperlink" Target="https://b2beez.ru/images/detailed/175/6924168567.jpg" TargetMode="External"/><Relationship Id="rId_hyperlink_3078" Type="http://schemas.openxmlformats.org/officeDocument/2006/relationships/hyperlink" Target="https://b2beez.ru/images/detailed/156/orig_nqzr-ek.jpg" TargetMode="External"/><Relationship Id="rId_hyperlink_3079" Type="http://schemas.openxmlformats.org/officeDocument/2006/relationships/hyperlink" Target="https://b2beez.ru/images/detailed/204/O-9009-2.jpg" TargetMode="External"/><Relationship Id="rId_hyperlink_3080" Type="http://schemas.openxmlformats.org/officeDocument/2006/relationships/hyperlink" Target="https://b2beez.ru/images/detailed/185/orig.jpg" TargetMode="External"/><Relationship Id="rId_hyperlink_3081" Type="http://schemas.openxmlformats.org/officeDocument/2006/relationships/hyperlink" Target="https://b2beez.ru/images/detailed/169/7131303515.jpg" TargetMode="External"/><Relationship Id="rId_hyperlink_3082" Type="http://schemas.openxmlformats.org/officeDocument/2006/relationships/hyperlink" Target="https://b2beez.ru/images/detailed/155/orig_3uts-05.jpg" TargetMode="External"/><Relationship Id="rId_hyperlink_3083" Type="http://schemas.openxmlformats.org/officeDocument/2006/relationships/hyperlink" Target="https://b2beez.ru/images/detailed/177/orig_hw6m-xb.jpg" TargetMode="External"/><Relationship Id="rId_hyperlink_3084" Type="http://schemas.openxmlformats.org/officeDocument/2006/relationships/hyperlink" Target="https://b2beez.ru/images/detailed/169/orig_8at4-6w.jpg" TargetMode="External"/><Relationship Id="rId_hyperlink_3085" Type="http://schemas.openxmlformats.org/officeDocument/2006/relationships/hyperlink" Target="https://b2beez.ru/images/detailed/166/orig_vc9z-ko.jpg" TargetMode="External"/><Relationship Id="rId_hyperlink_3086" Type="http://schemas.openxmlformats.org/officeDocument/2006/relationships/hyperlink" Target="https://b2beez.ru/images/detailed/176/orig_izvv-u7.jpg" TargetMode="External"/><Relationship Id="rId_hyperlink_3087" Type="http://schemas.openxmlformats.org/officeDocument/2006/relationships/hyperlink" Target="https://b2beez.ru/images/detailed/162/6242949561.jpg" TargetMode="External"/><Relationship Id="rId_hyperlink_3088" Type="http://schemas.openxmlformats.org/officeDocument/2006/relationships/hyperlink" Target="https://b2beez.ru/images/detailed/156/orig_z4bt-ip.jpg" TargetMode="External"/><Relationship Id="rId_hyperlink_3089" Type="http://schemas.openxmlformats.org/officeDocument/2006/relationships/hyperlink" Target="https://b2beez.ru/images/detailed/167/orig_q3pb-sm.jpg" TargetMode="External"/><Relationship Id="rId_hyperlink_3090" Type="http://schemas.openxmlformats.org/officeDocument/2006/relationships/hyperlink" Target="https://b2beez.ru/images/detailed/162/orig_9kig-1w.jpg" TargetMode="External"/><Relationship Id="rId_hyperlink_3091" Type="http://schemas.openxmlformats.org/officeDocument/2006/relationships/hyperlink" Target="https://b2beez.ru/images/detailed/174/6243482165.jpg" TargetMode="External"/><Relationship Id="rId_hyperlink_3092" Type="http://schemas.openxmlformats.org/officeDocument/2006/relationships/hyperlink" Target="https://b2beez.ru/images/detailed/156/orig_fdah-n9.jpg" TargetMode="External"/><Relationship Id="rId_hyperlink_3093" Type="http://schemas.openxmlformats.org/officeDocument/2006/relationships/hyperlink" Target="https://b2beez.ru/images/detailed/155/orig_4au8-8m.jpg" TargetMode="External"/><Relationship Id="rId_hyperlink_3094" Type="http://schemas.openxmlformats.org/officeDocument/2006/relationships/hyperlink" Target="https://b2beez.ru/images/detailed/156/orig_ferb-nu.jpg" TargetMode="External"/><Relationship Id="rId_hyperlink_3095" Type="http://schemas.openxmlformats.org/officeDocument/2006/relationships/hyperlink" Target="https://b2beez.ru/images/detailed/166/orig_4xeg-37.jpg" TargetMode="External"/><Relationship Id="rId_hyperlink_3096" Type="http://schemas.openxmlformats.org/officeDocument/2006/relationships/hyperlink" Target="https://b2beez.ru/images/detailed/167/orig_q8mx-ml.jpg" TargetMode="External"/><Relationship Id="rId_hyperlink_3097" Type="http://schemas.openxmlformats.org/officeDocument/2006/relationships/hyperlink" Target="https://b2beez.ru/images/detailed/167/orig_7abb-55.jpg" TargetMode="External"/><Relationship Id="rId_hyperlink_3098" Type="http://schemas.openxmlformats.org/officeDocument/2006/relationships/hyperlink" Target="https://b2beez.ru/images/detailed/166/7051912752.jpg" TargetMode="External"/><Relationship Id="rId_hyperlink_3099" Type="http://schemas.openxmlformats.org/officeDocument/2006/relationships/hyperlink" Target="https://b2beez.ru/images/detailed/167/6243482343.jpg" TargetMode="External"/><Relationship Id="rId_hyperlink_3100" Type="http://schemas.openxmlformats.org/officeDocument/2006/relationships/hyperlink" Target="https://b2beez.ru/images/detailed/169/6830349480.jpg" TargetMode="External"/><Relationship Id="rId_hyperlink_3101" Type="http://schemas.openxmlformats.org/officeDocument/2006/relationships/hyperlink" Target="https://b2beez.ru/images/detailed/154/orig_pc5f-ml.jpg" TargetMode="External"/><Relationship Id="rId_hyperlink_3102" Type="http://schemas.openxmlformats.org/officeDocument/2006/relationships/hyperlink" Target="https://b2beez.ru/images/detailed/48/orig_4r8k-th.jpg" TargetMode="External"/><Relationship Id="rId_hyperlink_3103" Type="http://schemas.openxmlformats.org/officeDocument/2006/relationships/hyperlink" Target="https://b2beez.ru/images/detailed/173/orig_ylq8-eh.jpg" TargetMode="External"/><Relationship Id="rId_hyperlink_3104" Type="http://schemas.openxmlformats.org/officeDocument/2006/relationships/hyperlink" Target="https://b2beez.ru/images/detailed/173/orig_dq92-ly.jpg" TargetMode="External"/><Relationship Id="rId_hyperlink_3105" Type="http://schemas.openxmlformats.org/officeDocument/2006/relationships/hyperlink" Target="https://b2beez.ru/images/detailed/186/orig_asak-li.jpg" TargetMode="External"/><Relationship Id="rId_hyperlink_3106" Type="http://schemas.openxmlformats.org/officeDocument/2006/relationships/hyperlink" Target="https://b2beez.ru/images/detailed/186/7052846682.jpg" TargetMode="External"/><Relationship Id="rId_hyperlink_3107" Type="http://schemas.openxmlformats.org/officeDocument/2006/relationships/hyperlink" Target="https://b2beez.ru/images/detailed/186/orig_drfq-18.jpg" TargetMode="External"/><Relationship Id="rId_hyperlink_3108" Type="http://schemas.openxmlformats.org/officeDocument/2006/relationships/hyperlink" Target="https://b2beez.ru/images/detailed/156/orig_spfe-0i.jpg" TargetMode="External"/><Relationship Id="rId_hyperlink_3109" Type="http://schemas.openxmlformats.org/officeDocument/2006/relationships/hyperlink" Target="https://b2beez.ru/images/detailed/162/6243482434.jpg" TargetMode="External"/><Relationship Id="rId_hyperlink_3110" Type="http://schemas.openxmlformats.org/officeDocument/2006/relationships/hyperlink" Target="https://b2beez.ru/images/detailed/174/orig_sw0v-5z.jpg" TargetMode="External"/><Relationship Id="rId_hyperlink_3111" Type="http://schemas.openxmlformats.org/officeDocument/2006/relationships/hyperlink" Target="https://b2beez.ru/images/detailed/174/orig_fsc9-l5.jpg" TargetMode="External"/><Relationship Id="rId_hyperlink_3112" Type="http://schemas.openxmlformats.org/officeDocument/2006/relationships/hyperlink" Target="https://b2beez.ru/images/detailed/175/orig_wu91-qi.jpg" TargetMode="External"/><Relationship Id="rId_hyperlink_3113" Type="http://schemas.openxmlformats.org/officeDocument/2006/relationships/hyperlink" Target="https://b2beez.ru/images/detailed/175/orig_uakg-eb.jpg" TargetMode="External"/><Relationship Id="rId_hyperlink_3114" Type="http://schemas.openxmlformats.org/officeDocument/2006/relationships/hyperlink" Target="https://b2beez.ru/images/detailed/174/orig_apsc-ni.jpg" TargetMode="External"/><Relationship Id="rId_hyperlink_3115" Type="http://schemas.openxmlformats.org/officeDocument/2006/relationships/hyperlink" Target="https://b2beez.ru/images/detailed/175/orig_z1it-cu.jpg" TargetMode="External"/><Relationship Id="rId_hyperlink_3116" Type="http://schemas.openxmlformats.org/officeDocument/2006/relationships/hyperlink" Target="https://b2beez.ru/images/detailed/204/1_gwqv-kq.jpg" TargetMode="External"/><Relationship Id="rId_hyperlink_3117" Type="http://schemas.openxmlformats.org/officeDocument/2006/relationships/hyperlink" Target="https://b2beez.ru/images/detailed/171/orig_qw8f-sf.jpg" TargetMode="External"/><Relationship Id="rId_hyperlink_3118" Type="http://schemas.openxmlformats.org/officeDocument/2006/relationships/hyperlink" Target="https://b2beez.ru/images/detailed/173/orig_3y67-2n.jpg" TargetMode="External"/><Relationship Id="rId_hyperlink_3119" Type="http://schemas.openxmlformats.org/officeDocument/2006/relationships/hyperlink" Target="https://b2beez.ru/images/detailed/174/orig_h66k-7f.jpg" TargetMode="External"/><Relationship Id="rId_hyperlink_3120" Type="http://schemas.openxmlformats.org/officeDocument/2006/relationships/hyperlink" Target="https://b2beez.ru/images/detailed/161/6243482471.jpg" TargetMode="External"/><Relationship Id="rId_hyperlink_3121" Type="http://schemas.openxmlformats.org/officeDocument/2006/relationships/hyperlink" Target="https://b2beez.ru/images/detailed/181/orig_67iu-0t.jpg" TargetMode="External"/><Relationship Id="rId_hyperlink_3122" Type="http://schemas.openxmlformats.org/officeDocument/2006/relationships/hyperlink" Target="https://b2beez.ru/images/detailed/180/orig_8gqp-9v.jpg" TargetMode="External"/><Relationship Id="rId_hyperlink_3123" Type="http://schemas.openxmlformats.org/officeDocument/2006/relationships/hyperlink" Target="https://b2beez.ru/images/detailed/161/orig_ln1d-1u.jpg" TargetMode="External"/><Relationship Id="rId_hyperlink_3124" Type="http://schemas.openxmlformats.org/officeDocument/2006/relationships/hyperlink" Target="https://b2beez.ru/images/detailed/181/orig_rmd3-73.jpg" TargetMode="External"/><Relationship Id="rId_hyperlink_3125" Type="http://schemas.openxmlformats.org/officeDocument/2006/relationships/hyperlink" Target="https://b2beez.ru/images/detailed/179/orig_2adk-mo.jpg" TargetMode="External"/><Relationship Id="rId_hyperlink_3126" Type="http://schemas.openxmlformats.org/officeDocument/2006/relationships/hyperlink" Target="https://b2beez.ru/images/detailed/156/orig_707t-50.jpg" TargetMode="External"/><Relationship Id="rId_hyperlink_3127" Type="http://schemas.openxmlformats.org/officeDocument/2006/relationships/hyperlink" Target="https://b2beez.ru/images/detailed/154/6243482078.jpg" TargetMode="External"/><Relationship Id="rId_hyperlink_3128" Type="http://schemas.openxmlformats.org/officeDocument/2006/relationships/hyperlink" Target="https://b2beez.ru/images/detailed/204/Z-95-2.jpg" TargetMode="External"/><Relationship Id="rId_hyperlink_3129" Type="http://schemas.openxmlformats.org/officeDocument/2006/relationships/hyperlink" Target="https://b2beez.ru/images/detailed/166/orig_e46j-xi.jpg" TargetMode="External"/><Relationship Id="rId_hyperlink_3130" Type="http://schemas.openxmlformats.org/officeDocument/2006/relationships/hyperlink" Target="https://b2beez.ru/images/detailed/169/orig_545v-8y.jpg" TargetMode="External"/><Relationship Id="rId_hyperlink_3131" Type="http://schemas.openxmlformats.org/officeDocument/2006/relationships/hyperlink" Target="https://b2beez.ru/images/detailed/169/orig_6izs-ze.jpg" TargetMode="External"/><Relationship Id="rId_hyperlink_3132" Type="http://schemas.openxmlformats.org/officeDocument/2006/relationships/hyperlink" Target="https://b2beez.ru/images/detailed/166/orig_iq8h-4i.jpg" TargetMode="External"/><Relationship Id="rId_hyperlink_3133" Type="http://schemas.openxmlformats.org/officeDocument/2006/relationships/hyperlink" Target="https://b2beez.ru/images/detailed/169/orig_x8yq-wq.jpg" TargetMode="External"/><Relationship Id="rId_hyperlink_3134" Type="http://schemas.openxmlformats.org/officeDocument/2006/relationships/hyperlink" Target="https://b2beez.ru/images/detailed/155/orig_p5fo-de.jpg" TargetMode="External"/><Relationship Id="rId_hyperlink_3135" Type="http://schemas.openxmlformats.org/officeDocument/2006/relationships/hyperlink" Target="https://b2beez.ru/images/detailed/183/orig_rvlj-l3.jpg" TargetMode="External"/><Relationship Id="rId_hyperlink_3136" Type="http://schemas.openxmlformats.org/officeDocument/2006/relationships/hyperlink" Target="https://b2beez.ru/images/detailed/187/orig_16hk-tg.jpg" TargetMode="External"/><Relationship Id="rId_hyperlink_3137" Type="http://schemas.openxmlformats.org/officeDocument/2006/relationships/hyperlink" Target="https://b2beez.ru/images/detailed/154/orig_8ggs-sz.jpg" TargetMode="External"/><Relationship Id="rId_hyperlink_3138" Type="http://schemas.openxmlformats.org/officeDocument/2006/relationships/hyperlink" Target="https://b2beez.ru/images/detailed/203/1_nddc-5l.jpg" TargetMode="External"/><Relationship Id="rId_hyperlink_3139" Type="http://schemas.openxmlformats.org/officeDocument/2006/relationships/hyperlink" Target="https://b2beez.ru/images/detailed/0/" TargetMode="External"/><Relationship Id="rId_hyperlink_3140" Type="http://schemas.openxmlformats.org/officeDocument/2006/relationships/hyperlink" Target="https://b2beez.ru/images/detailed/174/6321425426.jpg" TargetMode="External"/><Relationship Id="rId_hyperlink_3141" Type="http://schemas.openxmlformats.org/officeDocument/2006/relationships/hyperlink" Target="https://b2beez.ru/images/detailed/171/orig_oc5a-5y.jpg" TargetMode="External"/><Relationship Id="rId_hyperlink_3142" Type="http://schemas.openxmlformats.org/officeDocument/2006/relationships/hyperlink" Target="https://b2beez.ru/images/detailed/171/orig_dx8k-xi.jpg" TargetMode="External"/><Relationship Id="rId_hyperlink_3143" Type="http://schemas.openxmlformats.org/officeDocument/2006/relationships/hyperlink" Target="https://b2beez.ru/images/detailed/162/orig_7kwf-zg.jpg" TargetMode="External"/><Relationship Id="rId_hyperlink_3144" Type="http://schemas.openxmlformats.org/officeDocument/2006/relationships/hyperlink" Target="https://b2beez.ru/images/detailed/171/orig_avr7-2t.jpg" TargetMode="External"/><Relationship Id="rId_hyperlink_3145" Type="http://schemas.openxmlformats.org/officeDocument/2006/relationships/hyperlink" Target="https://b2beez.ru/images/detailed/0/" TargetMode="External"/><Relationship Id="rId_hyperlink_3146" Type="http://schemas.openxmlformats.org/officeDocument/2006/relationships/hyperlink" Target="https://b2beez.ru/images/detailed/167/orig_rb5u-bx.jpg" TargetMode="External"/><Relationship Id="rId_hyperlink_3147" Type="http://schemas.openxmlformats.org/officeDocument/2006/relationships/hyperlink" Target="https://b2beez.ru/images/detailed/0/" TargetMode="External"/><Relationship Id="rId_hyperlink_3148" Type="http://schemas.openxmlformats.org/officeDocument/2006/relationships/hyperlink" Target="https://b2beez.ru/images/detailed/166/orig_1prm-ol.jpg" TargetMode="External"/><Relationship Id="rId_hyperlink_3149" Type="http://schemas.openxmlformats.org/officeDocument/2006/relationships/hyperlink" Target="https://b2beez.ru/images/detailed/188/6911125707.jpg" TargetMode="External"/><Relationship Id="rId_hyperlink_3150" Type="http://schemas.openxmlformats.org/officeDocument/2006/relationships/hyperlink" Target="https://b2beez.ru/images/detailed/154/orig_ugjs-cd.jpg" TargetMode="External"/><Relationship Id="rId_hyperlink_3151" Type="http://schemas.openxmlformats.org/officeDocument/2006/relationships/hyperlink" Target="https://b2beez.ru/images/detailed/167/7128649709.jpg" TargetMode="External"/><Relationship Id="rId_hyperlink_3152" Type="http://schemas.openxmlformats.org/officeDocument/2006/relationships/hyperlink" Target="https://b2beez.ru/images/detailed/0/" TargetMode="External"/><Relationship Id="rId_hyperlink_3153" Type="http://schemas.openxmlformats.org/officeDocument/2006/relationships/hyperlink" Target="https://b2beez.ru/images/detailed/0/" TargetMode="External"/><Relationship Id="rId_hyperlink_3154" Type="http://schemas.openxmlformats.org/officeDocument/2006/relationships/hyperlink" Target="https://b2beez.ru/images/detailed/0/" TargetMode="External"/><Relationship Id="rId_hyperlink_3155" Type="http://schemas.openxmlformats.org/officeDocument/2006/relationships/hyperlink" Target="https://b2beez.ru/images/detailed/204/Z-9996-2_nfpq-tx.jpg" TargetMode="External"/><Relationship Id="rId_hyperlink_3156" Type="http://schemas.openxmlformats.org/officeDocument/2006/relationships/hyperlink" Target="https://b2beez.ru/images/detailed/173/orig_906j-7t.jpg" TargetMode="External"/><Relationship Id="rId_hyperlink_3157" Type="http://schemas.openxmlformats.org/officeDocument/2006/relationships/hyperlink" Target="https://b2beez.ru/images/detailed/169/6982005537.jpg" TargetMode="External"/><Relationship Id="rId_hyperlink_3158" Type="http://schemas.openxmlformats.org/officeDocument/2006/relationships/hyperlink" Target="https://b2beez.ru/images/detailed/182/orig_j3dz-m2.jpg" TargetMode="External"/><Relationship Id="rId_hyperlink_3159" Type="http://schemas.openxmlformats.org/officeDocument/2006/relationships/hyperlink" Target="https://b2beez.ru/images/detailed/203/1_xvxv-7r.jpg" TargetMode="External"/><Relationship Id="rId_hyperlink_3160" Type="http://schemas.openxmlformats.org/officeDocument/2006/relationships/hyperlink" Target="https://b2beez.ru/images/detailed/187/orig_qnsh-1p.jpg" TargetMode="External"/><Relationship Id="rId_hyperlink_3161" Type="http://schemas.openxmlformats.org/officeDocument/2006/relationships/hyperlink" Target="https://b2beez.ru/images/detailed/166/orig_qhz0-as.jpg" TargetMode="External"/><Relationship Id="rId_hyperlink_3162" Type="http://schemas.openxmlformats.org/officeDocument/2006/relationships/hyperlink" Target="https://b2beez.ru/images/detailed/175/6786999301.jpg" TargetMode="External"/><Relationship Id="rId_hyperlink_3163" Type="http://schemas.openxmlformats.org/officeDocument/2006/relationships/hyperlink" Target="https://b2beez.ru/images/detailed/204/D-5318-2_09mi-tl.jpg" TargetMode="External"/><Relationship Id="rId_hyperlink_3164" Type="http://schemas.openxmlformats.org/officeDocument/2006/relationships/hyperlink" Target="https://b2beez.ru/images/detailed/174/orig_ailu-lb.jpg" TargetMode="External"/><Relationship Id="rId_hyperlink_3165" Type="http://schemas.openxmlformats.org/officeDocument/2006/relationships/hyperlink" Target="https://b2beez.ru/images/detailed/167/6901573750.jpg" TargetMode="External"/><Relationship Id="rId_hyperlink_3166" Type="http://schemas.openxmlformats.org/officeDocument/2006/relationships/hyperlink" Target="https://b2beez.ru/images/detailed/47/6741823274.jpg" TargetMode="External"/><Relationship Id="rId_hyperlink_3167" Type="http://schemas.openxmlformats.org/officeDocument/2006/relationships/hyperlink" Target="https://b2beez.ru/images/detailed/171/orig_orh0-ct.jpg" TargetMode="External"/><Relationship Id="rId_hyperlink_3168" Type="http://schemas.openxmlformats.org/officeDocument/2006/relationships/hyperlink" Target="https://b2beez.ru/images/detailed/155/orig_654t-xg.jpg" TargetMode="External"/><Relationship Id="rId_hyperlink_3169" Type="http://schemas.openxmlformats.org/officeDocument/2006/relationships/hyperlink" Target="https://b2beez.ru/images/detailed/155/orig_n29i-r3.jpg" TargetMode="External"/><Relationship Id="rId_hyperlink_3170" Type="http://schemas.openxmlformats.org/officeDocument/2006/relationships/hyperlink" Target="https://b2beez.ru/images/detailed/155/orig_z1rv-lf.jpg" TargetMode="External"/><Relationship Id="rId_hyperlink_3171" Type="http://schemas.openxmlformats.org/officeDocument/2006/relationships/hyperlink" Target="https://b2beez.ru/images/detailed/155/orig_huvh-l1.jpg" TargetMode="External"/><Relationship Id="rId_hyperlink_3172" Type="http://schemas.openxmlformats.org/officeDocument/2006/relationships/hyperlink" Target="https://b2beez.ru/images/detailed/204/1_q56m-x2.jpg" TargetMode="External"/><Relationship Id="rId_hyperlink_3173" Type="http://schemas.openxmlformats.org/officeDocument/2006/relationships/hyperlink" Target="https://b2beez.ru/images/detailed/156/orig_tmlz-sx.jpg" TargetMode="External"/><Relationship Id="rId_hyperlink_3174" Type="http://schemas.openxmlformats.org/officeDocument/2006/relationships/hyperlink" Target="https://b2beez.ru/images/detailed/167/6243482120.jpg" TargetMode="External"/><Relationship Id="rId_hyperlink_3175" Type="http://schemas.openxmlformats.org/officeDocument/2006/relationships/hyperlink" Target="https://b2beez.ru/images/detailed/167/orig_9a19-8z.jpg" TargetMode="External"/><Relationship Id="rId_hyperlink_3176" Type="http://schemas.openxmlformats.org/officeDocument/2006/relationships/hyperlink" Target="https://b2beez.ru/images/detailed/155/orig_7rti-s4.jpg" TargetMode="External"/><Relationship Id="rId_hyperlink_3177" Type="http://schemas.openxmlformats.org/officeDocument/2006/relationships/hyperlink" Target="https://b2beez.ru/images/detailed/171/6243482374.jpg" TargetMode="External"/><Relationship Id="rId_hyperlink_3178" Type="http://schemas.openxmlformats.org/officeDocument/2006/relationships/hyperlink" Target="https://b2beez.ru/images/detailed/154/6243482052.jpg" TargetMode="External"/><Relationship Id="rId_hyperlink_3179" Type="http://schemas.openxmlformats.org/officeDocument/2006/relationships/hyperlink" Target="https://b2beez.ru/images/detailed/154/6399347374.jpg" TargetMode="External"/><Relationship Id="rId_hyperlink_3180" Type="http://schemas.openxmlformats.org/officeDocument/2006/relationships/hyperlink" Target="https://b2beez.ru/images/detailed/154/6295553931.jpg" TargetMode="External"/><Relationship Id="rId_hyperlink_3181" Type="http://schemas.openxmlformats.org/officeDocument/2006/relationships/hyperlink" Target="https://b2beez.ru/images/detailed/154/orig_mm35-d1.jpg" TargetMode="External"/><Relationship Id="rId_hyperlink_3182" Type="http://schemas.openxmlformats.org/officeDocument/2006/relationships/hyperlink" Target="https://b2beez.ru/images/detailed/155/orig_d2k9-jn.jpg" TargetMode="External"/><Relationship Id="rId_hyperlink_3183" Type="http://schemas.openxmlformats.org/officeDocument/2006/relationships/hyperlink" Target="https://b2beez.ru/images/detailed/155/orig_atrl-4e.jpg" TargetMode="External"/><Relationship Id="rId_hyperlink_3184" Type="http://schemas.openxmlformats.org/officeDocument/2006/relationships/hyperlink" Target="https://b2beez.ru/images/detailed/155/orig_h3w8-l3.jpg" TargetMode="External"/><Relationship Id="rId_hyperlink_3185" Type="http://schemas.openxmlformats.org/officeDocument/2006/relationships/hyperlink" Target="https://b2beez.ru/images/detailed/155/6243482619.jpg" TargetMode="External"/><Relationship Id="rId_hyperlink_3186" Type="http://schemas.openxmlformats.org/officeDocument/2006/relationships/hyperlink" Target="https://b2beez.ru/images/detailed/155/6243482547.jpg" TargetMode="External"/><Relationship Id="rId_hyperlink_3187" Type="http://schemas.openxmlformats.org/officeDocument/2006/relationships/hyperlink" Target="https://b2beez.ru/images/detailed/155/6243482268.jpg" TargetMode="External"/><Relationship Id="rId_hyperlink_3188" Type="http://schemas.openxmlformats.org/officeDocument/2006/relationships/hyperlink" Target="https://b2beez.ru/images/detailed/155/orig_tnfl-7u.jpg" TargetMode="External"/><Relationship Id="rId_hyperlink_3189" Type="http://schemas.openxmlformats.org/officeDocument/2006/relationships/hyperlink" Target="https://b2beez.ru/images/detailed/155/orig_awbb-wx.jpg" TargetMode="External"/><Relationship Id="rId_hyperlink_3190" Type="http://schemas.openxmlformats.org/officeDocument/2006/relationships/hyperlink" Target="https://b2beez.ru/images/detailed/155/orig_jzyt-vk.jpg" TargetMode="External"/><Relationship Id="rId_hyperlink_3191" Type="http://schemas.openxmlformats.org/officeDocument/2006/relationships/hyperlink" Target="https://b2beez.ru/images/detailed/155/orig_lhop-3p.jpg" TargetMode="External"/><Relationship Id="rId_hyperlink_3192" Type="http://schemas.openxmlformats.org/officeDocument/2006/relationships/hyperlink" Target="https://b2beez.ru/images/detailed/155/orig_fu7p-om.jpg" TargetMode="External"/><Relationship Id="rId_hyperlink_3193" Type="http://schemas.openxmlformats.org/officeDocument/2006/relationships/hyperlink" Target="https://b2beez.ru/images/detailed/155/6243482632.jpg" TargetMode="External"/><Relationship Id="rId_hyperlink_3194" Type="http://schemas.openxmlformats.org/officeDocument/2006/relationships/hyperlink" Target="https://b2beez.ru/images/detailed/156/orig_v4j3-zw.jpg" TargetMode="External"/><Relationship Id="rId_hyperlink_3195" Type="http://schemas.openxmlformats.org/officeDocument/2006/relationships/hyperlink" Target="https://b2beez.ru/images/detailed/156/6243482545.jpg" TargetMode="External"/><Relationship Id="rId_hyperlink_3196" Type="http://schemas.openxmlformats.org/officeDocument/2006/relationships/hyperlink" Target="https://b2beez.ru/images/detailed/156/6243482226.jpg" TargetMode="External"/><Relationship Id="rId_hyperlink_3197" Type="http://schemas.openxmlformats.org/officeDocument/2006/relationships/hyperlink" Target="https://b2beez.ru/images/detailed/156/6243482504.jpg" TargetMode="External"/><Relationship Id="rId_hyperlink_3198" Type="http://schemas.openxmlformats.org/officeDocument/2006/relationships/hyperlink" Target="https://b2beez.ru/images/detailed/156/6243482332.jpg" TargetMode="External"/><Relationship Id="rId_hyperlink_3199" Type="http://schemas.openxmlformats.org/officeDocument/2006/relationships/hyperlink" Target="https://b2beez.ru/images/detailed/156/6243482399.jpg" TargetMode="External"/><Relationship Id="rId_hyperlink_3200" Type="http://schemas.openxmlformats.org/officeDocument/2006/relationships/hyperlink" Target="https://b2beez.ru/images/detailed/156/6243482425.jpg" TargetMode="External"/><Relationship Id="rId_hyperlink_3201" Type="http://schemas.openxmlformats.org/officeDocument/2006/relationships/hyperlink" Target="https://b2beez.ru/images/detailed/156/6243482356.jpg" TargetMode="External"/><Relationship Id="rId_hyperlink_3202" Type="http://schemas.openxmlformats.org/officeDocument/2006/relationships/hyperlink" Target="https://b2beez.ru/images/detailed/157/orig_qlol-qd.jpg" TargetMode="External"/><Relationship Id="rId_hyperlink_3203" Type="http://schemas.openxmlformats.org/officeDocument/2006/relationships/hyperlink" Target="https://b2beez.ru/images/detailed/161/orig_mtmu-3v.jpg" TargetMode="External"/><Relationship Id="rId_hyperlink_3204" Type="http://schemas.openxmlformats.org/officeDocument/2006/relationships/hyperlink" Target="https://b2beez.ru/images/detailed/161/orig_qate-rd.jpg" TargetMode="External"/><Relationship Id="rId_hyperlink_3205" Type="http://schemas.openxmlformats.org/officeDocument/2006/relationships/hyperlink" Target="https://b2beez.ru/images/detailed/161/orig_2xep-85.jpg" TargetMode="External"/><Relationship Id="rId_hyperlink_3206" Type="http://schemas.openxmlformats.org/officeDocument/2006/relationships/hyperlink" Target="https://b2beez.ru/images/detailed/162/orig_7nmv-ik.jpg" TargetMode="External"/><Relationship Id="rId_hyperlink_3207" Type="http://schemas.openxmlformats.org/officeDocument/2006/relationships/hyperlink" Target="https://b2beez.ru/images/detailed/162/6243482170.jpg" TargetMode="External"/><Relationship Id="rId_hyperlink_3208" Type="http://schemas.openxmlformats.org/officeDocument/2006/relationships/hyperlink" Target="https://b2beez.ru/images/detailed/162/orig_395w-ob.jpg" TargetMode="External"/><Relationship Id="rId_hyperlink_3209" Type="http://schemas.openxmlformats.org/officeDocument/2006/relationships/hyperlink" Target="https://b2beez.ru/images/detailed/162/6717478603.jpg" TargetMode="External"/><Relationship Id="rId_hyperlink_3210" Type="http://schemas.openxmlformats.org/officeDocument/2006/relationships/hyperlink" Target="https://b2beez.ru/images/detailed/162/orig_k541-8r.jpg" TargetMode="External"/><Relationship Id="rId_hyperlink_3211" Type="http://schemas.openxmlformats.org/officeDocument/2006/relationships/hyperlink" Target="https://b2beez.ru/images/detailed/162/orig_xtoq-n1.jpg" TargetMode="External"/><Relationship Id="rId_hyperlink_3212" Type="http://schemas.openxmlformats.org/officeDocument/2006/relationships/hyperlink" Target="https://b2beez.ru/images/detailed/166/6243482229.jpg" TargetMode="External"/><Relationship Id="rId_hyperlink_3213" Type="http://schemas.openxmlformats.org/officeDocument/2006/relationships/hyperlink" Target="https://b2beez.ru/images/detailed/166/6243482306.jpg" TargetMode="External"/><Relationship Id="rId_hyperlink_3214" Type="http://schemas.openxmlformats.org/officeDocument/2006/relationships/hyperlink" Target="https://b2beez.ru/images/detailed/166/6243482307.jpg" TargetMode="External"/><Relationship Id="rId_hyperlink_3215" Type="http://schemas.openxmlformats.org/officeDocument/2006/relationships/hyperlink" Target="https://b2beez.ru/images/detailed/166/6243482278.jpg" TargetMode="External"/><Relationship Id="rId_hyperlink_3216" Type="http://schemas.openxmlformats.org/officeDocument/2006/relationships/hyperlink" Target="https://b2beez.ru/images/detailed/166/6241667187_ka8p-6m.jpg" TargetMode="External"/><Relationship Id="rId_hyperlink_3217" Type="http://schemas.openxmlformats.org/officeDocument/2006/relationships/hyperlink" Target="https://b2beez.ru/images/detailed/166/6241667187_v5ib-n0.jpg" TargetMode="External"/><Relationship Id="rId_hyperlink_3218" Type="http://schemas.openxmlformats.org/officeDocument/2006/relationships/hyperlink" Target="https://b2beez.ru/images/detailed/166/6241667187_n712-f9.jpg" TargetMode="External"/><Relationship Id="rId_hyperlink_3219" Type="http://schemas.openxmlformats.org/officeDocument/2006/relationships/hyperlink" Target="https://b2beez.ru/images/detailed/166/6241667187_lvlg-3t.jpg" TargetMode="External"/><Relationship Id="rId_hyperlink_3220" Type="http://schemas.openxmlformats.org/officeDocument/2006/relationships/hyperlink" Target="https://b2beez.ru/images/detailed/166/6243482430.jpg" TargetMode="External"/><Relationship Id="rId_hyperlink_3221" Type="http://schemas.openxmlformats.org/officeDocument/2006/relationships/hyperlink" Target="https://b2beez.ru/images/detailed/167/6243482407.jpg" TargetMode="External"/><Relationship Id="rId_hyperlink_3222" Type="http://schemas.openxmlformats.org/officeDocument/2006/relationships/hyperlink" Target="https://b2beez.ru/images/detailed/167/orig_zfpk-20.jpg" TargetMode="External"/><Relationship Id="rId_hyperlink_3223" Type="http://schemas.openxmlformats.org/officeDocument/2006/relationships/hyperlink" Target="https://b2beez.ru/images/detailed/167/6246041280.jpg" TargetMode="External"/><Relationship Id="rId_hyperlink_3224" Type="http://schemas.openxmlformats.org/officeDocument/2006/relationships/hyperlink" Target="https://b2beez.ru/images/detailed/167/6241667187.jpg" TargetMode="External"/><Relationship Id="rId_hyperlink_3225" Type="http://schemas.openxmlformats.org/officeDocument/2006/relationships/hyperlink" Target="https://b2beez.ru/images/detailed/167/6224627885.jpg" TargetMode="External"/><Relationship Id="rId_hyperlink_3226" Type="http://schemas.openxmlformats.org/officeDocument/2006/relationships/hyperlink" Target="https://b2beez.ru/images/detailed/167/orig_6hix-dm.jpg" TargetMode="External"/><Relationship Id="rId_hyperlink_3227" Type="http://schemas.openxmlformats.org/officeDocument/2006/relationships/hyperlink" Target="https://b2beez.ru/images/detailed/167/6249329721.jpg" TargetMode="External"/><Relationship Id="rId_hyperlink_3228" Type="http://schemas.openxmlformats.org/officeDocument/2006/relationships/hyperlink" Target="https://b2beez.ru/images/detailed/167/6249329790.jpg" TargetMode="External"/><Relationship Id="rId_hyperlink_3229" Type="http://schemas.openxmlformats.org/officeDocument/2006/relationships/hyperlink" Target="https://b2beez.ru/images/detailed/167/6224627885_akme-th.jpg" TargetMode="External"/><Relationship Id="rId_hyperlink_3230" Type="http://schemas.openxmlformats.org/officeDocument/2006/relationships/hyperlink" Target="https://b2beez.ru/images/detailed/167/6224627885_85si-9q.jpg" TargetMode="External"/><Relationship Id="rId_hyperlink_3231" Type="http://schemas.openxmlformats.org/officeDocument/2006/relationships/hyperlink" Target="https://b2beez.ru/images/detailed/167/6249329829.jpg" TargetMode="External"/><Relationship Id="rId_hyperlink_3232" Type="http://schemas.openxmlformats.org/officeDocument/2006/relationships/hyperlink" Target="https://b2beez.ru/images/detailed/167/orig_jhuh-3t.jpg" TargetMode="External"/><Relationship Id="rId_hyperlink_3233" Type="http://schemas.openxmlformats.org/officeDocument/2006/relationships/hyperlink" Target="https://b2beez.ru/images/detailed/167/6321407416.jpg" TargetMode="External"/><Relationship Id="rId_hyperlink_3234" Type="http://schemas.openxmlformats.org/officeDocument/2006/relationships/hyperlink" Target="https://b2beez.ru/images/detailed/167/orig_v4nw-nc.jpg" TargetMode="External"/><Relationship Id="rId_hyperlink_3235" Type="http://schemas.openxmlformats.org/officeDocument/2006/relationships/hyperlink" Target="https://b2beez.ru/images/detailed/167/6224627926_end8-lj.jpg" TargetMode="External"/><Relationship Id="rId_hyperlink_3236" Type="http://schemas.openxmlformats.org/officeDocument/2006/relationships/hyperlink" Target="https://b2beez.ru/images/detailed/167/6243482222.jpg" TargetMode="External"/><Relationship Id="rId_hyperlink_3237" Type="http://schemas.openxmlformats.org/officeDocument/2006/relationships/hyperlink" Target="https://b2beez.ru/images/detailed/167/6224628049_qoa0-3n.jpg" TargetMode="External"/><Relationship Id="rId_hyperlink_3238" Type="http://schemas.openxmlformats.org/officeDocument/2006/relationships/hyperlink" Target="https://b2beez.ru/images/detailed/167/6249568662.jpg" TargetMode="External"/><Relationship Id="rId_hyperlink_3239" Type="http://schemas.openxmlformats.org/officeDocument/2006/relationships/hyperlink" Target="https://b2beez.ru/images/detailed/167/orig_xhiy-ae.jpg" TargetMode="External"/><Relationship Id="rId_hyperlink_3240" Type="http://schemas.openxmlformats.org/officeDocument/2006/relationships/hyperlink" Target="https://b2beez.ru/images/detailed/203/1_b4ig-37.jpg" TargetMode="External"/><Relationship Id="rId_hyperlink_3241" Type="http://schemas.openxmlformats.org/officeDocument/2006/relationships/hyperlink" Target="https://b2beez.ru/images/detailed/168/orig_ubjd-w7.jpg" TargetMode="External"/><Relationship Id="rId_hyperlink_3242" Type="http://schemas.openxmlformats.org/officeDocument/2006/relationships/hyperlink" Target="https://b2beez.ru/images/detailed/168/6243482344_p25a-nq.jpg" TargetMode="External"/><Relationship Id="rId_hyperlink_3243" Type="http://schemas.openxmlformats.org/officeDocument/2006/relationships/hyperlink" Target="https://b2beez.ru/images/detailed/168/orig_jtxn-wp.jpg" TargetMode="External"/><Relationship Id="rId_hyperlink_3244" Type="http://schemas.openxmlformats.org/officeDocument/2006/relationships/hyperlink" Target="https://b2beez.ru/images/detailed/168/6224627712.jpg" TargetMode="External"/><Relationship Id="rId_hyperlink_3245" Type="http://schemas.openxmlformats.org/officeDocument/2006/relationships/hyperlink" Target="https://b2beez.ru/images/detailed/168/6224627712_0qo6-zo.jpg" TargetMode="External"/><Relationship Id="rId_hyperlink_3246" Type="http://schemas.openxmlformats.org/officeDocument/2006/relationships/hyperlink" Target="https://b2beez.ru/images/detailed/168/6243482180.jpg" TargetMode="External"/><Relationship Id="rId_hyperlink_3247" Type="http://schemas.openxmlformats.org/officeDocument/2006/relationships/hyperlink" Target="https://b2beez.ru/images/detailed/168/6243482180_98pm-sy.jpg" TargetMode="External"/><Relationship Id="rId_hyperlink_3248" Type="http://schemas.openxmlformats.org/officeDocument/2006/relationships/hyperlink" Target="https://b2beez.ru/images/detailed/168/6224628507_5gj8-v5.jpg" TargetMode="External"/><Relationship Id="rId_hyperlink_3249" Type="http://schemas.openxmlformats.org/officeDocument/2006/relationships/hyperlink" Target="https://b2beez.ru/images/detailed/168/6224627712_pxkn-23.jpg" TargetMode="External"/><Relationship Id="rId_hyperlink_3250" Type="http://schemas.openxmlformats.org/officeDocument/2006/relationships/hyperlink" Target="https://b2beez.ru/images/detailed/168/6224627712_ngw3-p0.jpg" TargetMode="External"/><Relationship Id="rId_hyperlink_3251" Type="http://schemas.openxmlformats.org/officeDocument/2006/relationships/hyperlink" Target="https://b2beez.ru/images/detailed/168/6224627712_u6br-aq.jpg" TargetMode="External"/><Relationship Id="rId_hyperlink_3252" Type="http://schemas.openxmlformats.org/officeDocument/2006/relationships/hyperlink" Target="https://b2beez.ru/images/detailed/168/6224628507_jnia-yx.jpg" TargetMode="External"/><Relationship Id="rId_hyperlink_3253" Type="http://schemas.openxmlformats.org/officeDocument/2006/relationships/hyperlink" Target="https://b2beez.ru/images/detailed/168/6243482180_vtaj-a4.jpg" TargetMode="External"/><Relationship Id="rId_hyperlink_3254" Type="http://schemas.openxmlformats.org/officeDocument/2006/relationships/hyperlink" Target="https://b2beez.ru/images/detailed/168/6243482180_gfw5-9s.jpg" TargetMode="External"/><Relationship Id="rId_hyperlink_3255" Type="http://schemas.openxmlformats.org/officeDocument/2006/relationships/hyperlink" Target="https://b2beez.ru/images/detailed/168/6243482180_uq7c-pb.jpg" TargetMode="External"/><Relationship Id="rId_hyperlink_3256" Type="http://schemas.openxmlformats.org/officeDocument/2006/relationships/hyperlink" Target="https://b2beez.ru/images/detailed/168/orig_3nue-s1.jpg" TargetMode="External"/><Relationship Id="rId_hyperlink_3257" Type="http://schemas.openxmlformats.org/officeDocument/2006/relationships/hyperlink" Target="https://b2beez.ru/images/detailed/168/6243482647.jpg" TargetMode="External"/><Relationship Id="rId_hyperlink_3258" Type="http://schemas.openxmlformats.org/officeDocument/2006/relationships/hyperlink" Target="https://b2beez.ru/images/detailed/168/orig_znry-mb.jpg" TargetMode="External"/><Relationship Id="rId_hyperlink_3259" Type="http://schemas.openxmlformats.org/officeDocument/2006/relationships/hyperlink" Target="https://b2beez.ru/images/detailed/168/6243482191.jpg" TargetMode="External"/><Relationship Id="rId_hyperlink_3260" Type="http://schemas.openxmlformats.org/officeDocument/2006/relationships/hyperlink" Target="https://b2beez.ru/images/detailed/168/6243482351.jpg" TargetMode="External"/><Relationship Id="rId_hyperlink_3261" Type="http://schemas.openxmlformats.org/officeDocument/2006/relationships/hyperlink" Target="https://b2beez.ru/images/detailed/168/orig_vv3b-44.jpg" TargetMode="External"/><Relationship Id="rId_hyperlink_3262" Type="http://schemas.openxmlformats.org/officeDocument/2006/relationships/hyperlink" Target="https://b2beez.ru/images/detailed/168/6243482543.jpg" TargetMode="External"/><Relationship Id="rId_hyperlink_3263" Type="http://schemas.openxmlformats.org/officeDocument/2006/relationships/hyperlink" Target="https://b2beez.ru/images/detailed/168/orig_qlxn-84.jpg" TargetMode="External"/><Relationship Id="rId_hyperlink_3264" Type="http://schemas.openxmlformats.org/officeDocument/2006/relationships/hyperlink" Target="https://b2beez.ru/images/detailed/168/6717468927.jpg" TargetMode="External"/><Relationship Id="rId_hyperlink_3265" Type="http://schemas.openxmlformats.org/officeDocument/2006/relationships/hyperlink" Target="https://b2beez.ru/images/detailed/168/6243482186.jpg" TargetMode="External"/><Relationship Id="rId_hyperlink_3266" Type="http://schemas.openxmlformats.org/officeDocument/2006/relationships/hyperlink" Target="https://b2beez.ru/images/detailed/168/6243482381.jpg" TargetMode="External"/><Relationship Id="rId_hyperlink_3267" Type="http://schemas.openxmlformats.org/officeDocument/2006/relationships/hyperlink" Target="https://b2beez.ru/images/detailed/168/6224628481_83eu-qp.jpg" TargetMode="External"/><Relationship Id="rId_hyperlink_3268" Type="http://schemas.openxmlformats.org/officeDocument/2006/relationships/hyperlink" Target="https://b2beez.ru/images/detailed/168/6243482239.jpg" TargetMode="External"/><Relationship Id="rId_hyperlink_3269" Type="http://schemas.openxmlformats.org/officeDocument/2006/relationships/hyperlink" Target="https://b2beez.ru/images/detailed/168/6243482293.jpg" TargetMode="External"/><Relationship Id="rId_hyperlink_3270" Type="http://schemas.openxmlformats.org/officeDocument/2006/relationships/hyperlink" Target="https://b2beez.ru/images/detailed/168/orig_hwn8-aj.jpg" TargetMode="External"/><Relationship Id="rId_hyperlink_3271" Type="http://schemas.openxmlformats.org/officeDocument/2006/relationships/hyperlink" Target="https://b2beez.ru/images/detailed/168/6249329668.jpg" TargetMode="External"/><Relationship Id="rId_hyperlink_3272" Type="http://schemas.openxmlformats.org/officeDocument/2006/relationships/hyperlink" Target="https://b2beez.ru/images/detailed/168/6243482271.jpg" TargetMode="External"/><Relationship Id="rId_hyperlink_3273" Type="http://schemas.openxmlformats.org/officeDocument/2006/relationships/hyperlink" Target="https://b2beez.ru/images/detailed/168/6243482097.jpg" TargetMode="External"/><Relationship Id="rId_hyperlink_3274" Type="http://schemas.openxmlformats.org/officeDocument/2006/relationships/hyperlink" Target="https://b2beez.ru/images/detailed/168/6243482074.jpg" TargetMode="External"/><Relationship Id="rId_hyperlink_3275" Type="http://schemas.openxmlformats.org/officeDocument/2006/relationships/hyperlink" Target="https://b2beez.ru/images/detailed/168/6243482193.jpg" TargetMode="External"/><Relationship Id="rId_hyperlink_3276" Type="http://schemas.openxmlformats.org/officeDocument/2006/relationships/hyperlink" Target="https://b2beez.ru/images/detailed/168/6321408708.jpg" TargetMode="External"/><Relationship Id="rId_hyperlink_3277" Type="http://schemas.openxmlformats.org/officeDocument/2006/relationships/hyperlink" Target="https://b2beez.ru/images/detailed/169/orig_dha0-tb.jpg" TargetMode="External"/><Relationship Id="rId_hyperlink_3278" Type="http://schemas.openxmlformats.org/officeDocument/2006/relationships/hyperlink" Target="https://b2beez.ru/images/detailed/169/orig_c5o9-94.jpg" TargetMode="External"/><Relationship Id="rId_hyperlink_3279" Type="http://schemas.openxmlformats.org/officeDocument/2006/relationships/hyperlink" Target="https://b2beez.ru/images/detailed/170/orig_vu34-eg.jpg" TargetMode="External"/><Relationship Id="rId_hyperlink_3280" Type="http://schemas.openxmlformats.org/officeDocument/2006/relationships/hyperlink" Target="https://b2beez.ru/images/detailed/170/orig_mylo-de.jpg" TargetMode="External"/><Relationship Id="rId_hyperlink_3281" Type="http://schemas.openxmlformats.org/officeDocument/2006/relationships/hyperlink" Target="https://b2beez.ru/images/detailed/170/orig_rdxe-a6.jpg" TargetMode="External"/><Relationship Id="rId_hyperlink_3282" Type="http://schemas.openxmlformats.org/officeDocument/2006/relationships/hyperlink" Target="https://b2beez.ru/images/detailed/170/orig_j2u5-kb.jpg" TargetMode="External"/><Relationship Id="rId_hyperlink_3283" Type="http://schemas.openxmlformats.org/officeDocument/2006/relationships/hyperlink" Target="https://b2beez.ru/images/detailed/170/orig_xt3n-f3.jpg" TargetMode="External"/><Relationship Id="rId_hyperlink_3284" Type="http://schemas.openxmlformats.org/officeDocument/2006/relationships/hyperlink" Target="https://b2beez.ru/images/detailed/170/orig_es40-y1.jpg" TargetMode="External"/><Relationship Id="rId_hyperlink_3285" Type="http://schemas.openxmlformats.org/officeDocument/2006/relationships/hyperlink" Target="https://b2beez.ru/images/detailed/170/orig_2hys-mv.jpg" TargetMode="External"/><Relationship Id="rId_hyperlink_3286" Type="http://schemas.openxmlformats.org/officeDocument/2006/relationships/hyperlink" Target="https://b2beez.ru/images/detailed/205/1_va95-2s.jpg" TargetMode="External"/><Relationship Id="rId_hyperlink_3287" Type="http://schemas.openxmlformats.org/officeDocument/2006/relationships/hyperlink" Target="https://b2beez.ru/images/detailed/171/6243482267.jpg" TargetMode="External"/><Relationship Id="rId_hyperlink_3288" Type="http://schemas.openxmlformats.org/officeDocument/2006/relationships/hyperlink" Target="https://b2beez.ru/images/detailed/171/6243482500.jpg" TargetMode="External"/><Relationship Id="rId_hyperlink_3289" Type="http://schemas.openxmlformats.org/officeDocument/2006/relationships/hyperlink" Target="https://b2beez.ru/images/detailed/171/orig_fijs-3m.jpg" TargetMode="External"/><Relationship Id="rId_hyperlink_3290" Type="http://schemas.openxmlformats.org/officeDocument/2006/relationships/hyperlink" Target="https://b2beez.ru/images/detailed/171/orig_tnkq-vn.jpg" TargetMode="External"/><Relationship Id="rId_hyperlink_3291" Type="http://schemas.openxmlformats.org/officeDocument/2006/relationships/hyperlink" Target="https://b2beez.ru/images/detailed/204/1_k5n8-0n.jpg" TargetMode="External"/><Relationship Id="rId_hyperlink_3292" Type="http://schemas.openxmlformats.org/officeDocument/2006/relationships/hyperlink" Target="https://b2beez.ru/images/detailed/171/6243482531.jpg" TargetMode="External"/><Relationship Id="rId_hyperlink_3293" Type="http://schemas.openxmlformats.org/officeDocument/2006/relationships/hyperlink" Target="https://b2beez.ru/images/detailed/172/6923372116.jpg" TargetMode="External"/><Relationship Id="rId_hyperlink_3294" Type="http://schemas.openxmlformats.org/officeDocument/2006/relationships/hyperlink" Target="https://b2beez.ru/images/detailed/172/6243482277.jpg" TargetMode="External"/><Relationship Id="rId_hyperlink_3295" Type="http://schemas.openxmlformats.org/officeDocument/2006/relationships/hyperlink" Target="https://b2beez.ru/images/detailed/172/6243482650.jpg" TargetMode="External"/><Relationship Id="rId_hyperlink_3296" Type="http://schemas.openxmlformats.org/officeDocument/2006/relationships/hyperlink" Target="https://b2beez.ru/images/detailed/172/orig_vsig-um.jpg" TargetMode="External"/><Relationship Id="rId_hyperlink_3297" Type="http://schemas.openxmlformats.org/officeDocument/2006/relationships/hyperlink" Target="https://b2beez.ru/images/detailed/172/6243482372.jpg" TargetMode="External"/><Relationship Id="rId_hyperlink_3298" Type="http://schemas.openxmlformats.org/officeDocument/2006/relationships/hyperlink" Target="https://b2beez.ru/images/detailed/172/orig_vcs3-v0.jpg" TargetMode="External"/><Relationship Id="rId_hyperlink_3299" Type="http://schemas.openxmlformats.org/officeDocument/2006/relationships/hyperlink" Target="https://b2beez.ru/images/detailed/172/orig_8wvz-22.jpg" TargetMode="External"/><Relationship Id="rId_hyperlink_3300" Type="http://schemas.openxmlformats.org/officeDocument/2006/relationships/hyperlink" Target="https://b2beez.ru/images/detailed/172/6246067054.jpg" TargetMode="External"/><Relationship Id="rId_hyperlink_3301" Type="http://schemas.openxmlformats.org/officeDocument/2006/relationships/hyperlink" Target="https://b2beez.ru/images/detailed/172/orig_y9tj-0e.jpg" TargetMode="External"/><Relationship Id="rId_hyperlink_3302" Type="http://schemas.openxmlformats.org/officeDocument/2006/relationships/hyperlink" Target="https://b2beez.ru/images/detailed/172/6243482477.jpg" TargetMode="External"/><Relationship Id="rId_hyperlink_3303" Type="http://schemas.openxmlformats.org/officeDocument/2006/relationships/hyperlink" Target="https://b2beez.ru/images/detailed/172/6243482535.jpg" TargetMode="External"/><Relationship Id="rId_hyperlink_3304" Type="http://schemas.openxmlformats.org/officeDocument/2006/relationships/hyperlink" Target="https://b2beez.ru/images/detailed/172/orig_dvd9-ub.jpg" TargetMode="External"/><Relationship Id="rId_hyperlink_3305" Type="http://schemas.openxmlformats.org/officeDocument/2006/relationships/hyperlink" Target="https://b2beez.ru/images/detailed/172/orig_2c5x-mo.jpg" TargetMode="External"/><Relationship Id="rId_hyperlink_3306" Type="http://schemas.openxmlformats.org/officeDocument/2006/relationships/hyperlink" Target="https://b2beez.ru/images/detailed/173/6243482694.jpg" TargetMode="External"/><Relationship Id="rId_hyperlink_3307" Type="http://schemas.openxmlformats.org/officeDocument/2006/relationships/hyperlink" Target="https://b2beez.ru/images/detailed/173/6243482633.jpg" TargetMode="External"/><Relationship Id="rId_hyperlink_3308" Type="http://schemas.openxmlformats.org/officeDocument/2006/relationships/hyperlink" Target="https://b2beez.ru/images/detailed/173/6243482365_o8bl-hm.jpg" TargetMode="External"/><Relationship Id="rId_hyperlink_3309" Type="http://schemas.openxmlformats.org/officeDocument/2006/relationships/hyperlink" Target="https://b2beez.ru/images/detailed/173/orig_l8pu-22.jpg" TargetMode="External"/><Relationship Id="rId_hyperlink_3310" Type="http://schemas.openxmlformats.org/officeDocument/2006/relationships/hyperlink" Target="https://b2beez.ru/images/detailed/173/6246874702.jpg" TargetMode="External"/><Relationship Id="rId_hyperlink_3311" Type="http://schemas.openxmlformats.org/officeDocument/2006/relationships/hyperlink" Target="https://b2beez.ru/images/detailed/173/orig_d4kn-lt.jpg" TargetMode="External"/><Relationship Id="rId_hyperlink_3312" Type="http://schemas.openxmlformats.org/officeDocument/2006/relationships/hyperlink" Target="https://b2beez.ru/images/detailed/173/orig_r9d1-kx.jpg" TargetMode="External"/><Relationship Id="rId_hyperlink_3313" Type="http://schemas.openxmlformats.org/officeDocument/2006/relationships/hyperlink" Target="https://b2beez.ru/images/detailed/173/orig_g38m-vr.jpg" TargetMode="External"/><Relationship Id="rId_hyperlink_3314" Type="http://schemas.openxmlformats.org/officeDocument/2006/relationships/hyperlink" Target="https://b2beez.ru/images/detailed/173/orig_e8ty-ht.jpg" TargetMode="External"/><Relationship Id="rId_hyperlink_3315" Type="http://schemas.openxmlformats.org/officeDocument/2006/relationships/hyperlink" Target="https://b2beez.ru/images/detailed/173/6243482624.jpg" TargetMode="External"/><Relationship Id="rId_hyperlink_3316" Type="http://schemas.openxmlformats.org/officeDocument/2006/relationships/hyperlink" Target="https://b2beez.ru/images/detailed/173/6243482627.jpg" TargetMode="External"/><Relationship Id="rId_hyperlink_3317" Type="http://schemas.openxmlformats.org/officeDocument/2006/relationships/hyperlink" Target="https://b2beez.ru/images/detailed/173/6243482539.jpg" TargetMode="External"/><Relationship Id="rId_hyperlink_3318" Type="http://schemas.openxmlformats.org/officeDocument/2006/relationships/hyperlink" Target="https://b2beez.ru/images/detailed/174/orig_kecx-9g.jpg" TargetMode="External"/><Relationship Id="rId_hyperlink_3319" Type="http://schemas.openxmlformats.org/officeDocument/2006/relationships/hyperlink" Target="https://b2beez.ru/images/detailed/174/6243482506.jpg" TargetMode="External"/><Relationship Id="rId_hyperlink_3320" Type="http://schemas.openxmlformats.org/officeDocument/2006/relationships/hyperlink" Target="https://b2beez.ru/images/detailed/174/6243482503.jpg" TargetMode="External"/><Relationship Id="rId_hyperlink_3321" Type="http://schemas.openxmlformats.org/officeDocument/2006/relationships/hyperlink" Target="https://b2beez.ru/images/detailed/174/6243482586.jpg" TargetMode="External"/><Relationship Id="rId_hyperlink_3322" Type="http://schemas.openxmlformats.org/officeDocument/2006/relationships/hyperlink" Target="https://b2beez.ru/images/detailed/174/6243482333.jpg" TargetMode="External"/><Relationship Id="rId_hyperlink_3323" Type="http://schemas.openxmlformats.org/officeDocument/2006/relationships/hyperlink" Target="https://b2beez.ru/images/detailed/174/6243482333_q8iv-6f.jpg" TargetMode="External"/><Relationship Id="rId_hyperlink_3324" Type="http://schemas.openxmlformats.org/officeDocument/2006/relationships/hyperlink" Target="https://b2beez.ru/images/detailed/174/6243482333_q86w-vj.jpg" TargetMode="External"/><Relationship Id="rId_hyperlink_3325" Type="http://schemas.openxmlformats.org/officeDocument/2006/relationships/hyperlink" Target="https://b2beez.ru/images/detailed/174/6243482326_9jvr-fw.jpg" TargetMode="External"/><Relationship Id="rId_hyperlink_3326" Type="http://schemas.openxmlformats.org/officeDocument/2006/relationships/hyperlink" Target="https://b2beez.ru/images/detailed/174/6243482346.jpg" TargetMode="External"/><Relationship Id="rId_hyperlink_3327" Type="http://schemas.openxmlformats.org/officeDocument/2006/relationships/hyperlink" Target="https://b2beez.ru/images/detailed/174/6243482460.jpg" TargetMode="External"/><Relationship Id="rId_hyperlink_3328" Type="http://schemas.openxmlformats.org/officeDocument/2006/relationships/hyperlink" Target="https://b2beez.ru/images/detailed/174/orig_q9hk-pq.jpg" TargetMode="External"/><Relationship Id="rId_hyperlink_3329" Type="http://schemas.openxmlformats.org/officeDocument/2006/relationships/hyperlink" Target="https://b2beez.ru/images/detailed/174/orig_wno9-xn.jpg" TargetMode="External"/><Relationship Id="rId_hyperlink_3330" Type="http://schemas.openxmlformats.org/officeDocument/2006/relationships/hyperlink" Target="https://b2beez.ru/images/detailed/174/6246549827.jpg" TargetMode="External"/><Relationship Id="rId_hyperlink_3331" Type="http://schemas.openxmlformats.org/officeDocument/2006/relationships/hyperlink" Target="https://b2beez.ru/images/detailed/174/orig_je2s-o7.jpg" TargetMode="External"/><Relationship Id="rId_hyperlink_3332" Type="http://schemas.openxmlformats.org/officeDocument/2006/relationships/hyperlink" Target="https://b2beez.ru/images/detailed/174/orig_ggyf-cj.jpg" TargetMode="External"/><Relationship Id="rId_hyperlink_3333" Type="http://schemas.openxmlformats.org/officeDocument/2006/relationships/hyperlink" Target="https://b2beez.ru/images/detailed/174/orig_1bvi-ze.jpg" TargetMode="External"/><Relationship Id="rId_hyperlink_3334" Type="http://schemas.openxmlformats.org/officeDocument/2006/relationships/hyperlink" Target="https://b2beez.ru/images/detailed/175/6243482295.jpg" TargetMode="External"/><Relationship Id="rId_hyperlink_3335" Type="http://schemas.openxmlformats.org/officeDocument/2006/relationships/hyperlink" Target="https://b2beez.ru/images/detailed/175/6243482320.jpg" TargetMode="External"/><Relationship Id="rId_hyperlink_3336" Type="http://schemas.openxmlformats.org/officeDocument/2006/relationships/hyperlink" Target="https://b2beez.ru/images/detailed/177/6243482432.jpg" TargetMode="External"/><Relationship Id="rId_hyperlink_3337" Type="http://schemas.openxmlformats.org/officeDocument/2006/relationships/hyperlink" Target="https://b2beez.ru/images/detailed/177/7175034200.jpg" TargetMode="External"/><Relationship Id="rId_hyperlink_3338" Type="http://schemas.openxmlformats.org/officeDocument/2006/relationships/hyperlink" Target="https://b2beez.ru/images/detailed/178/6243482659.jpg" TargetMode="External"/><Relationship Id="rId_hyperlink_3339" Type="http://schemas.openxmlformats.org/officeDocument/2006/relationships/hyperlink" Target="https://b2beez.ru/images/detailed/179/6243482195.jpg" TargetMode="External"/><Relationship Id="rId_hyperlink_3340" Type="http://schemas.openxmlformats.org/officeDocument/2006/relationships/hyperlink" Target="https://b2beez.ru/images/detailed/179/orig_kml3-hi.jpg" TargetMode="External"/><Relationship Id="rId_hyperlink_3341" Type="http://schemas.openxmlformats.org/officeDocument/2006/relationships/hyperlink" Target="https://b2beez.ru/images/detailed/179/6243482275.jpg" TargetMode="External"/><Relationship Id="rId_hyperlink_3342" Type="http://schemas.openxmlformats.org/officeDocument/2006/relationships/hyperlink" Target="https://b2beez.ru/images/detailed/179/6243482140.jpg" TargetMode="External"/><Relationship Id="rId_hyperlink_3343" Type="http://schemas.openxmlformats.org/officeDocument/2006/relationships/hyperlink" Target="https://b2beez.ru/images/detailed/179/orig_w17d-72.jpg" TargetMode="External"/><Relationship Id="rId_hyperlink_3344" Type="http://schemas.openxmlformats.org/officeDocument/2006/relationships/hyperlink" Target="https://b2beez.ru/images/detailed/181/6243482065.jpg" TargetMode="External"/><Relationship Id="rId_hyperlink_3345" Type="http://schemas.openxmlformats.org/officeDocument/2006/relationships/hyperlink" Target="https://b2beez.ru/images/detailed/181/6243482208.jpg" TargetMode="External"/><Relationship Id="rId_hyperlink_3346" Type="http://schemas.openxmlformats.org/officeDocument/2006/relationships/hyperlink" Target="https://b2beez.ru/images/detailed/182/orig_a0uu-9l.jpg" TargetMode="External"/><Relationship Id="rId_hyperlink_3347" Type="http://schemas.openxmlformats.org/officeDocument/2006/relationships/hyperlink" Target="https://b2beez.ru/images/detailed/204/V-1292-21.jpg" TargetMode="External"/><Relationship Id="rId_hyperlink_3348" Type="http://schemas.openxmlformats.org/officeDocument/2006/relationships/hyperlink" Target="https://b2beez.ru/images/detailed/184/6950500603.jpg" TargetMode="External"/><Relationship Id="rId_hyperlink_3349" Type="http://schemas.openxmlformats.org/officeDocument/2006/relationships/hyperlink" Target="https://b2beez.ru/images/detailed/184/orig_ujux-t4.jpg" TargetMode="External"/><Relationship Id="rId_hyperlink_3350" Type="http://schemas.openxmlformats.org/officeDocument/2006/relationships/hyperlink" Target="https://b2beez.ru/images/detailed/185/orig_neom-fh.jpg" TargetMode="External"/><Relationship Id="rId_hyperlink_3351" Type="http://schemas.openxmlformats.org/officeDocument/2006/relationships/hyperlink" Target="https://b2beez.ru/images/detailed/185/orig_pxqg-ss.jpg" TargetMode="External"/><Relationship Id="rId_hyperlink_3352" Type="http://schemas.openxmlformats.org/officeDocument/2006/relationships/hyperlink" Target="https://b2beez.ru/images/detailed/185/orig_j5st-3i.jpg" TargetMode="External"/><Relationship Id="rId_hyperlink_3353" Type="http://schemas.openxmlformats.org/officeDocument/2006/relationships/hyperlink" Target="https://b2beez.ru/images/detailed/185/orig_xw0h-uh.jpg" TargetMode="External"/><Relationship Id="rId_hyperlink_3354" Type="http://schemas.openxmlformats.org/officeDocument/2006/relationships/hyperlink" Target="https://b2beez.ru/images/detailed/185/orig_7izs-qs.jpg" TargetMode="External"/><Relationship Id="rId_hyperlink_3355" Type="http://schemas.openxmlformats.org/officeDocument/2006/relationships/hyperlink" Target="https://b2beez.ru/images/detailed/185/orig_ymh1-na.jpg" TargetMode="External"/><Relationship Id="rId_hyperlink_3356" Type="http://schemas.openxmlformats.org/officeDocument/2006/relationships/hyperlink" Target="https://b2beez.ru/images/detailed/185/6243482635.jpg" TargetMode="External"/><Relationship Id="rId_hyperlink_3357" Type="http://schemas.openxmlformats.org/officeDocument/2006/relationships/hyperlink" Target="https://b2beez.ru/images/detailed/186/orig_16kv-tr.jpg" TargetMode="External"/><Relationship Id="rId_hyperlink_3358" Type="http://schemas.openxmlformats.org/officeDocument/2006/relationships/hyperlink" Target="https://b2beez.ru/images/detailed/186/orig_dk0c-2d.jpg" TargetMode="External"/><Relationship Id="rId_hyperlink_3359" Type="http://schemas.openxmlformats.org/officeDocument/2006/relationships/hyperlink" Target="https://b2beez.ru/images/detailed/186/orig_trwj-3b.jpg" TargetMode="External"/><Relationship Id="rId_hyperlink_3360" Type="http://schemas.openxmlformats.org/officeDocument/2006/relationships/hyperlink" Target="https://b2beez.ru/images/detailed/186/orig_pwsk-mc.jpg" TargetMode="External"/><Relationship Id="rId_hyperlink_3361" Type="http://schemas.openxmlformats.org/officeDocument/2006/relationships/hyperlink" Target="https://b2beez.ru/images/detailed/186/orig_x1g2-97.jpg" TargetMode="External"/><Relationship Id="rId_hyperlink_3362" Type="http://schemas.openxmlformats.org/officeDocument/2006/relationships/hyperlink" Target="https://b2beez.ru/images/detailed/186/orig_bkte-ec.jpg" TargetMode="External"/><Relationship Id="rId_hyperlink_3363" Type="http://schemas.openxmlformats.org/officeDocument/2006/relationships/hyperlink" Target="https://b2beez.ru/images/detailed/186/6243482466.jpg" TargetMode="External"/><Relationship Id="rId_hyperlink_3364" Type="http://schemas.openxmlformats.org/officeDocument/2006/relationships/hyperlink" Target="https://b2beez.ru/images/detailed/186/6243482465.jpg" TargetMode="External"/><Relationship Id="rId_hyperlink_3365" Type="http://schemas.openxmlformats.org/officeDocument/2006/relationships/hyperlink" Target="https://b2beez.ru/images/detailed/186/6246063312.jpg" TargetMode="External"/><Relationship Id="rId_hyperlink_3366" Type="http://schemas.openxmlformats.org/officeDocument/2006/relationships/hyperlink" Target="https://b2beez.ru/images/detailed/204/Z-619-4.jpg" TargetMode="External"/><Relationship Id="rId_hyperlink_3367" Type="http://schemas.openxmlformats.org/officeDocument/2006/relationships/hyperlink" Target="https://b2beez.ru/images/detailed/154/6243482638.jpg" TargetMode="External"/><Relationship Id="rId_hyperlink_3368" Type="http://schemas.openxmlformats.org/officeDocument/2006/relationships/hyperlink" Target="https://b2beez.ru/images/detailed/154/6243482666.jpg" TargetMode="External"/><Relationship Id="rId_hyperlink_3369" Type="http://schemas.openxmlformats.org/officeDocument/2006/relationships/hyperlink" Target="https://b2beez.ru/images/detailed/154/6243482600.jpg" TargetMode="External"/><Relationship Id="rId_hyperlink_3370" Type="http://schemas.openxmlformats.org/officeDocument/2006/relationships/hyperlink" Target="https://b2beez.ru/images/detailed/154/6243482236.jpg" TargetMode="External"/><Relationship Id="rId_hyperlink_3371" Type="http://schemas.openxmlformats.org/officeDocument/2006/relationships/hyperlink" Target="https://b2beez.ru/images/detailed/154/6243482043.jpg" TargetMode="External"/><Relationship Id="rId_hyperlink_3372" Type="http://schemas.openxmlformats.org/officeDocument/2006/relationships/hyperlink" Target="https://b2beez.ru/images/detailed/154/orig_17tb-tk.jpg" TargetMode="External"/><Relationship Id="rId_hyperlink_3373" Type="http://schemas.openxmlformats.org/officeDocument/2006/relationships/hyperlink" Target="https://b2beez.ru/images/detailed/155/6243482033.jpg" TargetMode="External"/><Relationship Id="rId_hyperlink_3374" Type="http://schemas.openxmlformats.org/officeDocument/2006/relationships/hyperlink" Target="https://b2beez.ru/images/detailed/155/6243482481.jpg" TargetMode="External"/><Relationship Id="rId_hyperlink_3375" Type="http://schemas.openxmlformats.org/officeDocument/2006/relationships/hyperlink" Target="https://b2beez.ru/images/detailed/155/6243482446.jpg" TargetMode="External"/><Relationship Id="rId_hyperlink_3376" Type="http://schemas.openxmlformats.org/officeDocument/2006/relationships/hyperlink" Target="https://b2beez.ru/images/detailed/156/6243482514.jpg" TargetMode="External"/><Relationship Id="rId_hyperlink_3377" Type="http://schemas.openxmlformats.org/officeDocument/2006/relationships/hyperlink" Target="https://b2beez.ru/images/detailed/157/orig_to3m-zd.jpg" TargetMode="External"/><Relationship Id="rId_hyperlink_3378" Type="http://schemas.openxmlformats.org/officeDocument/2006/relationships/hyperlink" Target="https://b2beez.ru/images/detailed/161/orig_z9j9-qo.jpg" TargetMode="External"/><Relationship Id="rId_hyperlink_3379" Type="http://schemas.openxmlformats.org/officeDocument/2006/relationships/hyperlink" Target="https://b2beez.ru/images/detailed/161/6243482524.jpg" TargetMode="External"/><Relationship Id="rId_hyperlink_3380" Type="http://schemas.openxmlformats.org/officeDocument/2006/relationships/hyperlink" Target="https://b2beez.ru/images/detailed/161/6243482687.jpg" TargetMode="External"/><Relationship Id="rId_hyperlink_3381" Type="http://schemas.openxmlformats.org/officeDocument/2006/relationships/hyperlink" Target="https://b2beez.ru/images/detailed/161/6243482555.jpg" TargetMode="External"/><Relationship Id="rId_hyperlink_3382" Type="http://schemas.openxmlformats.org/officeDocument/2006/relationships/hyperlink" Target="https://b2beez.ru/images/detailed/162/6243482562.jpg" TargetMode="External"/><Relationship Id="rId_hyperlink_3383" Type="http://schemas.openxmlformats.org/officeDocument/2006/relationships/hyperlink" Target="https://b2beez.ru/images/detailed/162/6243482621.jpg" TargetMode="External"/><Relationship Id="rId_hyperlink_3384" Type="http://schemas.openxmlformats.org/officeDocument/2006/relationships/hyperlink" Target="https://b2beez.ru/images/detailed/166/6241667187.jpg" TargetMode="External"/><Relationship Id="rId_hyperlink_3385" Type="http://schemas.openxmlformats.org/officeDocument/2006/relationships/hyperlink" Target="https://b2beez.ru/images/detailed/166/6241667187_1f67-ns.jpg" TargetMode="External"/><Relationship Id="rId_hyperlink_3386" Type="http://schemas.openxmlformats.org/officeDocument/2006/relationships/hyperlink" Target="https://b2beez.ru/images/detailed/166/6241667187_3l53-zn.jpg" TargetMode="External"/><Relationship Id="rId_hyperlink_3387" Type="http://schemas.openxmlformats.org/officeDocument/2006/relationships/hyperlink" Target="https://b2beez.ru/images/detailed/166/6249568737.jpg" TargetMode="External"/><Relationship Id="rId_hyperlink_3388" Type="http://schemas.openxmlformats.org/officeDocument/2006/relationships/hyperlink" Target="https://b2beez.ru/images/detailed/166/orig_c1su-tq.jpg" TargetMode="External"/><Relationship Id="rId_hyperlink_3389" Type="http://schemas.openxmlformats.org/officeDocument/2006/relationships/hyperlink" Target="https://b2beez.ru/images/detailed/166/6243482505.jpg" TargetMode="External"/><Relationship Id="rId_hyperlink_3390" Type="http://schemas.openxmlformats.org/officeDocument/2006/relationships/hyperlink" Target="https://b2beez.ru/images/detailed/166/6243482474.jpg" TargetMode="External"/><Relationship Id="rId_hyperlink_3391" Type="http://schemas.openxmlformats.org/officeDocument/2006/relationships/hyperlink" Target="https://b2beez.ru/images/detailed/167/orig_2w4d-pi.jpg" TargetMode="External"/><Relationship Id="rId_hyperlink_3392" Type="http://schemas.openxmlformats.org/officeDocument/2006/relationships/hyperlink" Target="https://b2beez.ru/images/detailed/167/6243482669.jpg" TargetMode="External"/><Relationship Id="rId_hyperlink_3393" Type="http://schemas.openxmlformats.org/officeDocument/2006/relationships/hyperlink" Target="https://b2beez.ru/images/detailed/167/6241667187_r6ep-jv.jpg" TargetMode="External"/><Relationship Id="rId_hyperlink_3394" Type="http://schemas.openxmlformats.org/officeDocument/2006/relationships/hyperlink" Target="https://b2beez.ru/images/detailed/167/6243482601.jpg" TargetMode="External"/><Relationship Id="rId_hyperlink_3395" Type="http://schemas.openxmlformats.org/officeDocument/2006/relationships/hyperlink" Target="https://b2beez.ru/images/detailed/167/6224627832.jpg" TargetMode="External"/><Relationship Id="rId_hyperlink_3396" Type="http://schemas.openxmlformats.org/officeDocument/2006/relationships/hyperlink" Target="https://b2beez.ru/images/detailed/167/6224627832_gij7-k7.jpg" TargetMode="External"/><Relationship Id="rId_hyperlink_3397" Type="http://schemas.openxmlformats.org/officeDocument/2006/relationships/hyperlink" Target="https://b2beez.ru/images/detailed/167/6246903923.jpg" TargetMode="External"/><Relationship Id="rId_hyperlink_3398" Type="http://schemas.openxmlformats.org/officeDocument/2006/relationships/hyperlink" Target="https://b2beez.ru/images/detailed/167/6224627832_w0x4-me.jpg" TargetMode="External"/><Relationship Id="rId_hyperlink_3399" Type="http://schemas.openxmlformats.org/officeDocument/2006/relationships/hyperlink" Target="https://b2beez.ru/images/detailed/167/6224627832_ggbf-i8.jpg" TargetMode="External"/><Relationship Id="rId_hyperlink_3400" Type="http://schemas.openxmlformats.org/officeDocument/2006/relationships/hyperlink" Target="https://b2beez.ru/images/detailed/167/6224627832_9k9x-v1.jpg" TargetMode="External"/><Relationship Id="rId_hyperlink_3401" Type="http://schemas.openxmlformats.org/officeDocument/2006/relationships/hyperlink" Target="https://b2beez.ru/images/detailed/168/6243482180_azbj-fn.jpg" TargetMode="External"/><Relationship Id="rId_hyperlink_3402" Type="http://schemas.openxmlformats.org/officeDocument/2006/relationships/hyperlink" Target="https://b2beez.ru/images/detailed/168/6224628507.jpg" TargetMode="External"/><Relationship Id="rId_hyperlink_3403" Type="http://schemas.openxmlformats.org/officeDocument/2006/relationships/hyperlink" Target="https://b2beez.ru/images/detailed/168/orig_kez6-8l.jpg" TargetMode="External"/><Relationship Id="rId_hyperlink_3404" Type="http://schemas.openxmlformats.org/officeDocument/2006/relationships/hyperlink" Target="https://b2beez.ru/images/detailed/168/6719431349.jpg" TargetMode="External"/><Relationship Id="rId_hyperlink_3405" Type="http://schemas.openxmlformats.org/officeDocument/2006/relationships/hyperlink" Target="https://b2beez.ru/images/detailed/169/orig_nv49-0m.jpg" TargetMode="External"/><Relationship Id="rId_hyperlink_3406" Type="http://schemas.openxmlformats.org/officeDocument/2006/relationships/hyperlink" Target="https://b2beez.ru/images/detailed/170/6243482579.jpg" TargetMode="External"/><Relationship Id="rId_hyperlink_3407" Type="http://schemas.openxmlformats.org/officeDocument/2006/relationships/hyperlink" Target="https://b2beez.ru/images/detailed/170/orig_r6j2-op.jpg" TargetMode="External"/><Relationship Id="rId_hyperlink_3408" Type="http://schemas.openxmlformats.org/officeDocument/2006/relationships/hyperlink" Target="https://b2beez.ru/images/detailed/170/orig_hnn6-ee.jpg" TargetMode="External"/><Relationship Id="rId_hyperlink_3409" Type="http://schemas.openxmlformats.org/officeDocument/2006/relationships/hyperlink" Target="https://b2beez.ru/images/detailed/171/orig_o6wt-qh.jpg" TargetMode="External"/><Relationship Id="rId_hyperlink_3410" Type="http://schemas.openxmlformats.org/officeDocument/2006/relationships/hyperlink" Target="https://b2beez.ru/images/detailed/171/orig_t83s-ac.jpg" TargetMode="External"/><Relationship Id="rId_hyperlink_3411" Type="http://schemas.openxmlformats.org/officeDocument/2006/relationships/hyperlink" Target="https://b2beez.ru/images/detailed/171/orig_wq8t-r2.jpg" TargetMode="External"/><Relationship Id="rId_hyperlink_3412" Type="http://schemas.openxmlformats.org/officeDocument/2006/relationships/hyperlink" Target="https://b2beez.ru/images/detailed/171/orig_8mj0-bp.jpg" TargetMode="External"/><Relationship Id="rId_hyperlink_3413" Type="http://schemas.openxmlformats.org/officeDocument/2006/relationships/hyperlink" Target="https://b2beez.ru/images/detailed/171/6243482558.jpg" TargetMode="External"/><Relationship Id="rId_hyperlink_3414" Type="http://schemas.openxmlformats.org/officeDocument/2006/relationships/hyperlink" Target="https://b2beez.ru/images/detailed/171/orig_k3tn-i1.jpg" TargetMode="External"/><Relationship Id="rId_hyperlink_3415" Type="http://schemas.openxmlformats.org/officeDocument/2006/relationships/hyperlink" Target="https://b2beez.ru/images/detailed/171/orig_y2r2-li.jpg" TargetMode="External"/><Relationship Id="rId_hyperlink_3416" Type="http://schemas.openxmlformats.org/officeDocument/2006/relationships/hyperlink" Target="https://b2beez.ru/images/detailed/171/orig_27c3-x1.jpg" TargetMode="External"/><Relationship Id="rId_hyperlink_3417" Type="http://schemas.openxmlformats.org/officeDocument/2006/relationships/hyperlink" Target="https://b2beez.ru/images/detailed/171/orig_zxnr-r4.jpg" TargetMode="External"/><Relationship Id="rId_hyperlink_3418" Type="http://schemas.openxmlformats.org/officeDocument/2006/relationships/hyperlink" Target="https://b2beez.ru/images/detailed/171/orig_ycns-zv.jpg" TargetMode="External"/><Relationship Id="rId_hyperlink_3419" Type="http://schemas.openxmlformats.org/officeDocument/2006/relationships/hyperlink" Target="https://b2beez.ru/images/detailed/171/6243482390.jpg" TargetMode="External"/><Relationship Id="rId_hyperlink_3420" Type="http://schemas.openxmlformats.org/officeDocument/2006/relationships/hyperlink" Target="https://b2beez.ru/images/detailed/172/6243482615.jpg" TargetMode="External"/><Relationship Id="rId_hyperlink_3421" Type="http://schemas.openxmlformats.org/officeDocument/2006/relationships/hyperlink" Target="https://b2beez.ru/images/detailed/172/6243482634.jpg" TargetMode="External"/><Relationship Id="rId_hyperlink_3422" Type="http://schemas.openxmlformats.org/officeDocument/2006/relationships/hyperlink" Target="https://b2beez.ru/images/detailed/172/6243482309.jpg" TargetMode="External"/><Relationship Id="rId_hyperlink_3423" Type="http://schemas.openxmlformats.org/officeDocument/2006/relationships/hyperlink" Target="https://b2beez.ru/images/detailed/172/orig_4jjv-jr.jpg" TargetMode="External"/><Relationship Id="rId_hyperlink_3424" Type="http://schemas.openxmlformats.org/officeDocument/2006/relationships/hyperlink" Target="https://b2beez.ru/images/detailed/172/6243482450_z7q9-7q.jpg" TargetMode="External"/><Relationship Id="rId_hyperlink_3425" Type="http://schemas.openxmlformats.org/officeDocument/2006/relationships/hyperlink" Target="https://b2beez.ru/images/detailed/173/6243482365.jpg" TargetMode="External"/><Relationship Id="rId_hyperlink_3426" Type="http://schemas.openxmlformats.org/officeDocument/2006/relationships/hyperlink" Target="https://b2beez.ru/images/detailed/173/6243482560.jpg" TargetMode="External"/><Relationship Id="rId_hyperlink_3427" Type="http://schemas.openxmlformats.org/officeDocument/2006/relationships/hyperlink" Target="https://b2beez.ru/images/detailed/173/orig_l1a9-oz.jpg" TargetMode="External"/><Relationship Id="rId_hyperlink_3428" Type="http://schemas.openxmlformats.org/officeDocument/2006/relationships/hyperlink" Target="https://b2beez.ru/images/detailed/173/6243482498.jpg" TargetMode="External"/><Relationship Id="rId_hyperlink_3429" Type="http://schemas.openxmlformats.org/officeDocument/2006/relationships/hyperlink" Target="https://b2beez.ru/images/detailed/173/6243482577.jpg" TargetMode="External"/><Relationship Id="rId_hyperlink_3430" Type="http://schemas.openxmlformats.org/officeDocument/2006/relationships/hyperlink" Target="https://b2beez.ru/images/detailed/174/6243482630.jpg" TargetMode="External"/><Relationship Id="rId_hyperlink_3431" Type="http://schemas.openxmlformats.org/officeDocument/2006/relationships/hyperlink" Target="https://b2beez.ru/images/detailed/174/6243482398.jpg" TargetMode="External"/><Relationship Id="rId_hyperlink_3432" Type="http://schemas.openxmlformats.org/officeDocument/2006/relationships/hyperlink" Target="https://b2beez.ru/images/detailed/174/6246062418.jpg" TargetMode="External"/><Relationship Id="rId_hyperlink_3433" Type="http://schemas.openxmlformats.org/officeDocument/2006/relationships/hyperlink" Target="https://b2beez.ru/images/detailed/174/orig_d9f9-mc.jpg" TargetMode="External"/><Relationship Id="rId_hyperlink_3434" Type="http://schemas.openxmlformats.org/officeDocument/2006/relationships/hyperlink" Target="https://b2beez.ru/images/detailed/174/orig_j96f-zn.jpg" TargetMode="External"/><Relationship Id="rId_hyperlink_3435" Type="http://schemas.openxmlformats.org/officeDocument/2006/relationships/hyperlink" Target="https://b2beez.ru/images/detailed/174/6243482439.jpg" TargetMode="External"/><Relationship Id="rId_hyperlink_3436" Type="http://schemas.openxmlformats.org/officeDocument/2006/relationships/hyperlink" Target="https://b2beez.ru/images/detailed/205/1_6ci7-zf.jpg" TargetMode="External"/><Relationship Id="rId_hyperlink_3437" Type="http://schemas.openxmlformats.org/officeDocument/2006/relationships/hyperlink" Target="https://b2beez.ru/images/detailed/176/6243482388.jpg" TargetMode="External"/><Relationship Id="rId_hyperlink_3438" Type="http://schemas.openxmlformats.org/officeDocument/2006/relationships/hyperlink" Target="https://b2beez.ru/images/detailed/179/6243482095.jpg" TargetMode="External"/><Relationship Id="rId_hyperlink_3439" Type="http://schemas.openxmlformats.org/officeDocument/2006/relationships/hyperlink" Target="https://b2beez.ru/images/detailed/179/orig_b38v-lz.jpg" TargetMode="External"/><Relationship Id="rId_hyperlink_3440" Type="http://schemas.openxmlformats.org/officeDocument/2006/relationships/hyperlink" Target="https://b2beez.ru/images/detailed/179/6536295389.jpg" TargetMode="External"/><Relationship Id="rId_hyperlink_3441" Type="http://schemas.openxmlformats.org/officeDocument/2006/relationships/hyperlink" Target="https://b2beez.ru/images/detailed/184/orig_uhvm-a5.jpg" TargetMode="External"/><Relationship Id="rId_hyperlink_3442" Type="http://schemas.openxmlformats.org/officeDocument/2006/relationships/hyperlink" Target="https://b2beez.ru/images/detailed/185/orig_mlum-vj.jpg" TargetMode="External"/><Relationship Id="rId_hyperlink_3443" Type="http://schemas.openxmlformats.org/officeDocument/2006/relationships/hyperlink" Target="https://b2beez.ru/images/detailed/185/orig_z2eo-0q.jpg" TargetMode="External"/><Relationship Id="rId_hyperlink_3444" Type="http://schemas.openxmlformats.org/officeDocument/2006/relationships/hyperlink" Target="https://b2beez.ru/images/detailed/185/orig_hp97-a1.jpg" TargetMode="External"/><Relationship Id="rId_hyperlink_3445" Type="http://schemas.openxmlformats.org/officeDocument/2006/relationships/hyperlink" Target="https://b2beez.ru/images/detailed/185/orig_akd3-kf.jpg" TargetMode="External"/><Relationship Id="rId_hyperlink_3446" Type="http://schemas.openxmlformats.org/officeDocument/2006/relationships/hyperlink" Target="https://b2beez.ru/images/detailed/185/orig_r5yp-iw.jpg" TargetMode="External"/><Relationship Id="rId_hyperlink_3447" Type="http://schemas.openxmlformats.org/officeDocument/2006/relationships/hyperlink" Target="https://b2beez.ru/images/detailed/185/orig_4680-n9.jpg" TargetMode="External"/><Relationship Id="rId_hyperlink_3448" Type="http://schemas.openxmlformats.org/officeDocument/2006/relationships/hyperlink" Target="https://b2beez.ru/images/detailed/185/orig_rqn3-a8.jpg" TargetMode="External"/><Relationship Id="rId_hyperlink_3449" Type="http://schemas.openxmlformats.org/officeDocument/2006/relationships/hyperlink" Target="https://b2beez.ru/images/detailed/185/orig_1kcg-g8.jpg" TargetMode="External"/><Relationship Id="rId_hyperlink_3450" Type="http://schemas.openxmlformats.org/officeDocument/2006/relationships/hyperlink" Target="https://b2beez.ru/images/detailed/185/orig_izm8-r3.jpg" TargetMode="External"/><Relationship Id="rId_hyperlink_3451" Type="http://schemas.openxmlformats.org/officeDocument/2006/relationships/hyperlink" Target="https://b2beez.ru/images/detailed/185/orig_8ldy-20.jpg" TargetMode="External"/><Relationship Id="rId_hyperlink_3452" Type="http://schemas.openxmlformats.org/officeDocument/2006/relationships/hyperlink" Target="https://b2beez.ru/images/detailed/185/orig_a8y0-ng.jpg" TargetMode="External"/><Relationship Id="rId_hyperlink_3453" Type="http://schemas.openxmlformats.org/officeDocument/2006/relationships/hyperlink" Target="https://b2beez.ru/images/detailed/186/orig_7ekx-gv.jpg" TargetMode="External"/><Relationship Id="rId_hyperlink_3454" Type="http://schemas.openxmlformats.org/officeDocument/2006/relationships/hyperlink" Target="https://b2beez.ru/images/detailed/187/6243482661.jpg" TargetMode="External"/><Relationship Id="rId_hyperlink_3455" Type="http://schemas.openxmlformats.org/officeDocument/2006/relationships/hyperlink" Target="https://b2beez.ru/images/detailed/187/orig_42fg-ua.jpg" TargetMode="External"/><Relationship Id="rId_hyperlink_3456" Type="http://schemas.openxmlformats.org/officeDocument/2006/relationships/hyperlink" Target="https://b2beez.ru/images/detailed/204/Z-605.jpg" TargetMode="External"/><Relationship Id="rId_hyperlink_3457" Type="http://schemas.openxmlformats.org/officeDocument/2006/relationships/hyperlink" Target="https://b2beez.ru/images/detailed/156/orig_02r8-ae.jpg" TargetMode="External"/><Relationship Id="rId_hyperlink_3458" Type="http://schemas.openxmlformats.org/officeDocument/2006/relationships/hyperlink" Target="https://b2beez.ru/images/detailed/167/6243482603.jpg" TargetMode="External"/><Relationship Id="rId_hyperlink_3459" Type="http://schemas.openxmlformats.org/officeDocument/2006/relationships/hyperlink" Target="https://b2beez.ru/images/detailed/167/6243482649.jpg" TargetMode="External"/><Relationship Id="rId_hyperlink_3460" Type="http://schemas.openxmlformats.org/officeDocument/2006/relationships/hyperlink" Target="https://b2beez.ru/images/detailed/155/6243482581.jpg" TargetMode="External"/><Relationship Id="rId_hyperlink_3461" Type="http://schemas.openxmlformats.org/officeDocument/2006/relationships/hyperlink" Target="https://b2beez.ru/images/detailed/160/orig_deez-a3.jpg" TargetMode="External"/><Relationship Id="rId_hyperlink_3462" Type="http://schemas.openxmlformats.org/officeDocument/2006/relationships/hyperlink" Target="https://b2beez.ru/images/detailed/166/orig_e0ix-iv.jpg" TargetMode="External"/><Relationship Id="rId_hyperlink_3463" Type="http://schemas.openxmlformats.org/officeDocument/2006/relationships/hyperlink" Target="https://b2beez.ru/images/detailed/172/orig_5dcz-2q.jpg" TargetMode="External"/><Relationship Id="rId_hyperlink_3464" Type="http://schemas.openxmlformats.org/officeDocument/2006/relationships/hyperlink" Target="https://b2beez.ru/images/detailed/167/orig_9yh2-7n.jpg" TargetMode="External"/><Relationship Id="rId_hyperlink_3465" Type="http://schemas.openxmlformats.org/officeDocument/2006/relationships/hyperlink" Target="https://b2beez.ru/images/detailed/169/orig_uy9p-vk.jpg" TargetMode="External"/><Relationship Id="rId_hyperlink_3466" Type="http://schemas.openxmlformats.org/officeDocument/2006/relationships/hyperlink" Target="https://b2beez.ru/images/detailed/169/orig_6zj6-1i.jpg" TargetMode="External"/><Relationship Id="rId_hyperlink_3467" Type="http://schemas.openxmlformats.org/officeDocument/2006/relationships/hyperlink" Target="https://b2beez.ru/images/detailed/173/6808401187.jpg" TargetMode="External"/><Relationship Id="rId_hyperlink_3468" Type="http://schemas.openxmlformats.org/officeDocument/2006/relationships/hyperlink" Target="https://b2beez.ru/images/detailed/156/orig_lvrd-cx.jpg" TargetMode="External"/><Relationship Id="rId_hyperlink_3469" Type="http://schemas.openxmlformats.org/officeDocument/2006/relationships/hyperlink" Target="https://b2beez.ru/images/detailed/157/6423657538.jpg" TargetMode="External"/><Relationship Id="rId_hyperlink_3470" Type="http://schemas.openxmlformats.org/officeDocument/2006/relationships/hyperlink" Target="https://b2beez.ru/images/detailed/155/orig_fuhy-g2.jpg" TargetMode="External"/><Relationship Id="rId_hyperlink_3471" Type="http://schemas.openxmlformats.org/officeDocument/2006/relationships/hyperlink" Target="https://b2beez.ru/images/detailed/203/1_nrjz-qv.jpg" TargetMode="External"/><Relationship Id="rId_hyperlink_3472" Type="http://schemas.openxmlformats.org/officeDocument/2006/relationships/hyperlink" Target="https://b2beez.ru/images/detailed/204/P-2925-U1-2.jpg" TargetMode="External"/><Relationship Id="rId_hyperlink_3473" Type="http://schemas.openxmlformats.org/officeDocument/2006/relationships/hyperlink" Target="https://b2beez.ru/images/detailed/175/6243482339.jpg" TargetMode="External"/><Relationship Id="rId_hyperlink_3474" Type="http://schemas.openxmlformats.org/officeDocument/2006/relationships/hyperlink" Target="https://b2beez.ru/images/detailed/167/6224627885_z9az-48.jpg" TargetMode="External"/><Relationship Id="rId_hyperlink_3475" Type="http://schemas.openxmlformats.org/officeDocument/2006/relationships/hyperlink" Target="https://b2beez.ru/images/detailed/177/orig_4cai-o9.jpg" TargetMode="External"/><Relationship Id="rId_hyperlink_3476" Type="http://schemas.openxmlformats.org/officeDocument/2006/relationships/hyperlink" Target="https://b2beez.ru/images/detailed/154/6295553947.jpg" TargetMode="External"/><Relationship Id="rId_hyperlink_3477" Type="http://schemas.openxmlformats.org/officeDocument/2006/relationships/hyperlink" Target="https://b2beez.ru/images/detailed/0/" TargetMode="External"/><Relationship Id="rId_hyperlink_3478" Type="http://schemas.openxmlformats.org/officeDocument/2006/relationships/hyperlink" Target="https://b2beez.ru/images/detailed/169/orig_rvm2-y8.jpg" TargetMode="External"/><Relationship Id="rId_hyperlink_3479" Type="http://schemas.openxmlformats.org/officeDocument/2006/relationships/hyperlink" Target="https://b2beez.ru/images/detailed/173/orig_mz8r-75.jpg" TargetMode="External"/><Relationship Id="rId_hyperlink_3480" Type="http://schemas.openxmlformats.org/officeDocument/2006/relationships/hyperlink" Target="https://b2beez.ru/images/detailed/167/6224627926_ht94-1n.jpg" TargetMode="External"/><Relationship Id="rId_hyperlink_3481" Type="http://schemas.openxmlformats.org/officeDocument/2006/relationships/hyperlink" Target="https://b2beez.ru/images/detailed/167/orig_azlk-99.jpg" TargetMode="External"/><Relationship Id="rId_hyperlink_3482" Type="http://schemas.openxmlformats.org/officeDocument/2006/relationships/hyperlink" Target="https://b2beez.ru/images/detailed/169/orig_4kcq-gr.jpg" TargetMode="External"/><Relationship Id="rId_hyperlink_3483" Type="http://schemas.openxmlformats.org/officeDocument/2006/relationships/hyperlink" Target="https://b2beez.ru/images/detailed/171/6400429111.jpg" TargetMode="External"/><Relationship Id="rId_hyperlink_3484" Type="http://schemas.openxmlformats.org/officeDocument/2006/relationships/hyperlink" Target="https://b2beez.ru/images/detailed/0/" TargetMode="External"/><Relationship Id="rId_hyperlink_3485" Type="http://schemas.openxmlformats.org/officeDocument/2006/relationships/hyperlink" Target="https://b2beez.ru/images/detailed/48/orig_d4ns-wq.jpg" TargetMode="External"/><Relationship Id="rId_hyperlink_3486" Type="http://schemas.openxmlformats.org/officeDocument/2006/relationships/hyperlink" Target="https://b2beez.ru/images/detailed/162/6155488539.jpg" TargetMode="External"/><Relationship Id="rId_hyperlink_3487" Type="http://schemas.openxmlformats.org/officeDocument/2006/relationships/hyperlink" Target="https://b2beez.ru/images/detailed/162/6155486192.jpg" TargetMode="External"/><Relationship Id="rId_hyperlink_3488" Type="http://schemas.openxmlformats.org/officeDocument/2006/relationships/hyperlink" Target="https://b2beez.ru/images/detailed/153/orig_ek86-87.jpg" TargetMode="External"/><Relationship Id="rId_hyperlink_3489" Type="http://schemas.openxmlformats.org/officeDocument/2006/relationships/hyperlink" Target="https://b2beez.ru/images/detailed/168/7080840544.jpg" TargetMode="External"/><Relationship Id="rId_hyperlink_3490" Type="http://schemas.openxmlformats.org/officeDocument/2006/relationships/hyperlink" Target="https://b2beez.ru/images/detailed/170/6242636177_svmk-mv.jpg" TargetMode="External"/><Relationship Id="rId_hyperlink_3491" Type="http://schemas.openxmlformats.org/officeDocument/2006/relationships/hyperlink" Target="https://b2beez.ru/images/detailed/170/6242636177_0egj-id.jpg" TargetMode="External"/><Relationship Id="rId_hyperlink_3492" Type="http://schemas.openxmlformats.org/officeDocument/2006/relationships/hyperlink" Target="https://b2beez.ru/images/detailed/181/6808396988.jpg" TargetMode="External"/><Relationship Id="rId_hyperlink_3493" Type="http://schemas.openxmlformats.org/officeDocument/2006/relationships/hyperlink" Target="https://b2beez.ru/images/detailed/178/orig_8gjw-uq.jpg" TargetMode="External"/><Relationship Id="rId_hyperlink_3494" Type="http://schemas.openxmlformats.org/officeDocument/2006/relationships/hyperlink" Target="https://b2beez.ru/images/detailed/169/orig_hbhv-wb.jpg" TargetMode="External"/><Relationship Id="rId_hyperlink_3495" Type="http://schemas.openxmlformats.org/officeDocument/2006/relationships/hyperlink" Target="https://b2beez.ru/images/detailed/167/orig_5pvz-uo.jpg" TargetMode="External"/><Relationship Id="rId_hyperlink_3496" Type="http://schemas.openxmlformats.org/officeDocument/2006/relationships/hyperlink" Target="https://b2beez.ru/images/detailed/162/orig_xo8p-om.jpg" TargetMode="External"/><Relationship Id="rId_hyperlink_3497" Type="http://schemas.openxmlformats.org/officeDocument/2006/relationships/hyperlink" Target="https://b2beez.ru/images/detailed/170/orig_sj48-wi.jpg" TargetMode="External"/><Relationship Id="rId_hyperlink_3498" Type="http://schemas.openxmlformats.org/officeDocument/2006/relationships/hyperlink" Target="https://b2beez.ru/images/detailed/169/6242637739.jpg" TargetMode="External"/><Relationship Id="rId_hyperlink_3499" Type="http://schemas.openxmlformats.org/officeDocument/2006/relationships/hyperlink" Target="https://b2beez.ru/images/detailed/204/1_agos-go.jpg" TargetMode="External"/><Relationship Id="rId_hyperlink_3500" Type="http://schemas.openxmlformats.org/officeDocument/2006/relationships/hyperlink" Target="https://b2beez.ru/images/detailed/204/1_lvjr-t8.jpg" TargetMode="External"/><Relationship Id="rId_hyperlink_3501" Type="http://schemas.openxmlformats.org/officeDocument/2006/relationships/hyperlink" Target="https://b2beez.ru/images/detailed/156/6528796256.jpg" TargetMode="External"/><Relationship Id="rId_hyperlink_3502" Type="http://schemas.openxmlformats.org/officeDocument/2006/relationships/hyperlink" Target="https://b2beez.ru/images/detailed/204/1_1pqo-g4.jpg" TargetMode="External"/><Relationship Id="rId_hyperlink_3503" Type="http://schemas.openxmlformats.org/officeDocument/2006/relationships/hyperlink" Target="https://b2beez.ru/images/detailed/170/6847209956.jpg" TargetMode="External"/><Relationship Id="rId_hyperlink_3504" Type="http://schemas.openxmlformats.org/officeDocument/2006/relationships/hyperlink" Target="https://b2beez.ru/images/detailed/174/6249259856.jpg" TargetMode="External"/><Relationship Id="rId_hyperlink_3505" Type="http://schemas.openxmlformats.org/officeDocument/2006/relationships/hyperlink" Target="https://b2beez.ru/images/detailed/170/6155817372.jpg" TargetMode="External"/><Relationship Id="rId_hyperlink_3506" Type="http://schemas.openxmlformats.org/officeDocument/2006/relationships/hyperlink" Target="https://b2beez.ru/images/detailed/177/orig_e3dy-yo.jpg" TargetMode="External"/><Relationship Id="rId_hyperlink_3507" Type="http://schemas.openxmlformats.org/officeDocument/2006/relationships/hyperlink" Target="https://b2beez.ru/images/detailed/171/6494808326.jpg" TargetMode="External"/><Relationship Id="rId_hyperlink_3508" Type="http://schemas.openxmlformats.org/officeDocument/2006/relationships/hyperlink" Target="https://b2beez.ru/images/detailed/204/2_d0xy-by.jpg" TargetMode="External"/><Relationship Id="rId_hyperlink_3509" Type="http://schemas.openxmlformats.org/officeDocument/2006/relationships/hyperlink" Target="https://b2beez.ru/images/detailed/182/6242639327.jpg" TargetMode="External"/><Relationship Id="rId_hyperlink_3510" Type="http://schemas.openxmlformats.org/officeDocument/2006/relationships/hyperlink" Target="https://b2beez.ru/images/detailed/47/orig_uc8s-ve.jpg" TargetMode="External"/><Relationship Id="rId_hyperlink_3511" Type="http://schemas.openxmlformats.org/officeDocument/2006/relationships/hyperlink" Target="https://b2beez.ru/images/detailed/168/orig_7yi9-u0.jpg" TargetMode="External"/><Relationship Id="rId_hyperlink_3512" Type="http://schemas.openxmlformats.org/officeDocument/2006/relationships/hyperlink" Target="https://b2beez.ru/images/detailed/170/orig_4edp-8q.jpg" TargetMode="External"/><Relationship Id="rId_hyperlink_3513" Type="http://schemas.openxmlformats.org/officeDocument/2006/relationships/hyperlink" Target="https://b2beez.ru/images/detailed/182/orig_3boy-nj.jpg" TargetMode="External"/><Relationship Id="rId_hyperlink_3514" Type="http://schemas.openxmlformats.org/officeDocument/2006/relationships/hyperlink" Target="https://b2beez.ru/images/detailed/188/6911607257.jpg" TargetMode="External"/><Relationship Id="rId_hyperlink_3515" Type="http://schemas.openxmlformats.org/officeDocument/2006/relationships/hyperlink" Target="https://b2beez.ru/images/detailed/179/7158571964.jpg" TargetMode="External"/><Relationship Id="rId_hyperlink_3516" Type="http://schemas.openxmlformats.org/officeDocument/2006/relationships/hyperlink" Target="https://b2beez.ru/images/detailed/0/" TargetMode="External"/><Relationship Id="rId_hyperlink_3517" Type="http://schemas.openxmlformats.org/officeDocument/2006/relationships/hyperlink" Target="https://b2beez.ru/images/detailed/0/" TargetMode="External"/><Relationship Id="rId_hyperlink_3518" Type="http://schemas.openxmlformats.org/officeDocument/2006/relationships/hyperlink" Target="https://b2beez.ru/images/detailed/0/" TargetMode="External"/><Relationship Id="rId_hyperlink_3519" Type="http://schemas.openxmlformats.org/officeDocument/2006/relationships/hyperlink" Target="https://b2beez.ru/images/detailed/181/6246015920.jpg" TargetMode="External"/><Relationship Id="rId_hyperlink_3520" Type="http://schemas.openxmlformats.org/officeDocument/2006/relationships/hyperlink" Target="https://b2beez.ru/images/detailed/153/orig_7t0b-v5.jpg" TargetMode="External"/><Relationship Id="rId_hyperlink_3521" Type="http://schemas.openxmlformats.org/officeDocument/2006/relationships/hyperlink" Target="https://b2beez.ru/images/detailed/204/N-2519-U1-2.jpg" TargetMode="External"/><Relationship Id="rId_hyperlink_3522" Type="http://schemas.openxmlformats.org/officeDocument/2006/relationships/hyperlink" Target="https://b2beez.ru/images/detailed/168/orig_bpc7-pf.jpg" TargetMode="External"/><Relationship Id="rId_hyperlink_3523" Type="http://schemas.openxmlformats.org/officeDocument/2006/relationships/hyperlink" Target="https://b2beez.ru/images/detailed/166/orig_3htr-n7.jpg" TargetMode="External"/><Relationship Id="rId_hyperlink_3524" Type="http://schemas.openxmlformats.org/officeDocument/2006/relationships/hyperlink" Target="https://b2beez.ru/images/detailed/182/orig_ihrc-dm.jpg" TargetMode="External"/><Relationship Id="rId_hyperlink_3525" Type="http://schemas.openxmlformats.org/officeDocument/2006/relationships/hyperlink" Target="https://b2beez.ru/images/detailed/183/orig_qfyf-u2.jpg" TargetMode="External"/><Relationship Id="rId_hyperlink_3526" Type="http://schemas.openxmlformats.org/officeDocument/2006/relationships/hyperlink" Target="https://b2beez.ru/images/detailed/161/orig_v1ry-q5.jpg" TargetMode="External"/><Relationship Id="rId_hyperlink_3527" Type="http://schemas.openxmlformats.org/officeDocument/2006/relationships/hyperlink" Target="https://b2beez.ru/images/detailed/204/2_yv3n-vq.jpg" TargetMode="External"/><Relationship Id="rId_hyperlink_3528" Type="http://schemas.openxmlformats.org/officeDocument/2006/relationships/hyperlink" Target="https://b2beez.ru/images/detailed/153/orig_8czx-gv.jpg" TargetMode="External"/><Relationship Id="rId_hyperlink_3529" Type="http://schemas.openxmlformats.org/officeDocument/2006/relationships/hyperlink" Target="https://b2beez.ru/images/detailed/153/6242635728.jpg" TargetMode="External"/><Relationship Id="rId_hyperlink_3530" Type="http://schemas.openxmlformats.org/officeDocument/2006/relationships/hyperlink" Target="https://b2beez.ru/images/detailed/155/orig_p2t7-0l.jpg" TargetMode="External"/><Relationship Id="rId_hyperlink_3531" Type="http://schemas.openxmlformats.org/officeDocument/2006/relationships/hyperlink" Target="https://b2beez.ru/images/detailed/155/orig_rbny-bm.jpg" TargetMode="External"/><Relationship Id="rId_hyperlink_3532" Type="http://schemas.openxmlformats.org/officeDocument/2006/relationships/hyperlink" Target="https://b2beez.ru/images/detailed/155/orig_pbva-dg.jpg" TargetMode="External"/><Relationship Id="rId_hyperlink_3533" Type="http://schemas.openxmlformats.org/officeDocument/2006/relationships/hyperlink" Target="https://b2beez.ru/images/detailed/155/orig_jb32-ln.jpg" TargetMode="External"/><Relationship Id="rId_hyperlink_3534" Type="http://schemas.openxmlformats.org/officeDocument/2006/relationships/hyperlink" Target="https://b2beez.ru/images/detailed/156/orig_ihjv-f1.jpg" TargetMode="External"/><Relationship Id="rId_hyperlink_3535" Type="http://schemas.openxmlformats.org/officeDocument/2006/relationships/hyperlink" Target="https://b2beez.ru/images/detailed/156/orig_lhlz-7i.jpg" TargetMode="External"/><Relationship Id="rId_hyperlink_3536" Type="http://schemas.openxmlformats.org/officeDocument/2006/relationships/hyperlink" Target="https://b2beez.ru/images/detailed/157/orig_uqa7-gp.jpg" TargetMode="External"/><Relationship Id="rId_hyperlink_3537" Type="http://schemas.openxmlformats.org/officeDocument/2006/relationships/hyperlink" Target="https://b2beez.ru/images/detailed/157/orig_8p2y-5i.jpg" TargetMode="External"/><Relationship Id="rId_hyperlink_3538" Type="http://schemas.openxmlformats.org/officeDocument/2006/relationships/hyperlink" Target="https://b2beez.ru/images/detailed/157/6242635537.jpg" TargetMode="External"/><Relationship Id="rId_hyperlink_3539" Type="http://schemas.openxmlformats.org/officeDocument/2006/relationships/hyperlink" Target="https://b2beez.ru/images/detailed/157/orig_1g2r-ir.jpg" TargetMode="External"/><Relationship Id="rId_hyperlink_3540" Type="http://schemas.openxmlformats.org/officeDocument/2006/relationships/hyperlink" Target="https://b2beez.ru/images/detailed/161/6242638276.jpg" TargetMode="External"/><Relationship Id="rId_hyperlink_3541" Type="http://schemas.openxmlformats.org/officeDocument/2006/relationships/hyperlink" Target="https://b2beez.ru/images/detailed/161/6242639239.jpg" TargetMode="External"/><Relationship Id="rId_hyperlink_3542" Type="http://schemas.openxmlformats.org/officeDocument/2006/relationships/hyperlink" Target="https://b2beez.ru/images/detailed/204/1_gdqk-gz.jpg" TargetMode="External"/><Relationship Id="rId_hyperlink_3543" Type="http://schemas.openxmlformats.org/officeDocument/2006/relationships/hyperlink" Target="https://b2beez.ru/images/detailed/162/orig_2av9-wy.jpg" TargetMode="External"/><Relationship Id="rId_hyperlink_3544" Type="http://schemas.openxmlformats.org/officeDocument/2006/relationships/hyperlink" Target="https://b2beez.ru/images/detailed/162/6224525345.jpg" TargetMode="External"/><Relationship Id="rId_hyperlink_3545" Type="http://schemas.openxmlformats.org/officeDocument/2006/relationships/hyperlink" Target="https://b2beez.ru/images/detailed/162/6228051941.jpg" TargetMode="External"/><Relationship Id="rId_hyperlink_3546" Type="http://schemas.openxmlformats.org/officeDocument/2006/relationships/hyperlink" Target="https://b2beez.ru/images/detailed/162/orig_2128-07.jpg" TargetMode="External"/><Relationship Id="rId_hyperlink_3547" Type="http://schemas.openxmlformats.org/officeDocument/2006/relationships/hyperlink" Target="https://b2beez.ru/images/detailed/162/orig_v4r4-tp.jpg" TargetMode="External"/><Relationship Id="rId_hyperlink_3548" Type="http://schemas.openxmlformats.org/officeDocument/2006/relationships/hyperlink" Target="https://b2beez.ru/images/detailed/162/orig_3mhj-bl.jpg" TargetMode="External"/><Relationship Id="rId_hyperlink_3549" Type="http://schemas.openxmlformats.org/officeDocument/2006/relationships/hyperlink" Target="https://b2beez.ru/images/detailed/165/orig_6l6n-ka.jpg" TargetMode="External"/><Relationship Id="rId_hyperlink_3550" Type="http://schemas.openxmlformats.org/officeDocument/2006/relationships/hyperlink" Target="https://b2beez.ru/images/detailed/166/6242638086.jpg" TargetMode="External"/><Relationship Id="rId_hyperlink_3551" Type="http://schemas.openxmlformats.org/officeDocument/2006/relationships/hyperlink" Target="https://b2beez.ru/images/detailed/204/1_d69s-yn.jpg" TargetMode="External"/><Relationship Id="rId_hyperlink_3552" Type="http://schemas.openxmlformats.org/officeDocument/2006/relationships/hyperlink" Target="https://b2beez.ru/images/detailed/167/orig_vzi5-k4.jpg" TargetMode="External"/><Relationship Id="rId_hyperlink_3553" Type="http://schemas.openxmlformats.org/officeDocument/2006/relationships/hyperlink" Target="https://b2beez.ru/images/detailed/204/1_27ix-ef.jpg" TargetMode="External"/><Relationship Id="rId_hyperlink_3554" Type="http://schemas.openxmlformats.org/officeDocument/2006/relationships/hyperlink" Target="https://b2beez.ru/images/detailed/167/orig_gecy-w7.jpg" TargetMode="External"/><Relationship Id="rId_hyperlink_3555" Type="http://schemas.openxmlformats.org/officeDocument/2006/relationships/hyperlink" Target="https://b2beez.ru/images/detailed/168/orig.jpg" TargetMode="External"/><Relationship Id="rId_hyperlink_3556" Type="http://schemas.openxmlformats.org/officeDocument/2006/relationships/hyperlink" Target="https://b2beez.ru/images/detailed/168/6494808349.jpg" TargetMode="External"/><Relationship Id="rId_hyperlink_3557" Type="http://schemas.openxmlformats.org/officeDocument/2006/relationships/hyperlink" Target="https://b2beez.ru/images/detailed/168/6913390845.jpg" TargetMode="External"/><Relationship Id="rId_hyperlink_3558" Type="http://schemas.openxmlformats.org/officeDocument/2006/relationships/hyperlink" Target="https://b2beez.ru/images/detailed/168/orig_s3eo-u2.jpg" TargetMode="External"/><Relationship Id="rId_hyperlink_3559" Type="http://schemas.openxmlformats.org/officeDocument/2006/relationships/hyperlink" Target="https://b2beez.ru/images/detailed/168/orig_5113-u0.jpg" TargetMode="External"/><Relationship Id="rId_hyperlink_3560" Type="http://schemas.openxmlformats.org/officeDocument/2006/relationships/hyperlink" Target="https://b2beez.ru/images/detailed/168/orig_6ool-cu.jpg" TargetMode="External"/><Relationship Id="rId_hyperlink_3561" Type="http://schemas.openxmlformats.org/officeDocument/2006/relationships/hyperlink" Target="https://b2beez.ru/images/detailed/168/orig_fp02-5u.jpg" TargetMode="External"/><Relationship Id="rId_hyperlink_3562" Type="http://schemas.openxmlformats.org/officeDocument/2006/relationships/hyperlink" Target="https://b2beez.ru/images/detailed/168/orig_7cdz-ld.jpg" TargetMode="External"/><Relationship Id="rId_hyperlink_3563" Type="http://schemas.openxmlformats.org/officeDocument/2006/relationships/hyperlink" Target="https://b2beez.ru/images/detailed/168/6242638717_r80p-2p.jpg" TargetMode="External"/><Relationship Id="rId_hyperlink_3564" Type="http://schemas.openxmlformats.org/officeDocument/2006/relationships/hyperlink" Target="https://b2beez.ru/images/detailed/168/6242638732.jpg" TargetMode="External"/><Relationship Id="rId_hyperlink_3565" Type="http://schemas.openxmlformats.org/officeDocument/2006/relationships/hyperlink" Target="https://b2beez.ru/images/detailed/204/1_pjja-19.jpg" TargetMode="External"/><Relationship Id="rId_hyperlink_3566" Type="http://schemas.openxmlformats.org/officeDocument/2006/relationships/hyperlink" Target="https://b2beez.ru/images/detailed/168/6224525436.jpg" TargetMode="External"/><Relationship Id="rId_hyperlink_3567" Type="http://schemas.openxmlformats.org/officeDocument/2006/relationships/hyperlink" Target="https://b2beez.ru/images/detailed/168/orig_4q3y-06.png" TargetMode="External"/><Relationship Id="rId_hyperlink_3568" Type="http://schemas.openxmlformats.org/officeDocument/2006/relationships/hyperlink" Target="https://b2beez.ru/images/detailed/168/6224525135.jpg" TargetMode="External"/><Relationship Id="rId_hyperlink_3569" Type="http://schemas.openxmlformats.org/officeDocument/2006/relationships/hyperlink" Target="https://b2beez.ru/images/detailed/168/orig_geuk-1l.jpg" TargetMode="External"/><Relationship Id="rId_hyperlink_3570" Type="http://schemas.openxmlformats.org/officeDocument/2006/relationships/hyperlink" Target="https://b2beez.ru/images/detailed/169/6242637616.jpg" TargetMode="External"/><Relationship Id="rId_hyperlink_3571" Type="http://schemas.openxmlformats.org/officeDocument/2006/relationships/hyperlink" Target="https://b2beez.ru/images/detailed/170/6242638402.jpg" TargetMode="External"/><Relationship Id="rId_hyperlink_3572" Type="http://schemas.openxmlformats.org/officeDocument/2006/relationships/hyperlink" Target="https://b2beez.ru/images/detailed/170/orig_jvp6-0h.jpg" TargetMode="External"/><Relationship Id="rId_hyperlink_3573" Type="http://schemas.openxmlformats.org/officeDocument/2006/relationships/hyperlink" Target="https://b2beez.ru/images/detailed/204/1_5ocp-2k.jpg" TargetMode="External"/><Relationship Id="rId_hyperlink_3574" Type="http://schemas.openxmlformats.org/officeDocument/2006/relationships/hyperlink" Target="https://b2beez.ru/images/detailed/170/orig_yt3k-t8.jpg" TargetMode="External"/><Relationship Id="rId_hyperlink_3575" Type="http://schemas.openxmlformats.org/officeDocument/2006/relationships/hyperlink" Target="https://b2beez.ru/images/detailed/204/2_rawz-42.jpg" TargetMode="External"/><Relationship Id="rId_hyperlink_3576" Type="http://schemas.openxmlformats.org/officeDocument/2006/relationships/hyperlink" Target="https://b2beez.ru/images/detailed/170/orig_3c60-21.jpg" TargetMode="External"/><Relationship Id="rId_hyperlink_3577" Type="http://schemas.openxmlformats.org/officeDocument/2006/relationships/hyperlink" Target="https://b2beez.ru/images/detailed/170/6242637929.jpg" TargetMode="External"/><Relationship Id="rId_hyperlink_3578" Type="http://schemas.openxmlformats.org/officeDocument/2006/relationships/hyperlink" Target="https://b2beez.ru/images/detailed/170/orig_xwo2-1m.jpg" TargetMode="External"/><Relationship Id="rId_hyperlink_3579" Type="http://schemas.openxmlformats.org/officeDocument/2006/relationships/hyperlink" Target="https://b2beez.ru/images/detailed/170/6246902739.jpg" TargetMode="External"/><Relationship Id="rId_hyperlink_3580" Type="http://schemas.openxmlformats.org/officeDocument/2006/relationships/hyperlink" Target="https://b2beez.ru/images/detailed/170/orig_uz09-45.jpg" TargetMode="External"/><Relationship Id="rId_hyperlink_3581" Type="http://schemas.openxmlformats.org/officeDocument/2006/relationships/hyperlink" Target="https://b2beez.ru/images/detailed/170/6242638120.jpg" TargetMode="External"/><Relationship Id="rId_hyperlink_3582" Type="http://schemas.openxmlformats.org/officeDocument/2006/relationships/hyperlink" Target="https://b2beez.ru/images/detailed/170/6242637967_k20x-up.jpg" TargetMode="External"/><Relationship Id="rId_hyperlink_3583" Type="http://schemas.openxmlformats.org/officeDocument/2006/relationships/hyperlink" Target="https://b2beez.ru/images/detailed/170/6242637967_b0fx-ln.jpg" TargetMode="External"/><Relationship Id="rId_hyperlink_3584" Type="http://schemas.openxmlformats.org/officeDocument/2006/relationships/hyperlink" Target="https://b2beez.ru/images/detailed/170/6242637967_xoqo-4n.jpg" TargetMode="External"/><Relationship Id="rId_hyperlink_3585" Type="http://schemas.openxmlformats.org/officeDocument/2006/relationships/hyperlink" Target="https://b2beez.ru/images/detailed/170/6242637967_jk9v-9o.jpg" TargetMode="External"/><Relationship Id="rId_hyperlink_3586" Type="http://schemas.openxmlformats.org/officeDocument/2006/relationships/hyperlink" Target="https://b2beez.ru/images/detailed/170/6242638010_nfbl-nv.jpg" TargetMode="External"/><Relationship Id="rId_hyperlink_3587" Type="http://schemas.openxmlformats.org/officeDocument/2006/relationships/hyperlink" Target="https://b2beez.ru/images/detailed/170/6242638010_t3gb-1o.jpg" TargetMode="External"/><Relationship Id="rId_hyperlink_3588" Type="http://schemas.openxmlformats.org/officeDocument/2006/relationships/hyperlink" Target="https://b2beez.ru/images/detailed/170/6242638010_ctl0-3a.jpg" TargetMode="External"/><Relationship Id="rId_hyperlink_3589" Type="http://schemas.openxmlformats.org/officeDocument/2006/relationships/hyperlink" Target="https://b2beez.ru/images/detailed/170/orig_ue8o-7l.jpg" TargetMode="External"/><Relationship Id="rId_hyperlink_3590" Type="http://schemas.openxmlformats.org/officeDocument/2006/relationships/hyperlink" Target="https://b2beez.ru/images/detailed/170/orig_fgpy-ga.jpg" TargetMode="External"/><Relationship Id="rId_hyperlink_3591" Type="http://schemas.openxmlformats.org/officeDocument/2006/relationships/hyperlink" Target="https://b2beez.ru/images/detailed/170/orig_79h0-2n.jpg" TargetMode="External"/><Relationship Id="rId_hyperlink_3592" Type="http://schemas.openxmlformats.org/officeDocument/2006/relationships/hyperlink" Target="https://b2beez.ru/images/detailed/170/6242638456.jpg" TargetMode="External"/><Relationship Id="rId_hyperlink_3593" Type="http://schemas.openxmlformats.org/officeDocument/2006/relationships/hyperlink" Target="https://b2beez.ru/images/detailed/170/6242638405.jpg" TargetMode="External"/><Relationship Id="rId_hyperlink_3594" Type="http://schemas.openxmlformats.org/officeDocument/2006/relationships/hyperlink" Target="https://b2beez.ru/images/detailed/170/orig_zqqn-4o.jpg" TargetMode="External"/><Relationship Id="rId_hyperlink_3595" Type="http://schemas.openxmlformats.org/officeDocument/2006/relationships/hyperlink" Target="https://b2beez.ru/images/detailed/170/orig_pt78-56.jpg" TargetMode="External"/><Relationship Id="rId_hyperlink_3596" Type="http://schemas.openxmlformats.org/officeDocument/2006/relationships/hyperlink" Target="https://b2beez.ru/images/detailed/170/orig_fpzq-83.jpg" TargetMode="External"/><Relationship Id="rId_hyperlink_3597" Type="http://schemas.openxmlformats.org/officeDocument/2006/relationships/hyperlink" Target="https://b2beez.ru/images/detailed/170/orig_uv3q-y4.jpg" TargetMode="External"/><Relationship Id="rId_hyperlink_3598" Type="http://schemas.openxmlformats.org/officeDocument/2006/relationships/hyperlink" Target="https://b2beez.ru/images/detailed/0/" TargetMode="External"/><Relationship Id="rId_hyperlink_3599" Type="http://schemas.openxmlformats.org/officeDocument/2006/relationships/hyperlink" Target="https://b2beez.ru/images/detailed/170/orig_ovjz-ou.jpg" TargetMode="External"/><Relationship Id="rId_hyperlink_3600" Type="http://schemas.openxmlformats.org/officeDocument/2006/relationships/hyperlink" Target="https://b2beez.ru/images/detailed/204/1_jtj1-7k.jpg" TargetMode="External"/><Relationship Id="rId_hyperlink_3601" Type="http://schemas.openxmlformats.org/officeDocument/2006/relationships/hyperlink" Target="https://b2beez.ru/images/detailed/171/6242638635.jpg" TargetMode="External"/><Relationship Id="rId_hyperlink_3602" Type="http://schemas.openxmlformats.org/officeDocument/2006/relationships/hyperlink" Target="https://b2beez.ru/images/detailed/172/orig_w22r-zf.jpg" TargetMode="External"/><Relationship Id="rId_hyperlink_3603" Type="http://schemas.openxmlformats.org/officeDocument/2006/relationships/hyperlink" Target="https://b2beez.ru/images/detailed/172/orig_z6zh-ky.jpg" TargetMode="External"/><Relationship Id="rId_hyperlink_3604" Type="http://schemas.openxmlformats.org/officeDocument/2006/relationships/hyperlink" Target="https://b2beez.ru/images/detailed/174/6242638670.jpg" TargetMode="External"/><Relationship Id="rId_hyperlink_3605" Type="http://schemas.openxmlformats.org/officeDocument/2006/relationships/hyperlink" Target="https://b2beez.ru/images/detailed/174/orig_i48n-pd.jpg" TargetMode="External"/><Relationship Id="rId_hyperlink_3606" Type="http://schemas.openxmlformats.org/officeDocument/2006/relationships/hyperlink" Target="https://b2beez.ru/images/detailed/177/6242638579.jpg" TargetMode="External"/><Relationship Id="rId_hyperlink_3607" Type="http://schemas.openxmlformats.org/officeDocument/2006/relationships/hyperlink" Target="https://b2beez.ru/images/detailed/204/1_wdsk-ff.jpg" TargetMode="External"/><Relationship Id="rId_hyperlink_3608" Type="http://schemas.openxmlformats.org/officeDocument/2006/relationships/hyperlink" Target="https://b2beez.ru/images/detailed/204/2_emsf-qn.jpg" TargetMode="External"/><Relationship Id="rId_hyperlink_3609" Type="http://schemas.openxmlformats.org/officeDocument/2006/relationships/hyperlink" Target="https://b2beez.ru/images/detailed/178/orig_bjlm-ql.jpg" TargetMode="External"/><Relationship Id="rId_hyperlink_3610" Type="http://schemas.openxmlformats.org/officeDocument/2006/relationships/hyperlink" Target="https://b2beez.ru/images/detailed/178/6233135416.jpg" TargetMode="External"/><Relationship Id="rId_hyperlink_3611" Type="http://schemas.openxmlformats.org/officeDocument/2006/relationships/hyperlink" Target="https://b2beez.ru/images/detailed/178/orig_h41i-de.jpg" TargetMode="External"/><Relationship Id="rId_hyperlink_3612" Type="http://schemas.openxmlformats.org/officeDocument/2006/relationships/hyperlink" Target="https://b2beez.ru/images/detailed/180/6224525201.jpg" TargetMode="External"/><Relationship Id="rId_hyperlink_3613" Type="http://schemas.openxmlformats.org/officeDocument/2006/relationships/hyperlink" Target="https://b2beez.ru/images/detailed/181/orig_3rbb-py.jpg" TargetMode="External"/><Relationship Id="rId_hyperlink_3614" Type="http://schemas.openxmlformats.org/officeDocument/2006/relationships/hyperlink" Target="https://b2beez.ru/images/detailed/181/6242638923.jpg" TargetMode="External"/><Relationship Id="rId_hyperlink_3615" Type="http://schemas.openxmlformats.org/officeDocument/2006/relationships/hyperlink" Target="https://b2beez.ru/images/detailed/181/6242638933.jpg" TargetMode="External"/><Relationship Id="rId_hyperlink_3616" Type="http://schemas.openxmlformats.org/officeDocument/2006/relationships/hyperlink" Target="https://b2beez.ru/images/detailed/181/orig_61hr-je.jpg" TargetMode="External"/><Relationship Id="rId_hyperlink_3617" Type="http://schemas.openxmlformats.org/officeDocument/2006/relationships/hyperlink" Target="https://b2beez.ru/images/detailed/181/6224525143.jpg" TargetMode="External"/><Relationship Id="rId_hyperlink_3618" Type="http://schemas.openxmlformats.org/officeDocument/2006/relationships/hyperlink" Target="https://b2beez.ru/images/detailed/181/6242636282.jpg" TargetMode="External"/><Relationship Id="rId_hyperlink_3619" Type="http://schemas.openxmlformats.org/officeDocument/2006/relationships/hyperlink" Target="https://b2beez.ru/images/detailed/181/orig_2bds-rm.jpg" TargetMode="External"/><Relationship Id="rId_hyperlink_3620" Type="http://schemas.openxmlformats.org/officeDocument/2006/relationships/hyperlink" Target="https://b2beez.ru/images/detailed/181/orig_wcwt-xu.jpg" TargetMode="External"/><Relationship Id="rId_hyperlink_3621" Type="http://schemas.openxmlformats.org/officeDocument/2006/relationships/hyperlink" Target="https://b2beez.ru/images/detailed/181/orig_b9v6-4o.jpg" TargetMode="External"/><Relationship Id="rId_hyperlink_3622" Type="http://schemas.openxmlformats.org/officeDocument/2006/relationships/hyperlink" Target="https://b2beez.ru/images/detailed/183/orig_g686-1t.jpg" TargetMode="External"/><Relationship Id="rId_hyperlink_3623" Type="http://schemas.openxmlformats.org/officeDocument/2006/relationships/hyperlink" Target="https://b2beez.ru/images/detailed/183/orig_x8ly-k3.jpg" TargetMode="External"/><Relationship Id="rId_hyperlink_3624" Type="http://schemas.openxmlformats.org/officeDocument/2006/relationships/hyperlink" Target="https://b2beez.ru/images/detailed/183/orig_q5kb-4v.jpg" TargetMode="External"/><Relationship Id="rId_hyperlink_3625" Type="http://schemas.openxmlformats.org/officeDocument/2006/relationships/hyperlink" Target="https://b2beez.ru/images/detailed/183/6242639304.jpg" TargetMode="External"/><Relationship Id="rId_hyperlink_3626" Type="http://schemas.openxmlformats.org/officeDocument/2006/relationships/hyperlink" Target="https://b2beez.ru/images/detailed/188/6242635627.jpg" TargetMode="External"/><Relationship Id="rId_hyperlink_3627" Type="http://schemas.openxmlformats.org/officeDocument/2006/relationships/hyperlink" Target="https://b2beez.ru/images/detailed/188/6242638130.jpg" TargetMode="External"/><Relationship Id="rId_hyperlink_3628" Type="http://schemas.openxmlformats.org/officeDocument/2006/relationships/hyperlink" Target="https://b2beez.ru/images/detailed/188/orig_w4yl-ho.jpg" TargetMode="External"/><Relationship Id="rId_hyperlink_3629" Type="http://schemas.openxmlformats.org/officeDocument/2006/relationships/hyperlink" Target="https://b2beez.ru/images/detailed/188/6249329411.jpg" TargetMode="External"/><Relationship Id="rId_hyperlink_3630" Type="http://schemas.openxmlformats.org/officeDocument/2006/relationships/hyperlink" Target="https://b2beez.ru/images/detailed/188/6242636565.jpg" TargetMode="External"/><Relationship Id="rId_hyperlink_3631" Type="http://schemas.openxmlformats.org/officeDocument/2006/relationships/hyperlink" Target="https://b2beez.ru/images/detailed/188/6242638623.jpg" TargetMode="External"/><Relationship Id="rId_hyperlink_3632" Type="http://schemas.openxmlformats.org/officeDocument/2006/relationships/hyperlink" Target="https://b2beez.ru/images/detailed/188/6369649830.jpg" TargetMode="External"/><Relationship Id="rId_hyperlink_3633" Type="http://schemas.openxmlformats.org/officeDocument/2006/relationships/hyperlink" Target="https://b2beez.ru/images/detailed/188/6242638046.jpg" TargetMode="External"/><Relationship Id="rId_hyperlink_3634" Type="http://schemas.openxmlformats.org/officeDocument/2006/relationships/hyperlink" Target="https://b2beez.ru/images/detailed/188/6242638097.jpg" TargetMode="External"/><Relationship Id="rId_hyperlink_3635" Type="http://schemas.openxmlformats.org/officeDocument/2006/relationships/hyperlink" Target="https://b2beez.ru/images/detailed/204/Z-693-2.jpg" TargetMode="External"/><Relationship Id="rId_hyperlink_3636" Type="http://schemas.openxmlformats.org/officeDocument/2006/relationships/hyperlink" Target="https://b2beez.ru/images/detailed/204/Z-694-2.jpg" TargetMode="External"/><Relationship Id="rId_hyperlink_3637" Type="http://schemas.openxmlformats.org/officeDocument/2006/relationships/hyperlink" Target="https://b2beez.ru/images/detailed/204/Z-696-4.jpg" TargetMode="External"/><Relationship Id="rId_hyperlink_3638" Type="http://schemas.openxmlformats.org/officeDocument/2006/relationships/hyperlink" Target="https://b2beez.ru/images/detailed/155/orig_n6vd-vs.jpg" TargetMode="External"/><Relationship Id="rId_hyperlink_3639" Type="http://schemas.openxmlformats.org/officeDocument/2006/relationships/hyperlink" Target="https://b2beez.ru/images/detailed/155/orig_yrwe-q1.jpg" TargetMode="External"/><Relationship Id="rId_hyperlink_3640" Type="http://schemas.openxmlformats.org/officeDocument/2006/relationships/hyperlink" Target="https://b2beez.ru/images/detailed/204/1_bhpg-uq.jpg" TargetMode="External"/><Relationship Id="rId_hyperlink_3641" Type="http://schemas.openxmlformats.org/officeDocument/2006/relationships/hyperlink" Target="https://b2beez.ru/images/detailed/157/orig_dpaq-xd.jpg" TargetMode="External"/><Relationship Id="rId_hyperlink_3642" Type="http://schemas.openxmlformats.org/officeDocument/2006/relationships/hyperlink" Target="https://b2beez.ru/images/detailed/157/orig_q710-vx.jpg" TargetMode="External"/><Relationship Id="rId_hyperlink_3643" Type="http://schemas.openxmlformats.org/officeDocument/2006/relationships/hyperlink" Target="https://b2beez.ru/images/detailed/157/orig_hw54-sl.jpg" TargetMode="External"/><Relationship Id="rId_hyperlink_3644" Type="http://schemas.openxmlformats.org/officeDocument/2006/relationships/hyperlink" Target="https://b2beez.ru/images/detailed/157/orig_c99s-1v.jpg" TargetMode="External"/><Relationship Id="rId_hyperlink_3645" Type="http://schemas.openxmlformats.org/officeDocument/2006/relationships/hyperlink" Target="https://b2beez.ru/images/detailed/162/6224525165.jpg" TargetMode="External"/><Relationship Id="rId_hyperlink_3646" Type="http://schemas.openxmlformats.org/officeDocument/2006/relationships/hyperlink" Target="https://b2beez.ru/images/detailed/167/6242635852.jpg" TargetMode="External"/><Relationship Id="rId_hyperlink_3647" Type="http://schemas.openxmlformats.org/officeDocument/2006/relationships/hyperlink" Target="https://b2beez.ru/images/detailed/167/orig_qx1x-5l.jpg" TargetMode="External"/><Relationship Id="rId_hyperlink_3648" Type="http://schemas.openxmlformats.org/officeDocument/2006/relationships/hyperlink" Target="https://b2beez.ru/images/detailed/204/2_civf-lx.jpg" TargetMode="External"/><Relationship Id="rId_hyperlink_3649" Type="http://schemas.openxmlformats.org/officeDocument/2006/relationships/hyperlink" Target="https://b2beez.ru/images/detailed/170/6242638807.jpg" TargetMode="External"/><Relationship Id="rId_hyperlink_3650" Type="http://schemas.openxmlformats.org/officeDocument/2006/relationships/hyperlink" Target="https://b2beez.ru/images/detailed/170/6242638806.jpg" TargetMode="External"/><Relationship Id="rId_hyperlink_3651" Type="http://schemas.openxmlformats.org/officeDocument/2006/relationships/hyperlink" Target="https://b2beez.ru/images/detailed/170/6242636177_neky-vt.jpg" TargetMode="External"/><Relationship Id="rId_hyperlink_3652" Type="http://schemas.openxmlformats.org/officeDocument/2006/relationships/hyperlink" Target="https://b2beez.ru/images/detailed/170/6242636177_rzd8-sy.jpg" TargetMode="External"/><Relationship Id="rId_hyperlink_3653" Type="http://schemas.openxmlformats.org/officeDocument/2006/relationships/hyperlink" Target="https://b2beez.ru/images/detailed/170/6913388684.jpg" TargetMode="External"/><Relationship Id="rId_hyperlink_3654" Type="http://schemas.openxmlformats.org/officeDocument/2006/relationships/hyperlink" Target="https://b2beez.ru/images/detailed/170/orig_x1fg-dc.jpg" TargetMode="External"/><Relationship Id="rId_hyperlink_3655" Type="http://schemas.openxmlformats.org/officeDocument/2006/relationships/hyperlink" Target="https://b2beez.ru/images/detailed/170/6847205400.jpg" TargetMode="External"/><Relationship Id="rId_hyperlink_3656" Type="http://schemas.openxmlformats.org/officeDocument/2006/relationships/hyperlink" Target="https://b2beez.ru/images/detailed/174/orig_0w8l-6y.jpg" TargetMode="External"/><Relationship Id="rId_hyperlink_3657" Type="http://schemas.openxmlformats.org/officeDocument/2006/relationships/hyperlink" Target="https://b2beez.ru/images/detailed/177/orig_8q4e-ml.jpg" TargetMode="External"/><Relationship Id="rId_hyperlink_3658" Type="http://schemas.openxmlformats.org/officeDocument/2006/relationships/hyperlink" Target="https://b2beez.ru/images/detailed/182/6313100692.jpg" TargetMode="External"/><Relationship Id="rId_hyperlink_3659" Type="http://schemas.openxmlformats.org/officeDocument/2006/relationships/hyperlink" Target="https://b2beez.ru/images/detailed/182/6423081543.jpg" TargetMode="External"/><Relationship Id="rId_hyperlink_3660" Type="http://schemas.openxmlformats.org/officeDocument/2006/relationships/hyperlink" Target="https://b2beez.ru/images/detailed/183/orig_3vk4-kb.jpg" TargetMode="External"/><Relationship Id="rId_hyperlink_3661" Type="http://schemas.openxmlformats.org/officeDocument/2006/relationships/hyperlink" Target="https://b2beez.ru/images/detailed/182/orig_gxwk-e2.jpg" TargetMode="External"/><Relationship Id="rId_hyperlink_3662" Type="http://schemas.openxmlformats.org/officeDocument/2006/relationships/hyperlink" Target="https://b2beez.ru/images/detailed/181/6242638517.jpg" TargetMode="External"/><Relationship Id="rId_hyperlink_3663" Type="http://schemas.openxmlformats.org/officeDocument/2006/relationships/hyperlink" Target="https://b2beez.ru/images/detailed/156/6313100784.jpg" TargetMode="External"/><Relationship Id="rId_hyperlink_3664" Type="http://schemas.openxmlformats.org/officeDocument/2006/relationships/hyperlink" Target="https://b2beez.ru/images/detailed/156/6337325490.jpg" TargetMode="External"/><Relationship Id="rId_hyperlink_3665" Type="http://schemas.openxmlformats.org/officeDocument/2006/relationships/hyperlink" Target="https://b2beez.ru/images/detailed/157/6242638690.jpg" TargetMode="External"/><Relationship Id="rId_hyperlink_3666" Type="http://schemas.openxmlformats.org/officeDocument/2006/relationships/hyperlink" Target="https://b2beez.ru/images/detailed/157/6913387635.jpg" TargetMode="External"/><Relationship Id="rId_hyperlink_3667" Type="http://schemas.openxmlformats.org/officeDocument/2006/relationships/hyperlink" Target="https://b2beez.ru/images/detailed/157/6242638683.jpg" TargetMode="External"/><Relationship Id="rId_hyperlink_3668" Type="http://schemas.openxmlformats.org/officeDocument/2006/relationships/hyperlink" Target="https://b2beez.ru/images/detailed/157/6242638753.jpg" TargetMode="External"/><Relationship Id="rId_hyperlink_3669" Type="http://schemas.openxmlformats.org/officeDocument/2006/relationships/hyperlink" Target="https://b2beez.ru/images/detailed/157/orig_vxok-fv.jpg" TargetMode="External"/><Relationship Id="rId_hyperlink_3670" Type="http://schemas.openxmlformats.org/officeDocument/2006/relationships/hyperlink" Target="https://b2beez.ru/images/detailed/155/6242637637.jpg" TargetMode="External"/><Relationship Id="rId_hyperlink_3671" Type="http://schemas.openxmlformats.org/officeDocument/2006/relationships/hyperlink" Target="https://b2beez.ru/images/detailed/155/orig_xnj7-iw.jpg" TargetMode="External"/><Relationship Id="rId_hyperlink_3672" Type="http://schemas.openxmlformats.org/officeDocument/2006/relationships/hyperlink" Target="https://b2beez.ru/images/detailed/168/orig_n1qa-ag.jpg" TargetMode="External"/><Relationship Id="rId_hyperlink_3673" Type="http://schemas.openxmlformats.org/officeDocument/2006/relationships/hyperlink" Target="https://b2beez.ru/images/detailed/168/orig_5gkj-n3.jpg" TargetMode="External"/><Relationship Id="rId_hyperlink_3674" Type="http://schemas.openxmlformats.org/officeDocument/2006/relationships/hyperlink" Target="https://b2beez.ru/images/detailed/153/orig_yv0b-s4.jpg" TargetMode="External"/><Relationship Id="rId_hyperlink_3675" Type="http://schemas.openxmlformats.org/officeDocument/2006/relationships/hyperlink" Target="https://b2beez.ru/images/detailed/156/orig_q6yw-ol.jpg" TargetMode="External"/><Relationship Id="rId_hyperlink_3676" Type="http://schemas.openxmlformats.org/officeDocument/2006/relationships/hyperlink" Target="https://b2beez.ru/images/detailed/181/orig_ao8c-bn.jpg" TargetMode="External"/><Relationship Id="rId_hyperlink_3677" Type="http://schemas.openxmlformats.org/officeDocument/2006/relationships/hyperlink" Target="https://b2beez.ru/images/detailed/182/orig_cc9o-os.jpg" TargetMode="External"/><Relationship Id="rId_hyperlink_3678" Type="http://schemas.openxmlformats.org/officeDocument/2006/relationships/hyperlink" Target="https://b2beez.ru/images/detailed/178/orig_v7sf-pp.jpg" TargetMode="External"/><Relationship Id="rId_hyperlink_3679" Type="http://schemas.openxmlformats.org/officeDocument/2006/relationships/hyperlink" Target="https://b2beez.ru/images/detailed/166/orig_efkp-qm.jpg" TargetMode="External"/><Relationship Id="rId_hyperlink_3680" Type="http://schemas.openxmlformats.org/officeDocument/2006/relationships/hyperlink" Target="https://b2beez.ru/images/detailed/168/orig_90x5-sv.jpg" TargetMode="External"/><Relationship Id="rId_hyperlink_3681" Type="http://schemas.openxmlformats.org/officeDocument/2006/relationships/hyperlink" Target="https://b2beez.ru/images/detailed/178/6741715575.jpg" TargetMode="External"/><Relationship Id="rId_hyperlink_3682" Type="http://schemas.openxmlformats.org/officeDocument/2006/relationships/hyperlink" Target="https://b2beez.ru/images/detailed/159/orig_s2eb-en.jpg" TargetMode="External"/><Relationship Id="rId_hyperlink_3683" Type="http://schemas.openxmlformats.org/officeDocument/2006/relationships/hyperlink" Target="https://b2beez.ru/images/detailed/162/6828570723.jpg" TargetMode="External"/><Relationship Id="rId_hyperlink_3684" Type="http://schemas.openxmlformats.org/officeDocument/2006/relationships/hyperlink" Target="https://b2beez.ru/images/detailed/167/orig_mmwa-c1.jpg" TargetMode="External"/><Relationship Id="rId_hyperlink_3685" Type="http://schemas.openxmlformats.org/officeDocument/2006/relationships/hyperlink" Target="https://b2beez.ru/images/detailed/184/orig_yuqy-f4.jpg" TargetMode="External"/><Relationship Id="rId_hyperlink_3686" Type="http://schemas.openxmlformats.org/officeDocument/2006/relationships/hyperlink" Target="https://b2beez.ru/images/detailed/169/6741854755.jpg" TargetMode="External"/><Relationship Id="rId_hyperlink_3687" Type="http://schemas.openxmlformats.org/officeDocument/2006/relationships/hyperlink" Target="https://b2beez.ru/images/detailed/166/6916305718.jpg" TargetMode="External"/><Relationship Id="rId_hyperlink_3688" Type="http://schemas.openxmlformats.org/officeDocument/2006/relationships/hyperlink" Target="https://b2beez.ru/images/detailed/168/orig_9a3i-xz.jpg" TargetMode="External"/><Relationship Id="rId_hyperlink_3689" Type="http://schemas.openxmlformats.org/officeDocument/2006/relationships/hyperlink" Target="https://b2beez.ru/images/detailed/169/orig_m6bo-0p.jpg" TargetMode="External"/><Relationship Id="rId_hyperlink_3690" Type="http://schemas.openxmlformats.org/officeDocument/2006/relationships/hyperlink" Target="https://b2beez.ru/images/detailed/155/orig_cft3-ow.jpg" TargetMode="External"/><Relationship Id="rId_hyperlink_3691" Type="http://schemas.openxmlformats.org/officeDocument/2006/relationships/hyperlink" Target="https://b2beez.ru/images/detailed/47/orig_ov5m-jq.jpg" TargetMode="External"/><Relationship Id="rId_hyperlink_3692" Type="http://schemas.openxmlformats.org/officeDocument/2006/relationships/hyperlink" Target="https://b2beez.ru/images/detailed/176/7062959173.jpg" TargetMode="External"/><Relationship Id="rId_hyperlink_3693" Type="http://schemas.openxmlformats.org/officeDocument/2006/relationships/hyperlink" Target="https://b2beez.ru/images/detailed/175/7064685590.jpg" TargetMode="External"/><Relationship Id="rId_hyperlink_3694" Type="http://schemas.openxmlformats.org/officeDocument/2006/relationships/hyperlink" Target="https://b2beez.ru/images/detailed/156/6950482075.jpg" TargetMode="External"/><Relationship Id="rId_hyperlink_3695" Type="http://schemas.openxmlformats.org/officeDocument/2006/relationships/hyperlink" Target="https://b2beez.ru/images/detailed/185/7160338526.jpg" TargetMode="External"/><Relationship Id="rId_hyperlink_3696" Type="http://schemas.openxmlformats.org/officeDocument/2006/relationships/hyperlink" Target="https://b2beez.ru/images/detailed/48/6705957413.jpg" TargetMode="External"/><Relationship Id="rId_hyperlink_3697" Type="http://schemas.openxmlformats.org/officeDocument/2006/relationships/hyperlink" Target="https://b2beez.ru/images/detailed/181/6837505594.jpg" TargetMode="External"/><Relationship Id="rId_hyperlink_3698" Type="http://schemas.openxmlformats.org/officeDocument/2006/relationships/hyperlink" Target="https://b2beez.ru/images/detailed/155/orig_m6jt-w3.jpg" TargetMode="External"/><Relationship Id="rId_hyperlink_3699" Type="http://schemas.openxmlformats.org/officeDocument/2006/relationships/hyperlink" Target="https://b2beez.ru/images/detailed/188/6194684623.jpg" TargetMode="External"/><Relationship Id="rId_hyperlink_3700" Type="http://schemas.openxmlformats.org/officeDocument/2006/relationships/hyperlink" Target="https://b2beez.ru/images/detailed/205/1_7t5r-x2.jpg" TargetMode="External"/><Relationship Id="rId_hyperlink_3701" Type="http://schemas.openxmlformats.org/officeDocument/2006/relationships/hyperlink" Target="https://b2beez.ru/images/detailed/166/6224782073.jpg" TargetMode="External"/><Relationship Id="rId_hyperlink_3702" Type="http://schemas.openxmlformats.org/officeDocument/2006/relationships/hyperlink" Target="https://b2beez.ru/images/detailed/187/orig_9vuw-7d.jpg" TargetMode="External"/><Relationship Id="rId_hyperlink_3703" Type="http://schemas.openxmlformats.org/officeDocument/2006/relationships/hyperlink" Target="https://b2beez.ru/images/detailed/187/orig_wdnd-g2.jpg" TargetMode="External"/><Relationship Id="rId_hyperlink_3704" Type="http://schemas.openxmlformats.org/officeDocument/2006/relationships/hyperlink" Target="https://b2beez.ru/images/detailed/182/orig_4n6l-8k.jpg" TargetMode="External"/><Relationship Id="rId_hyperlink_3705" Type="http://schemas.openxmlformats.org/officeDocument/2006/relationships/hyperlink" Target="https://b2beez.ru/images/detailed/187/orig_7o84-99.jpg" TargetMode="External"/><Relationship Id="rId_hyperlink_3706" Type="http://schemas.openxmlformats.org/officeDocument/2006/relationships/hyperlink" Target="https://b2beez.ru/images/detailed/177/orig_siwc-o0.jpg" TargetMode="External"/><Relationship Id="rId_hyperlink_3707" Type="http://schemas.openxmlformats.org/officeDocument/2006/relationships/hyperlink" Target="https://b2beez.ru/images/detailed/165/7099750154.jpg" TargetMode="External"/><Relationship Id="rId_hyperlink_3708" Type="http://schemas.openxmlformats.org/officeDocument/2006/relationships/hyperlink" Target="https://b2beez.ru/images/detailed/182/orig_ayil-xe.jpg" TargetMode="External"/><Relationship Id="rId_hyperlink_3709" Type="http://schemas.openxmlformats.org/officeDocument/2006/relationships/hyperlink" Target="https://b2beez.ru/images/detailed/182/orig_xrdj-fh.jpg" TargetMode="External"/><Relationship Id="rId_hyperlink_3710" Type="http://schemas.openxmlformats.org/officeDocument/2006/relationships/hyperlink" Target="https://b2beez.ru/images/detailed/173/6653086880.jpg" TargetMode="External"/><Relationship Id="rId_hyperlink_3711" Type="http://schemas.openxmlformats.org/officeDocument/2006/relationships/hyperlink" Target="https://b2beez.ru/images/detailed/204/G-1905_oreu-qv.jpg" TargetMode="External"/><Relationship Id="rId_hyperlink_3712" Type="http://schemas.openxmlformats.org/officeDocument/2006/relationships/hyperlink" Target="https://b2beez.ru/images/detailed/175/6287756963.jpg" TargetMode="External"/><Relationship Id="rId_hyperlink_3713" Type="http://schemas.openxmlformats.org/officeDocument/2006/relationships/hyperlink" Target="https://b2beez.ru/images/detailed/173/6287756984.jpg" TargetMode="External"/><Relationship Id="rId_hyperlink_3714" Type="http://schemas.openxmlformats.org/officeDocument/2006/relationships/hyperlink" Target="https://b2beez.ru/images/detailed/174/6287756939.jpg" TargetMode="External"/><Relationship Id="rId_hyperlink_3715" Type="http://schemas.openxmlformats.org/officeDocument/2006/relationships/hyperlink" Target="https://b2beez.ru/images/detailed/173/6228734334.jpg" TargetMode="External"/><Relationship Id="rId_hyperlink_3716" Type="http://schemas.openxmlformats.org/officeDocument/2006/relationships/hyperlink" Target="https://b2beez.ru/images/detailed/173/6228734354.jpg" TargetMode="External"/><Relationship Id="rId_hyperlink_3717" Type="http://schemas.openxmlformats.org/officeDocument/2006/relationships/hyperlink" Target="https://b2beez.ru/images/detailed/48/6224628385.jpg" TargetMode="External"/><Relationship Id="rId_hyperlink_3718" Type="http://schemas.openxmlformats.org/officeDocument/2006/relationships/hyperlink" Target="https://b2beez.ru/images/detailed/48/orig_incj-6e.jpg" TargetMode="External"/><Relationship Id="rId_hyperlink_3719" Type="http://schemas.openxmlformats.org/officeDocument/2006/relationships/hyperlink" Target="https://b2beez.ru/images/detailed/175/6417447581.jpg" TargetMode="External"/><Relationship Id="rId_hyperlink_3720" Type="http://schemas.openxmlformats.org/officeDocument/2006/relationships/hyperlink" Target="https://b2beez.ru/images/detailed/203/1_u5na-p5.jpg" TargetMode="External"/><Relationship Id="rId_hyperlink_3721" Type="http://schemas.openxmlformats.org/officeDocument/2006/relationships/hyperlink" Target="https://b2beez.ru/images/detailed/155/orig_snkv-6x.jpg" TargetMode="External"/><Relationship Id="rId_hyperlink_3722" Type="http://schemas.openxmlformats.org/officeDocument/2006/relationships/hyperlink" Target="https://b2beez.ru/images/detailed/163/orig_loeo-wn.jpg" TargetMode="External"/><Relationship Id="rId_hyperlink_3723" Type="http://schemas.openxmlformats.org/officeDocument/2006/relationships/hyperlink" Target="https://b2beez.ru/images/detailed/156/orig_c49h-5i.jpg" TargetMode="External"/><Relationship Id="rId_hyperlink_3724" Type="http://schemas.openxmlformats.org/officeDocument/2006/relationships/hyperlink" Target="https://b2beez.ru/images/detailed/182/6242640938.jpg" TargetMode="External"/><Relationship Id="rId_hyperlink_3725" Type="http://schemas.openxmlformats.org/officeDocument/2006/relationships/hyperlink" Target="https://b2beez.ru/images/detailed/48/6265240820.jpg" TargetMode="External"/><Relationship Id="rId_hyperlink_3726" Type="http://schemas.openxmlformats.org/officeDocument/2006/relationships/hyperlink" Target="https://b2beez.ru/images/detailed/162/orig_tc2l-jo.jpg" TargetMode="External"/><Relationship Id="rId_hyperlink_3727" Type="http://schemas.openxmlformats.org/officeDocument/2006/relationships/hyperlink" Target="https://b2beez.ru/images/detailed/180/orig_tqz2-78.jpg" TargetMode="External"/><Relationship Id="rId_hyperlink_3728" Type="http://schemas.openxmlformats.org/officeDocument/2006/relationships/hyperlink" Target="https://b2beez.ru/images/detailed/181/6381742114.jpg" TargetMode="External"/><Relationship Id="rId_hyperlink_3729" Type="http://schemas.openxmlformats.org/officeDocument/2006/relationships/hyperlink" Target="https://b2beez.ru/images/detailed/187/orig_xwoc-j6.jpg" TargetMode="External"/><Relationship Id="rId_hyperlink_3730" Type="http://schemas.openxmlformats.org/officeDocument/2006/relationships/hyperlink" Target="https://b2beez.ru/images/detailed/161/orig_91oe-l2.jpg" TargetMode="External"/><Relationship Id="rId_hyperlink_3731" Type="http://schemas.openxmlformats.org/officeDocument/2006/relationships/hyperlink" Target="https://b2beez.ru/images/detailed/173/6850340263.jpg" TargetMode="External"/><Relationship Id="rId_hyperlink_3732" Type="http://schemas.openxmlformats.org/officeDocument/2006/relationships/hyperlink" Target="https://b2beez.ru/images/detailed/187/orig_r6vs-id.jpg" TargetMode="External"/><Relationship Id="rId_hyperlink_3733" Type="http://schemas.openxmlformats.org/officeDocument/2006/relationships/hyperlink" Target="https://b2beez.ru/images/detailed/187/orig_1icv-gg.jpg" TargetMode="External"/><Relationship Id="rId_hyperlink_3734" Type="http://schemas.openxmlformats.org/officeDocument/2006/relationships/hyperlink" Target="https://b2beez.ru/images/detailed/166/orig_mv67-f6.jpg" TargetMode="External"/><Relationship Id="rId_hyperlink_3735" Type="http://schemas.openxmlformats.org/officeDocument/2006/relationships/hyperlink" Target="https://b2beez.ru/images/detailed/154/orig_a59t-78.jpg" TargetMode="External"/><Relationship Id="rId_hyperlink_3736" Type="http://schemas.openxmlformats.org/officeDocument/2006/relationships/hyperlink" Target="https://b2beez.ru/images/detailed/203/1_r8zg-mc.jpg" TargetMode="External"/><Relationship Id="rId_hyperlink_3737" Type="http://schemas.openxmlformats.org/officeDocument/2006/relationships/hyperlink" Target="https://b2beez.ru/images/detailed/92/7174833212.jpg" TargetMode="External"/><Relationship Id="rId_hyperlink_3738" Type="http://schemas.openxmlformats.org/officeDocument/2006/relationships/hyperlink" Target="https://b2beez.ru/images/detailed/173/orig_hk8s-25.jpg" TargetMode="External"/><Relationship Id="rId_hyperlink_3739" Type="http://schemas.openxmlformats.org/officeDocument/2006/relationships/hyperlink" Target="https://b2beez.ru/images/detailed/204/1_flab-xd.jpg" TargetMode="External"/><Relationship Id="rId_hyperlink_3740" Type="http://schemas.openxmlformats.org/officeDocument/2006/relationships/hyperlink" Target="https://b2beez.ru/images/detailed/166/orig_shjw-7a.jpg" TargetMode="External"/><Relationship Id="rId_hyperlink_3741" Type="http://schemas.openxmlformats.org/officeDocument/2006/relationships/hyperlink" Target="https://b2beez.ru/images/detailed/167/orig_ljhv-6s.jpg" TargetMode="External"/><Relationship Id="rId_hyperlink_3742" Type="http://schemas.openxmlformats.org/officeDocument/2006/relationships/hyperlink" Target="https://b2beez.ru/images/detailed/174/6725250091.jpg" TargetMode="External"/><Relationship Id="rId_hyperlink_3743" Type="http://schemas.openxmlformats.org/officeDocument/2006/relationships/hyperlink" Target="https://b2beez.ru/images/detailed/158/orig_cgnu-br.jpg" TargetMode="External"/><Relationship Id="rId_hyperlink_3744" Type="http://schemas.openxmlformats.org/officeDocument/2006/relationships/hyperlink" Target="https://b2beez.ru/images/detailed/158/orig_qlj0-io.jpg" TargetMode="External"/><Relationship Id="rId_hyperlink_3745" Type="http://schemas.openxmlformats.org/officeDocument/2006/relationships/hyperlink" Target="https://b2beez.ru/images/detailed/160/6226324182.jpg" TargetMode="External"/><Relationship Id="rId_hyperlink_3746" Type="http://schemas.openxmlformats.org/officeDocument/2006/relationships/hyperlink" Target="https://b2beez.ru/images/detailed/160/orig_wvwc-k3.jpg" TargetMode="External"/><Relationship Id="rId_hyperlink_3747" Type="http://schemas.openxmlformats.org/officeDocument/2006/relationships/hyperlink" Target="https://b2beez.ru/images/detailed/160/6226324112.jpg" TargetMode="External"/><Relationship Id="rId_hyperlink_3748" Type="http://schemas.openxmlformats.org/officeDocument/2006/relationships/hyperlink" Target="https://b2beez.ru/images/detailed/160/orig_yt81-bb.jpg" TargetMode="External"/><Relationship Id="rId_hyperlink_3749" Type="http://schemas.openxmlformats.org/officeDocument/2006/relationships/hyperlink" Target="https://b2beez.ru/images/detailed/160/orig_0p3c-p5.jpg" TargetMode="External"/><Relationship Id="rId_hyperlink_3750" Type="http://schemas.openxmlformats.org/officeDocument/2006/relationships/hyperlink" Target="https://b2beez.ru/images/detailed/48/orig_ks23-kj.jpg" TargetMode="External"/><Relationship Id="rId_hyperlink_3751" Type="http://schemas.openxmlformats.org/officeDocument/2006/relationships/hyperlink" Target="https://b2beez.ru/images/detailed/48/6705957726.jpg" TargetMode="External"/><Relationship Id="rId_hyperlink_3752" Type="http://schemas.openxmlformats.org/officeDocument/2006/relationships/hyperlink" Target="https://b2beez.ru/images/detailed/185/7096480058.jpg" TargetMode="External"/><Relationship Id="rId_hyperlink_3753" Type="http://schemas.openxmlformats.org/officeDocument/2006/relationships/hyperlink" Target="https://b2beez.ru/images/detailed/166/orig_3auf-lg.jpg" TargetMode="External"/><Relationship Id="rId_hyperlink_3754" Type="http://schemas.openxmlformats.org/officeDocument/2006/relationships/hyperlink" Target="https://b2beez.ru/images/detailed/160/orig_4lnb-fc.jpg" TargetMode="External"/><Relationship Id="rId_hyperlink_3755" Type="http://schemas.openxmlformats.org/officeDocument/2006/relationships/hyperlink" Target="https://b2beez.ru/images/detailed/160/6873356252.jpg" TargetMode="External"/><Relationship Id="rId_hyperlink_3756" Type="http://schemas.openxmlformats.org/officeDocument/2006/relationships/hyperlink" Target="https://b2beez.ru/images/detailed/160/6872930697.jpg" TargetMode="External"/><Relationship Id="rId_hyperlink_3757" Type="http://schemas.openxmlformats.org/officeDocument/2006/relationships/hyperlink" Target="https://b2beez.ru/images/detailed/160/6872944464.jpg" TargetMode="External"/><Relationship Id="rId_hyperlink_3758" Type="http://schemas.openxmlformats.org/officeDocument/2006/relationships/hyperlink" Target="https://b2beez.ru/images/detailed/160/6872948134.jpg" TargetMode="External"/><Relationship Id="rId_hyperlink_3759" Type="http://schemas.openxmlformats.org/officeDocument/2006/relationships/hyperlink" Target="https://b2beez.ru/images/detailed/160/6872942100.jpg" TargetMode="External"/><Relationship Id="rId_hyperlink_3760" Type="http://schemas.openxmlformats.org/officeDocument/2006/relationships/hyperlink" Target="https://b2beez.ru/images/detailed/0/" TargetMode="External"/><Relationship Id="rId_hyperlink_3761" Type="http://schemas.openxmlformats.org/officeDocument/2006/relationships/hyperlink" Target="https://b2beez.ru/images/detailed/167/orig_ys5n-lg.jpg" TargetMode="External"/><Relationship Id="rId_hyperlink_3762" Type="http://schemas.openxmlformats.org/officeDocument/2006/relationships/hyperlink" Target="https://b2beez.ru/images/detailed/175/7064717315.jpg" TargetMode="External"/><Relationship Id="rId_hyperlink_3763" Type="http://schemas.openxmlformats.org/officeDocument/2006/relationships/hyperlink" Target="https://b2beez.ru/images/detailed/153/orig_cf1h-lq.jpg" TargetMode="External"/><Relationship Id="rId_hyperlink_3764" Type="http://schemas.openxmlformats.org/officeDocument/2006/relationships/hyperlink" Target="https://b2beez.ru/images/detailed/179/orig_u1kx-ph.jpg" TargetMode="External"/><Relationship Id="rId_hyperlink_3765" Type="http://schemas.openxmlformats.org/officeDocument/2006/relationships/hyperlink" Target="https://b2beez.ru/images/detailed/177/6494808545.jpg" TargetMode="External"/><Relationship Id="rId_hyperlink_3766" Type="http://schemas.openxmlformats.org/officeDocument/2006/relationships/hyperlink" Target="https://b2beez.ru/images/detailed/183/6717467845.jpg" TargetMode="External"/><Relationship Id="rId_hyperlink_3767" Type="http://schemas.openxmlformats.org/officeDocument/2006/relationships/hyperlink" Target="https://b2beez.ru/images/detailed/157/orig_wu6h-qd.jpg" TargetMode="External"/><Relationship Id="rId_hyperlink_3768" Type="http://schemas.openxmlformats.org/officeDocument/2006/relationships/hyperlink" Target="https://b2beez.ru/images/detailed/187/orig_wwby-ve.jpg" TargetMode="External"/><Relationship Id="rId_hyperlink_3769" Type="http://schemas.openxmlformats.org/officeDocument/2006/relationships/hyperlink" Target="https://b2beez.ru/images/detailed/187/orig_2he1-3s.jpg" TargetMode="External"/><Relationship Id="rId_hyperlink_3770" Type="http://schemas.openxmlformats.org/officeDocument/2006/relationships/hyperlink" Target="https://b2beez.ru/images/detailed/204/V-2104-2.jpg" TargetMode="External"/><Relationship Id="rId_hyperlink_3771" Type="http://schemas.openxmlformats.org/officeDocument/2006/relationships/hyperlink" Target="https://b2beez.ru/images/detailed/204/V-2110-2_bqz2-7t.jpg" TargetMode="External"/><Relationship Id="rId_hyperlink_3772" Type="http://schemas.openxmlformats.org/officeDocument/2006/relationships/hyperlink" Target="https://b2beez.ru/images/detailed/173/6923372345.jpg" TargetMode="External"/><Relationship Id="rId_hyperlink_3773" Type="http://schemas.openxmlformats.org/officeDocument/2006/relationships/hyperlink" Target="https://b2beez.ru/images/detailed/177/orig_rv6f-1f.jpg" TargetMode="External"/><Relationship Id="rId_hyperlink_3774" Type="http://schemas.openxmlformats.org/officeDocument/2006/relationships/hyperlink" Target="https://b2beez.ru/images/detailed/173/orig_gqho-nw.jpg" TargetMode="External"/><Relationship Id="rId_hyperlink_3775" Type="http://schemas.openxmlformats.org/officeDocument/2006/relationships/hyperlink" Target="https://b2beez.ru/images/detailed/153/orig_kckz-pd.jpg" TargetMode="External"/><Relationship Id="rId_hyperlink_3776" Type="http://schemas.openxmlformats.org/officeDocument/2006/relationships/hyperlink" Target="https://b2beez.ru/images/detailed/48/orig_7wdr-u1.jpg" TargetMode="External"/><Relationship Id="rId_hyperlink_3777" Type="http://schemas.openxmlformats.org/officeDocument/2006/relationships/hyperlink" Target="https://b2beez.ru/images/detailed/48/orig_43qk-of.jpg" TargetMode="External"/><Relationship Id="rId_hyperlink_3778" Type="http://schemas.openxmlformats.org/officeDocument/2006/relationships/hyperlink" Target="https://b2beez.ru/images/detailed/48/orig_0nd3-4v.jpg" TargetMode="External"/><Relationship Id="rId_hyperlink_3779" Type="http://schemas.openxmlformats.org/officeDocument/2006/relationships/hyperlink" Target="https://b2beez.ru/images/detailed/162/orig_q4dd-fg.jpg" TargetMode="External"/><Relationship Id="rId_hyperlink_3780" Type="http://schemas.openxmlformats.org/officeDocument/2006/relationships/hyperlink" Target="https://b2beez.ru/images/detailed/182/orig_dsnz-b5.jpg" TargetMode="External"/><Relationship Id="rId_hyperlink_3781" Type="http://schemas.openxmlformats.org/officeDocument/2006/relationships/hyperlink" Target="https://b2beez.ru/images/detailed/177/6545700542.jpg" TargetMode="External"/><Relationship Id="rId_hyperlink_3782" Type="http://schemas.openxmlformats.org/officeDocument/2006/relationships/hyperlink" Target="https://b2beez.ru/images/detailed/169/orig_xarg-jm.jpg" TargetMode="External"/><Relationship Id="rId_hyperlink_3783" Type="http://schemas.openxmlformats.org/officeDocument/2006/relationships/hyperlink" Target="https://b2beez.ru/images/detailed/153/orig_kzsd-j7.jpg" TargetMode="External"/><Relationship Id="rId_hyperlink_3784" Type="http://schemas.openxmlformats.org/officeDocument/2006/relationships/hyperlink" Target="https://b2beez.ru/images/detailed/153/orig_qhzb-tv.jpg" TargetMode="External"/><Relationship Id="rId_hyperlink_3785" Type="http://schemas.openxmlformats.org/officeDocument/2006/relationships/hyperlink" Target="https://b2beez.ru/images/detailed/204/A-253-2_4kcu-13.jpg" TargetMode="External"/><Relationship Id="rId_hyperlink_3786" Type="http://schemas.openxmlformats.org/officeDocument/2006/relationships/hyperlink" Target="https://b2beez.ru/images/detailed/153/7160360477.jpg" TargetMode="External"/><Relationship Id="rId_hyperlink_3787" Type="http://schemas.openxmlformats.org/officeDocument/2006/relationships/hyperlink" Target="https://b2beez.ru/images/detailed/153/orig_rm2n-nk.jpg" TargetMode="External"/><Relationship Id="rId_hyperlink_3788" Type="http://schemas.openxmlformats.org/officeDocument/2006/relationships/hyperlink" Target="https://b2beez.ru/images/detailed/153/orig_qned-2p.jpg" TargetMode="External"/><Relationship Id="rId_hyperlink_3789" Type="http://schemas.openxmlformats.org/officeDocument/2006/relationships/hyperlink" Target="https://b2beez.ru/images/detailed/153/orig_t4x2-ej.jpg" TargetMode="External"/><Relationship Id="rId_hyperlink_3790" Type="http://schemas.openxmlformats.org/officeDocument/2006/relationships/hyperlink" Target="https://b2beez.ru/images/detailed/153/orig_sizn-60.jpg" TargetMode="External"/><Relationship Id="rId_hyperlink_3791" Type="http://schemas.openxmlformats.org/officeDocument/2006/relationships/hyperlink" Target="https://b2beez.ru/images/detailed/154/7062963614.jpg" TargetMode="External"/><Relationship Id="rId_hyperlink_3792" Type="http://schemas.openxmlformats.org/officeDocument/2006/relationships/hyperlink" Target="https://b2beez.ru/images/detailed/154/6741832915.jpg" TargetMode="External"/><Relationship Id="rId_hyperlink_3793" Type="http://schemas.openxmlformats.org/officeDocument/2006/relationships/hyperlink" Target="https://b2beez.ru/images/detailed/162/6741816210.jpg" TargetMode="External"/><Relationship Id="rId_hyperlink_3794" Type="http://schemas.openxmlformats.org/officeDocument/2006/relationships/hyperlink" Target="https://b2beez.ru/images/detailed/187/6847198295.jpg" TargetMode="External"/><Relationship Id="rId_hyperlink_3795" Type="http://schemas.openxmlformats.org/officeDocument/2006/relationships/hyperlink" Target="https://b2beez.ru/images/detailed/186/orig_q2l4-wa.jpg" TargetMode="External"/><Relationship Id="rId_hyperlink_3796" Type="http://schemas.openxmlformats.org/officeDocument/2006/relationships/hyperlink" Target="https://b2beez.ru/images/detailed/91/7180960301.jpg" TargetMode="External"/><Relationship Id="rId_hyperlink_3797" Type="http://schemas.openxmlformats.org/officeDocument/2006/relationships/hyperlink" Target="https://b2beez.ru/images/detailed/186/7180913194.jpg" TargetMode="External"/><Relationship Id="rId_hyperlink_3798" Type="http://schemas.openxmlformats.org/officeDocument/2006/relationships/hyperlink" Target="https://b2beez.ru/images/detailed/186/7160344678.jpg" TargetMode="External"/><Relationship Id="rId_hyperlink_3799" Type="http://schemas.openxmlformats.org/officeDocument/2006/relationships/hyperlink" Target="https://b2beez.ru/images/detailed/187/orig_4ngb-8t.jpg" TargetMode="External"/><Relationship Id="rId_hyperlink_3800" Type="http://schemas.openxmlformats.org/officeDocument/2006/relationships/hyperlink" Target="https://b2beez.ru/images/detailed/204/1_9r58-gb.jpg" TargetMode="External"/><Relationship Id="rId_hyperlink_3801" Type="http://schemas.openxmlformats.org/officeDocument/2006/relationships/hyperlink" Target="https://b2beez.ru/images/detailed/186/orig_e2ec-ur.jpg" TargetMode="External"/><Relationship Id="rId_hyperlink_3802" Type="http://schemas.openxmlformats.org/officeDocument/2006/relationships/hyperlink" Target="https://b2beez.ru/images/detailed/186/orig_jqxa-9p.jpg" TargetMode="External"/><Relationship Id="rId_hyperlink_3803" Type="http://schemas.openxmlformats.org/officeDocument/2006/relationships/hyperlink" Target="https://b2beez.ru/images/detailed/179/orig_c32n-wp.jpg" TargetMode="External"/><Relationship Id="rId_hyperlink_3804" Type="http://schemas.openxmlformats.org/officeDocument/2006/relationships/hyperlink" Target="https://b2beez.ru/images/detailed/182/orig_bk4i-t6.jpg" TargetMode="External"/><Relationship Id="rId_hyperlink_3805" Type="http://schemas.openxmlformats.org/officeDocument/2006/relationships/hyperlink" Target="https://b2beez.ru/images/detailed/179/6731489931.jpg" TargetMode="External"/><Relationship Id="rId_hyperlink_3806" Type="http://schemas.openxmlformats.org/officeDocument/2006/relationships/hyperlink" Target="https://b2beez.ru/images/detailed/161/orig_j1g7-1d.jpg" TargetMode="External"/><Relationship Id="rId_hyperlink_3807" Type="http://schemas.openxmlformats.org/officeDocument/2006/relationships/hyperlink" Target="https://b2beez.ru/images/detailed/161/6265192419.jpg" TargetMode="External"/><Relationship Id="rId_hyperlink_3808" Type="http://schemas.openxmlformats.org/officeDocument/2006/relationships/hyperlink" Target="https://b2beez.ru/images/detailed/161/orig_eaiu-co.jpg" TargetMode="External"/><Relationship Id="rId_hyperlink_3809" Type="http://schemas.openxmlformats.org/officeDocument/2006/relationships/hyperlink" Target="https://b2beez.ru/images/detailed/162/6194482781.jpg" TargetMode="External"/><Relationship Id="rId_hyperlink_3810" Type="http://schemas.openxmlformats.org/officeDocument/2006/relationships/hyperlink" Target="https://b2beez.ru/images/detailed/162/orig_uywk-bf.jpg" TargetMode="External"/><Relationship Id="rId_hyperlink_3811" Type="http://schemas.openxmlformats.org/officeDocument/2006/relationships/hyperlink" Target="https://b2beez.ru/images/detailed/162/orig_o5xi-id.jpg" TargetMode="External"/><Relationship Id="rId_hyperlink_3812" Type="http://schemas.openxmlformats.org/officeDocument/2006/relationships/hyperlink" Target="https://b2beez.ru/images/detailed/153/orig_vds5-4e.jpg" TargetMode="External"/><Relationship Id="rId_hyperlink_3813" Type="http://schemas.openxmlformats.org/officeDocument/2006/relationships/hyperlink" Target="https://b2beez.ru/images/detailed/153/orig_9hn3-cr.jpg" TargetMode="External"/><Relationship Id="rId_hyperlink_3814" Type="http://schemas.openxmlformats.org/officeDocument/2006/relationships/hyperlink" Target="https://b2beez.ru/images/detailed/159/orig_nzrf-i2.jpg" TargetMode="External"/><Relationship Id="rId_hyperlink_3815" Type="http://schemas.openxmlformats.org/officeDocument/2006/relationships/hyperlink" Target="https://b2beez.ru/images/detailed/169/orig_ylgu-de.jpg" TargetMode="External"/><Relationship Id="rId_hyperlink_3816" Type="http://schemas.openxmlformats.org/officeDocument/2006/relationships/hyperlink" Target="https://b2beez.ru/images/detailed/168/orig_rc15-nf.jpg" TargetMode="External"/><Relationship Id="rId_hyperlink_3817" Type="http://schemas.openxmlformats.org/officeDocument/2006/relationships/hyperlink" Target="https://b2beez.ru/images/detailed/169/6545700037.jpg" TargetMode="External"/><Relationship Id="rId_hyperlink_3818" Type="http://schemas.openxmlformats.org/officeDocument/2006/relationships/hyperlink" Target="https://b2beez.ru/images/detailed/168/6545700936.jpg" TargetMode="External"/><Relationship Id="rId_hyperlink_3819" Type="http://schemas.openxmlformats.org/officeDocument/2006/relationships/hyperlink" Target="https://b2beez.ru/images/detailed/168/orig_1jgb-se.jpg" TargetMode="External"/><Relationship Id="rId_hyperlink_3820" Type="http://schemas.openxmlformats.org/officeDocument/2006/relationships/hyperlink" Target="https://b2beez.ru/images/detailed/161/6741841537.jpg" TargetMode="External"/><Relationship Id="rId_hyperlink_3821" Type="http://schemas.openxmlformats.org/officeDocument/2006/relationships/hyperlink" Target="https://b2beez.ru/images/detailed/188/orig_kkon-xh.jpg" TargetMode="External"/><Relationship Id="rId_hyperlink_3822" Type="http://schemas.openxmlformats.org/officeDocument/2006/relationships/hyperlink" Target="https://b2beez.ru/images/detailed/169/orig_vsyp-6k.jpg" TargetMode="External"/><Relationship Id="rId_hyperlink_3823" Type="http://schemas.openxmlformats.org/officeDocument/2006/relationships/hyperlink" Target="https://b2beez.ru/images/detailed/168/orig.png" TargetMode="External"/><Relationship Id="rId_hyperlink_3824" Type="http://schemas.openxmlformats.org/officeDocument/2006/relationships/hyperlink" Target="https://b2beez.ru/images/detailed/169/orig_f6jj-5w.jpg" TargetMode="External"/><Relationship Id="rId_hyperlink_3825" Type="http://schemas.openxmlformats.org/officeDocument/2006/relationships/hyperlink" Target="https://b2beez.ru/images/detailed/169/orig_noyn-4j.jpg" TargetMode="External"/><Relationship Id="rId_hyperlink_3826" Type="http://schemas.openxmlformats.org/officeDocument/2006/relationships/hyperlink" Target="https://b2beez.ru/images/detailed/166/orig_9lsm-ka.jpg" TargetMode="External"/><Relationship Id="rId_hyperlink_3827" Type="http://schemas.openxmlformats.org/officeDocument/2006/relationships/hyperlink" Target="https://b2beez.ru/images/detailed/167/orig_dqr0-z3.jpg" TargetMode="External"/><Relationship Id="rId_hyperlink_3828" Type="http://schemas.openxmlformats.org/officeDocument/2006/relationships/hyperlink" Target="https://b2beez.ru/images/detailed/166/orig_mcg9-j1.jpg" TargetMode="External"/><Relationship Id="rId_hyperlink_3829" Type="http://schemas.openxmlformats.org/officeDocument/2006/relationships/hyperlink" Target="https://b2beez.ru/images/detailed/168/orig_8yz9-4m.jpg" TargetMode="External"/><Relationship Id="rId_hyperlink_3830" Type="http://schemas.openxmlformats.org/officeDocument/2006/relationships/hyperlink" Target="https://b2beez.ru/images/detailed/169/orig_8q82-2d.jpg" TargetMode="External"/><Relationship Id="rId_hyperlink_3831" Type="http://schemas.openxmlformats.org/officeDocument/2006/relationships/hyperlink" Target="https://b2beez.ru/images/detailed/169/orig_ugoy-mn.jpg" TargetMode="External"/><Relationship Id="rId_hyperlink_3832" Type="http://schemas.openxmlformats.org/officeDocument/2006/relationships/hyperlink" Target="https://b2beez.ru/images/detailed/169/orig_tq21-vv.jpg" TargetMode="External"/><Relationship Id="rId_hyperlink_3833" Type="http://schemas.openxmlformats.org/officeDocument/2006/relationships/hyperlink" Target="https://b2beez.ru/images/detailed/167/6224627748_em44-zc.jpg" TargetMode="External"/><Relationship Id="rId_hyperlink_3834" Type="http://schemas.openxmlformats.org/officeDocument/2006/relationships/hyperlink" Target="https://b2beez.ru/images/detailed/168/6224627810_eatw-e2.jpg" TargetMode="External"/><Relationship Id="rId_hyperlink_3835" Type="http://schemas.openxmlformats.org/officeDocument/2006/relationships/hyperlink" Target="https://b2beez.ru/images/detailed/167/6224627696_jrf5-fd.jpg" TargetMode="External"/><Relationship Id="rId_hyperlink_3836" Type="http://schemas.openxmlformats.org/officeDocument/2006/relationships/hyperlink" Target="https://b2beez.ru/images/detailed/166/6224627748_s6na-un.jpg" TargetMode="External"/><Relationship Id="rId_hyperlink_3837" Type="http://schemas.openxmlformats.org/officeDocument/2006/relationships/hyperlink" Target="https://b2beez.ru/images/detailed/166/orig_330e-ey.jpg" TargetMode="External"/><Relationship Id="rId_hyperlink_3838" Type="http://schemas.openxmlformats.org/officeDocument/2006/relationships/hyperlink" Target="https://b2beez.ru/images/detailed/169/orig_i532-rq.jpg" TargetMode="External"/><Relationship Id="rId_hyperlink_3839" Type="http://schemas.openxmlformats.org/officeDocument/2006/relationships/hyperlink" Target="https://b2beez.ru/images/detailed/169/6830350605.jpg" TargetMode="External"/><Relationship Id="rId_hyperlink_3840" Type="http://schemas.openxmlformats.org/officeDocument/2006/relationships/hyperlink" Target="https://b2beez.ru/images/detailed/172/orig_tw0x-2z.jpg" TargetMode="External"/><Relationship Id="rId_hyperlink_3841" Type="http://schemas.openxmlformats.org/officeDocument/2006/relationships/hyperlink" Target="https://b2beez.ru/images/detailed/169/orig_b7p5-00.jpg" TargetMode="External"/><Relationship Id="rId_hyperlink_3842" Type="http://schemas.openxmlformats.org/officeDocument/2006/relationships/hyperlink" Target="https://b2beez.ru/images/detailed/166/6241082428.jpg" TargetMode="External"/><Relationship Id="rId_hyperlink_3843" Type="http://schemas.openxmlformats.org/officeDocument/2006/relationships/hyperlink" Target="https://b2beez.ru/images/detailed/177/6799495461.jpg" TargetMode="External"/><Relationship Id="rId_hyperlink_3844" Type="http://schemas.openxmlformats.org/officeDocument/2006/relationships/hyperlink" Target="https://b2beez.ru/images/detailed/166/orig_2h1i-k0.jpg" TargetMode="External"/><Relationship Id="rId_hyperlink_3845" Type="http://schemas.openxmlformats.org/officeDocument/2006/relationships/hyperlink" Target="https://b2beez.ru/images/detailed/162/orig_nqq6-e5.jpg" TargetMode="External"/><Relationship Id="rId_hyperlink_3846" Type="http://schemas.openxmlformats.org/officeDocument/2006/relationships/hyperlink" Target="https://b2beez.ru/images/detailed/161/orig_lsoe-ak.jpg" TargetMode="External"/><Relationship Id="rId_hyperlink_3847" Type="http://schemas.openxmlformats.org/officeDocument/2006/relationships/hyperlink" Target="https://b2beez.ru/images/detailed/171/6241082501.jpg" TargetMode="External"/><Relationship Id="rId_hyperlink_3848" Type="http://schemas.openxmlformats.org/officeDocument/2006/relationships/hyperlink" Target="https://b2beez.ru/images/detailed/171/6241082536.jpg" TargetMode="External"/><Relationship Id="rId_hyperlink_3849" Type="http://schemas.openxmlformats.org/officeDocument/2006/relationships/hyperlink" Target="https://b2beez.ru/images/detailed/173/orig_b8nd-i8.jpg" TargetMode="External"/><Relationship Id="rId_hyperlink_3850" Type="http://schemas.openxmlformats.org/officeDocument/2006/relationships/hyperlink" Target="https://b2beez.ru/images/detailed/173/6224689294_6mpm-47.jpg" TargetMode="External"/><Relationship Id="rId_hyperlink_3851" Type="http://schemas.openxmlformats.org/officeDocument/2006/relationships/hyperlink" Target="https://b2beez.ru/images/detailed/175/orig_zfv0-kx.jpg" TargetMode="External"/><Relationship Id="rId_hyperlink_3852" Type="http://schemas.openxmlformats.org/officeDocument/2006/relationships/hyperlink" Target="https://b2beez.ru/images/detailed/174/6770311978.jpg" TargetMode="External"/><Relationship Id="rId_hyperlink_3853" Type="http://schemas.openxmlformats.org/officeDocument/2006/relationships/hyperlink" Target="https://b2beez.ru/images/detailed/175/6224689748.jpg" TargetMode="External"/><Relationship Id="rId_hyperlink_3854" Type="http://schemas.openxmlformats.org/officeDocument/2006/relationships/hyperlink" Target="https://b2beez.ru/images/detailed/47/orig_fhgu-hy.jpg" TargetMode="External"/><Relationship Id="rId_hyperlink_3855" Type="http://schemas.openxmlformats.org/officeDocument/2006/relationships/hyperlink" Target="https://b2beez.ru/images/detailed/175/orig_h1se-i3.jpg" TargetMode="External"/><Relationship Id="rId_hyperlink_3856" Type="http://schemas.openxmlformats.org/officeDocument/2006/relationships/hyperlink" Target="https://b2beez.ru/images/detailed/175/orig_8k1s-id.jpg" TargetMode="External"/><Relationship Id="rId_hyperlink_3857" Type="http://schemas.openxmlformats.org/officeDocument/2006/relationships/hyperlink" Target="https://b2beez.ru/images/detailed/175/6224689628.jpg" TargetMode="External"/><Relationship Id="rId_hyperlink_3858" Type="http://schemas.openxmlformats.org/officeDocument/2006/relationships/hyperlink" Target="https://b2beez.ru/images/detailed/172/orig_pgmt-gr.jpg" TargetMode="External"/><Relationship Id="rId_hyperlink_3859" Type="http://schemas.openxmlformats.org/officeDocument/2006/relationships/hyperlink" Target="https://b2beez.ru/images/detailed/174/7064716603.jpg" TargetMode="External"/><Relationship Id="rId_hyperlink_3860" Type="http://schemas.openxmlformats.org/officeDocument/2006/relationships/hyperlink" Target="https://b2beez.ru/images/detailed/156/orig_c9qu-wt.jpg" TargetMode="External"/><Relationship Id="rId_hyperlink_3861" Type="http://schemas.openxmlformats.org/officeDocument/2006/relationships/hyperlink" Target="https://b2beez.ru/images/detailed/155/orig_y2ku-sz.jpg" TargetMode="External"/><Relationship Id="rId_hyperlink_3862" Type="http://schemas.openxmlformats.org/officeDocument/2006/relationships/hyperlink" Target="https://b2beez.ru/images/detailed/155/orig_asyd-zf.jpg" TargetMode="External"/><Relationship Id="rId_hyperlink_3863" Type="http://schemas.openxmlformats.org/officeDocument/2006/relationships/hyperlink" Target="https://b2beez.ru/images/detailed/155/orig_8cnq-6x.jpg" TargetMode="External"/><Relationship Id="rId_hyperlink_3864" Type="http://schemas.openxmlformats.org/officeDocument/2006/relationships/hyperlink" Target="https://b2beez.ru/images/detailed/155/orig_sqdr-oh.jpg" TargetMode="External"/><Relationship Id="rId_hyperlink_3865" Type="http://schemas.openxmlformats.org/officeDocument/2006/relationships/hyperlink" Target="https://b2beez.ru/images/detailed/155/orig_gwb5-0l.jpg" TargetMode="External"/><Relationship Id="rId_hyperlink_3866" Type="http://schemas.openxmlformats.org/officeDocument/2006/relationships/hyperlink" Target="https://b2beez.ru/images/detailed/154/6713266036.jpg" TargetMode="External"/><Relationship Id="rId_hyperlink_3867" Type="http://schemas.openxmlformats.org/officeDocument/2006/relationships/hyperlink" Target="https://b2beez.ru/images/detailed/156/orig_do0e-j0.jpg" TargetMode="External"/><Relationship Id="rId_hyperlink_3868" Type="http://schemas.openxmlformats.org/officeDocument/2006/relationships/hyperlink" Target="https://b2beez.ru/images/detailed/156/orig_7hcs-zk.jpg" TargetMode="External"/><Relationship Id="rId_hyperlink_3869" Type="http://schemas.openxmlformats.org/officeDocument/2006/relationships/hyperlink" Target="https://b2beez.ru/images/detailed/155/orig_lurc-3y.jpg" TargetMode="External"/><Relationship Id="rId_hyperlink_3870" Type="http://schemas.openxmlformats.org/officeDocument/2006/relationships/hyperlink" Target="https://b2beez.ru/images/detailed/204/C-2693-8_mlbk-bo.jpg" TargetMode="External"/><Relationship Id="rId_hyperlink_3871" Type="http://schemas.openxmlformats.org/officeDocument/2006/relationships/hyperlink" Target="https://b2beez.ru/images/detailed/156/7070113670.jpg" TargetMode="External"/><Relationship Id="rId_hyperlink_3872" Type="http://schemas.openxmlformats.org/officeDocument/2006/relationships/hyperlink" Target="https://b2beez.ru/images/detailed/155/orig_osz8-i0.jpg" TargetMode="External"/><Relationship Id="rId_hyperlink_3873" Type="http://schemas.openxmlformats.org/officeDocument/2006/relationships/hyperlink" Target="https://b2beez.ru/images/detailed/156/orig_wlpx-55.jpg" TargetMode="External"/><Relationship Id="rId_hyperlink_3874" Type="http://schemas.openxmlformats.org/officeDocument/2006/relationships/hyperlink" Target="https://b2beez.ru/images/detailed/162/orig_d1nr-bh.jpg" TargetMode="External"/><Relationship Id="rId_hyperlink_3875" Type="http://schemas.openxmlformats.org/officeDocument/2006/relationships/hyperlink" Target="https://b2beez.ru/images/detailed/162/orig_6jcn-ap.jpg" TargetMode="External"/><Relationship Id="rId_hyperlink_3876" Type="http://schemas.openxmlformats.org/officeDocument/2006/relationships/hyperlink" Target="https://b2beez.ru/images/detailed/48/6224782001_6409-qs.jpg" TargetMode="External"/><Relationship Id="rId_hyperlink_3877" Type="http://schemas.openxmlformats.org/officeDocument/2006/relationships/hyperlink" Target="https://b2beez.ru/images/detailed/174/6224781984.jpg" TargetMode="External"/><Relationship Id="rId_hyperlink_3878" Type="http://schemas.openxmlformats.org/officeDocument/2006/relationships/hyperlink" Target="https://b2beez.ru/images/detailed/174/orig_m26t-q7.jpg" TargetMode="External"/><Relationship Id="rId_hyperlink_3879" Type="http://schemas.openxmlformats.org/officeDocument/2006/relationships/hyperlink" Target="https://b2beez.ru/images/detailed/173/6725202918.jpg" TargetMode="External"/><Relationship Id="rId_hyperlink_3880" Type="http://schemas.openxmlformats.org/officeDocument/2006/relationships/hyperlink" Target="https://b2beez.ru/images/detailed/175/6287756985.jpg" TargetMode="External"/><Relationship Id="rId_hyperlink_3881" Type="http://schemas.openxmlformats.org/officeDocument/2006/relationships/hyperlink" Target="https://b2beez.ru/images/detailed/167/orig_6zfc-4j.jpg" TargetMode="External"/><Relationship Id="rId_hyperlink_3882" Type="http://schemas.openxmlformats.org/officeDocument/2006/relationships/hyperlink" Target="https://b2beez.ru/images/detailed/176/6545699876.jpg" TargetMode="External"/><Relationship Id="rId_hyperlink_3883" Type="http://schemas.openxmlformats.org/officeDocument/2006/relationships/hyperlink" Target="https://b2beez.ru/images/detailed/176/orig_4gf0-34.jpg" TargetMode="External"/><Relationship Id="rId_hyperlink_3884" Type="http://schemas.openxmlformats.org/officeDocument/2006/relationships/hyperlink" Target="https://b2beez.ru/images/detailed/176/7186659665.jpg" TargetMode="External"/><Relationship Id="rId_hyperlink_3885" Type="http://schemas.openxmlformats.org/officeDocument/2006/relationships/hyperlink" Target="https://b2beez.ru/images/detailed/160/orig_qqzy-ar.jpg" TargetMode="External"/><Relationship Id="rId_hyperlink_3886" Type="http://schemas.openxmlformats.org/officeDocument/2006/relationships/hyperlink" Target="https://b2beez.ru/images/detailed/177/orig_0c4y-bb.jpg" TargetMode="External"/><Relationship Id="rId_hyperlink_3887" Type="http://schemas.openxmlformats.org/officeDocument/2006/relationships/hyperlink" Target="https://b2beez.ru/images/detailed/177/orig_4ejs-1d.jpg" TargetMode="External"/><Relationship Id="rId_hyperlink_3888" Type="http://schemas.openxmlformats.org/officeDocument/2006/relationships/hyperlink" Target="https://b2beez.ru/images/detailed/177/6828565215.jpg" TargetMode="External"/><Relationship Id="rId_hyperlink_3889" Type="http://schemas.openxmlformats.org/officeDocument/2006/relationships/hyperlink" Target="https://b2beez.ru/images/detailed/176/orig_pkcz-ka.jpg" TargetMode="External"/><Relationship Id="rId_hyperlink_3890" Type="http://schemas.openxmlformats.org/officeDocument/2006/relationships/hyperlink" Target="https://b2beez.ru/images/detailed/47/orig_ydzk-lc.jpg" TargetMode="External"/><Relationship Id="rId_hyperlink_3891" Type="http://schemas.openxmlformats.org/officeDocument/2006/relationships/hyperlink" Target="https://b2beez.ru/images/detailed/177/orig_r12n-1v.jpg" TargetMode="External"/><Relationship Id="rId_hyperlink_3892" Type="http://schemas.openxmlformats.org/officeDocument/2006/relationships/hyperlink" Target="https://b2beez.ru/images/detailed/177/orig_h8f5-t8.jpg" TargetMode="External"/><Relationship Id="rId_hyperlink_3893" Type="http://schemas.openxmlformats.org/officeDocument/2006/relationships/hyperlink" Target="https://b2beez.ru/images/detailed/177/6741836536.jpg" TargetMode="External"/><Relationship Id="rId_hyperlink_3894" Type="http://schemas.openxmlformats.org/officeDocument/2006/relationships/hyperlink" Target="https://b2beez.ru/images/detailed/177/7065665533.jpg" TargetMode="External"/><Relationship Id="rId_hyperlink_3895" Type="http://schemas.openxmlformats.org/officeDocument/2006/relationships/hyperlink" Target="https://b2beez.ru/images/detailed/177/7160330916.jpg" TargetMode="External"/><Relationship Id="rId_hyperlink_3896" Type="http://schemas.openxmlformats.org/officeDocument/2006/relationships/hyperlink" Target="https://b2beez.ru/images/detailed/177/orig_5j1f-u6.jpg" TargetMode="External"/><Relationship Id="rId_hyperlink_3897" Type="http://schemas.openxmlformats.org/officeDocument/2006/relationships/hyperlink" Target="https://b2beez.ru/images/detailed/177/orig_o342-qy.jpg" TargetMode="External"/><Relationship Id="rId_hyperlink_3898" Type="http://schemas.openxmlformats.org/officeDocument/2006/relationships/hyperlink" Target="https://b2beez.ru/images/detailed/166/6228541993.jpg" TargetMode="External"/><Relationship Id="rId_hyperlink_3899" Type="http://schemas.openxmlformats.org/officeDocument/2006/relationships/hyperlink" Target="https://b2beez.ru/images/detailed/181/6242639604.jpg" TargetMode="External"/><Relationship Id="rId_hyperlink_3900" Type="http://schemas.openxmlformats.org/officeDocument/2006/relationships/hyperlink" Target="https://b2beez.ru/images/detailed/176/orig_0zmv-l3.jpg" TargetMode="External"/><Relationship Id="rId_hyperlink_3901" Type="http://schemas.openxmlformats.org/officeDocument/2006/relationships/hyperlink" Target="https://b2beez.ru/images/detailed/177/orig_l5uo-0q.jpg" TargetMode="External"/><Relationship Id="rId_hyperlink_3902" Type="http://schemas.openxmlformats.org/officeDocument/2006/relationships/hyperlink" Target="https://b2beez.ru/images/detailed/204/P-1800-2_lehi-oj.jpg" TargetMode="External"/><Relationship Id="rId_hyperlink_3903" Type="http://schemas.openxmlformats.org/officeDocument/2006/relationships/hyperlink" Target="https://b2beez.ru/images/detailed/204/S-770-2_6xw3-63.jpg" TargetMode="External"/><Relationship Id="rId_hyperlink_3904" Type="http://schemas.openxmlformats.org/officeDocument/2006/relationships/hyperlink" Target="https://b2beez.ru/images/detailed/154/7171393772.jpg" TargetMode="External"/><Relationship Id="rId_hyperlink_3905" Type="http://schemas.openxmlformats.org/officeDocument/2006/relationships/hyperlink" Target="https://b2beez.ru/images/detailed/173/orig_wd8n-rz.jpg" TargetMode="External"/><Relationship Id="rId_hyperlink_3906" Type="http://schemas.openxmlformats.org/officeDocument/2006/relationships/hyperlink" Target="https://b2beez.ru/images/detailed/175/orig_4sh7-st.jpg" TargetMode="External"/><Relationship Id="rId_hyperlink_3907" Type="http://schemas.openxmlformats.org/officeDocument/2006/relationships/hyperlink" Target="https://b2beez.ru/images/detailed/204/C-6-3_sany-uu.jpg" TargetMode="External"/><Relationship Id="rId_hyperlink_3908" Type="http://schemas.openxmlformats.org/officeDocument/2006/relationships/hyperlink" Target="https://b2beez.ru/images/detailed/174/7171594350.jpg" TargetMode="External"/><Relationship Id="rId_hyperlink_3909" Type="http://schemas.openxmlformats.org/officeDocument/2006/relationships/hyperlink" Target="https://b2beez.ru/images/detailed/172/orig_b9hd-fk.jpg" TargetMode="External"/><Relationship Id="rId_hyperlink_3910" Type="http://schemas.openxmlformats.org/officeDocument/2006/relationships/hyperlink" Target="https://b2beez.ru/images/detailed/172/7171593177.jpg" TargetMode="External"/><Relationship Id="rId_hyperlink_3911" Type="http://schemas.openxmlformats.org/officeDocument/2006/relationships/hyperlink" Target="https://b2beez.ru/images/detailed/172/orig_lzh5-fx.jpg" TargetMode="External"/><Relationship Id="rId_hyperlink_3912" Type="http://schemas.openxmlformats.org/officeDocument/2006/relationships/hyperlink" Target="https://b2beez.ru/images/detailed/182/orig_fyo2-1x.jpg" TargetMode="External"/><Relationship Id="rId_hyperlink_3913" Type="http://schemas.openxmlformats.org/officeDocument/2006/relationships/hyperlink" Target="https://b2beez.ru/images/detailed/47/orig_x09w-iv.jpg" TargetMode="External"/><Relationship Id="rId_hyperlink_3914" Type="http://schemas.openxmlformats.org/officeDocument/2006/relationships/hyperlink" Target="https://b2beez.ru/images/detailed/166/6229667126.jpg" TargetMode="External"/><Relationship Id="rId_hyperlink_3915" Type="http://schemas.openxmlformats.org/officeDocument/2006/relationships/hyperlink" Target="https://b2beez.ru/images/detailed/178/6228542321.jpg" TargetMode="External"/><Relationship Id="rId_hyperlink_3916" Type="http://schemas.openxmlformats.org/officeDocument/2006/relationships/hyperlink" Target="https://b2beez.ru/images/detailed/178/orig_a7mo-v2.jpg" TargetMode="External"/><Relationship Id="rId_hyperlink_3917" Type="http://schemas.openxmlformats.org/officeDocument/2006/relationships/hyperlink" Target="https://b2beez.ru/images/detailed/178/6230676174.jpg" TargetMode="External"/><Relationship Id="rId_hyperlink_3918" Type="http://schemas.openxmlformats.org/officeDocument/2006/relationships/hyperlink" Target="https://b2beez.ru/images/detailed/171/7186557252.jpg" TargetMode="External"/><Relationship Id="rId_hyperlink_3919" Type="http://schemas.openxmlformats.org/officeDocument/2006/relationships/hyperlink" Target="https://b2beez.ru/images/detailed/182/orig_v691-ok.jpg" TargetMode="External"/><Relationship Id="rId_hyperlink_3920" Type="http://schemas.openxmlformats.org/officeDocument/2006/relationships/hyperlink" Target="https://b2beez.ru/images/detailed/183/orig_d0kr-sg.jpg" TargetMode="External"/><Relationship Id="rId_hyperlink_3921" Type="http://schemas.openxmlformats.org/officeDocument/2006/relationships/hyperlink" Target="https://b2beez.ru/images/detailed/182/7132449763.jpg" TargetMode="External"/><Relationship Id="rId_hyperlink_3922" Type="http://schemas.openxmlformats.org/officeDocument/2006/relationships/hyperlink" Target="https://b2beez.ru/images/detailed/183/orig_okbx-z2.jpg" TargetMode="External"/><Relationship Id="rId_hyperlink_3923" Type="http://schemas.openxmlformats.org/officeDocument/2006/relationships/hyperlink" Target="https://b2beez.ru/images/detailed/173/7174854665.jpg" TargetMode="External"/><Relationship Id="rId_hyperlink_3924" Type="http://schemas.openxmlformats.org/officeDocument/2006/relationships/hyperlink" Target="https://b2beez.ru/images/detailed/187/orig_9ceq-fb.jpg" TargetMode="External"/><Relationship Id="rId_hyperlink_3925" Type="http://schemas.openxmlformats.org/officeDocument/2006/relationships/hyperlink" Target="https://b2beez.ru/images/detailed/204/1_fpzf-6a.jpg" TargetMode="External"/><Relationship Id="rId_hyperlink_3926" Type="http://schemas.openxmlformats.org/officeDocument/2006/relationships/hyperlink" Target="https://b2beez.ru/images/detailed/178/6242639395.jpg" TargetMode="External"/><Relationship Id="rId_hyperlink_3927" Type="http://schemas.openxmlformats.org/officeDocument/2006/relationships/hyperlink" Target="https://b2beez.ru/images/detailed/204/1_qnek-1u.jpg" TargetMode="External"/><Relationship Id="rId_hyperlink_3928" Type="http://schemas.openxmlformats.org/officeDocument/2006/relationships/hyperlink" Target="https://b2beez.ru/images/detailed/178/orig_aril-iu.jpg" TargetMode="External"/><Relationship Id="rId_hyperlink_3929" Type="http://schemas.openxmlformats.org/officeDocument/2006/relationships/hyperlink" Target="https://b2beez.ru/images/detailed/178/6242639443.jpg" TargetMode="External"/><Relationship Id="rId_hyperlink_3930" Type="http://schemas.openxmlformats.org/officeDocument/2006/relationships/hyperlink" Target="https://b2beez.ru/images/detailed/168/orig_kefm-vj.jpg" TargetMode="External"/><Relationship Id="rId_hyperlink_3931" Type="http://schemas.openxmlformats.org/officeDocument/2006/relationships/hyperlink" Target="https://b2beez.ru/images/detailed/160/6982001435.jpg" TargetMode="External"/><Relationship Id="rId_hyperlink_3932" Type="http://schemas.openxmlformats.org/officeDocument/2006/relationships/hyperlink" Target="https://b2beez.ru/images/detailed/179/7061792840.jpg" TargetMode="External"/><Relationship Id="rId_hyperlink_3933" Type="http://schemas.openxmlformats.org/officeDocument/2006/relationships/hyperlink" Target="https://b2beez.ru/images/detailed/203/1_dfrc-ed.jpg" TargetMode="External"/><Relationship Id="rId_hyperlink_3934" Type="http://schemas.openxmlformats.org/officeDocument/2006/relationships/hyperlink" Target="https://b2beez.ru/images/detailed/180/orig_bht7-u3.jpg" TargetMode="External"/><Relationship Id="rId_hyperlink_3935" Type="http://schemas.openxmlformats.org/officeDocument/2006/relationships/hyperlink" Target="https://b2beez.ru/images/detailed/180/orig_u7ph-uz.jpg" TargetMode="External"/><Relationship Id="rId_hyperlink_3936" Type="http://schemas.openxmlformats.org/officeDocument/2006/relationships/hyperlink" Target="https://b2beez.ru/images/detailed/180/orig_zrfk-6v.jpg" TargetMode="External"/><Relationship Id="rId_hyperlink_3937" Type="http://schemas.openxmlformats.org/officeDocument/2006/relationships/hyperlink" Target="https://b2beez.ru/images/detailed/0/" TargetMode="External"/><Relationship Id="rId_hyperlink_3938" Type="http://schemas.openxmlformats.org/officeDocument/2006/relationships/hyperlink" Target="https://b2beez.ru/images/detailed/168/orig_oqs6-na.jpg" TargetMode="External"/><Relationship Id="rId_hyperlink_3939" Type="http://schemas.openxmlformats.org/officeDocument/2006/relationships/hyperlink" Target="https://b2beez.ru/images/detailed/205/1_t0bc-9i.jpg" TargetMode="External"/><Relationship Id="rId_hyperlink_3940" Type="http://schemas.openxmlformats.org/officeDocument/2006/relationships/hyperlink" Target="https://b2beez.ru/images/detailed/205/1_9jru-cm.jpg" TargetMode="External"/><Relationship Id="rId_hyperlink_3941" Type="http://schemas.openxmlformats.org/officeDocument/2006/relationships/hyperlink" Target="https://b2beez.ru/images/detailed/173/orig_qhd7-mq.jpg" TargetMode="External"/><Relationship Id="rId_hyperlink_3942" Type="http://schemas.openxmlformats.org/officeDocument/2006/relationships/hyperlink" Target="https://b2beez.ru/images/detailed/0/" TargetMode="External"/><Relationship Id="rId_hyperlink_3943" Type="http://schemas.openxmlformats.org/officeDocument/2006/relationships/hyperlink" Target="https://b2beez.ru/images/detailed/173/6653086110.jpg" TargetMode="External"/><Relationship Id="rId_hyperlink_3944" Type="http://schemas.openxmlformats.org/officeDocument/2006/relationships/hyperlink" Target="https://b2beez.ru/images/detailed/47/orig_374u-ni.jpg" TargetMode="External"/><Relationship Id="rId_hyperlink_3945" Type="http://schemas.openxmlformats.org/officeDocument/2006/relationships/hyperlink" Target="https://b2beez.ru/images/detailed/155/orig_okv7-5p.jpg" TargetMode="External"/><Relationship Id="rId_hyperlink_3946" Type="http://schemas.openxmlformats.org/officeDocument/2006/relationships/hyperlink" Target="https://b2beez.ru/images/detailed/166/6741716387.jpg" TargetMode="External"/><Relationship Id="rId_hyperlink_3947" Type="http://schemas.openxmlformats.org/officeDocument/2006/relationships/hyperlink" Target="https://b2beez.ru/images/detailed/154/orig_ke84-f6.jpg" TargetMode="External"/><Relationship Id="rId_hyperlink_3948" Type="http://schemas.openxmlformats.org/officeDocument/2006/relationships/hyperlink" Target="https://b2beez.ru/images/detailed/172/6241082532.jpg" TargetMode="External"/><Relationship Id="rId_hyperlink_3949" Type="http://schemas.openxmlformats.org/officeDocument/2006/relationships/hyperlink" Target="https://b2beez.ru/images/detailed/185/orig_a3yo-kx.jpg" TargetMode="External"/><Relationship Id="rId_hyperlink_3950" Type="http://schemas.openxmlformats.org/officeDocument/2006/relationships/hyperlink" Target="https://b2beez.ru/images/detailed/0/" TargetMode="External"/><Relationship Id="rId_hyperlink_3951" Type="http://schemas.openxmlformats.org/officeDocument/2006/relationships/hyperlink" Target="https://b2beez.ru/images/detailed/167/orig_qx76-z7.jpg" TargetMode="External"/><Relationship Id="rId_hyperlink_3952" Type="http://schemas.openxmlformats.org/officeDocument/2006/relationships/hyperlink" Target="https://b2beez.ru/images/detailed/47/orig.jpg" TargetMode="External"/><Relationship Id="rId_hyperlink_3953" Type="http://schemas.openxmlformats.org/officeDocument/2006/relationships/hyperlink" Target="https://b2beez.ru/images/detailed/187/6981879125.jpg" TargetMode="External"/><Relationship Id="rId_hyperlink_3954" Type="http://schemas.openxmlformats.org/officeDocument/2006/relationships/hyperlink" Target="https://b2beez.ru/images/detailed/160/7172623893.jpg" TargetMode="External"/><Relationship Id="rId_hyperlink_3955" Type="http://schemas.openxmlformats.org/officeDocument/2006/relationships/hyperlink" Target="https://b2beez.ru/images/detailed/187/orig_rk5h-ea.jpg" TargetMode="External"/><Relationship Id="rId_hyperlink_3956" Type="http://schemas.openxmlformats.org/officeDocument/2006/relationships/hyperlink" Target="https://b2beez.ru/images/detailed/168/7129268403.jpg" TargetMode="External"/><Relationship Id="rId_hyperlink_3957" Type="http://schemas.openxmlformats.org/officeDocument/2006/relationships/hyperlink" Target="https://b2beez.ru/images/detailed/169/7129312057.jpg" TargetMode="External"/><Relationship Id="rId_hyperlink_3958" Type="http://schemas.openxmlformats.org/officeDocument/2006/relationships/hyperlink" Target="https://b2beez.ru/images/detailed/0/" TargetMode="External"/><Relationship Id="rId_hyperlink_3959" Type="http://schemas.openxmlformats.org/officeDocument/2006/relationships/hyperlink" Target="https://b2beez.ru/images/detailed/0/" TargetMode="External"/><Relationship Id="rId_hyperlink_3960" Type="http://schemas.openxmlformats.org/officeDocument/2006/relationships/hyperlink" Target="https://b2beez.ru/images/detailed/0/" TargetMode="External"/><Relationship Id="rId_hyperlink_3961" Type="http://schemas.openxmlformats.org/officeDocument/2006/relationships/hyperlink" Target="https://b2beez.ru/images/detailed/166/7060522416.jpg" TargetMode="External"/><Relationship Id="rId_hyperlink_3962" Type="http://schemas.openxmlformats.org/officeDocument/2006/relationships/hyperlink" Target="https://b2beez.ru/images/detailed/160/orig_3j5e-uw.jpg" TargetMode="External"/><Relationship Id="rId_hyperlink_3963" Type="http://schemas.openxmlformats.org/officeDocument/2006/relationships/hyperlink" Target="https://b2beez.ru/images/detailed/0/" TargetMode="External"/><Relationship Id="rId_hyperlink_3964" Type="http://schemas.openxmlformats.org/officeDocument/2006/relationships/hyperlink" Target="https://b2beez.ru/images/detailed/0/" TargetMode="External"/><Relationship Id="rId_hyperlink_3965" Type="http://schemas.openxmlformats.org/officeDocument/2006/relationships/hyperlink" Target="https://b2beez.ru/images/detailed/166/orig_k6i3-jy.jpg" TargetMode="External"/><Relationship Id="rId_hyperlink_3966" Type="http://schemas.openxmlformats.org/officeDocument/2006/relationships/hyperlink" Target="https://b2beez.ru/images/detailed/182/orig_8szq-0y.jpg" TargetMode="External"/><Relationship Id="rId_hyperlink_3967" Type="http://schemas.openxmlformats.org/officeDocument/2006/relationships/hyperlink" Target="https://b2beez.ru/images/detailed/153/7132411285.jpg" TargetMode="External"/><Relationship Id="rId_hyperlink_3968" Type="http://schemas.openxmlformats.org/officeDocument/2006/relationships/hyperlink" Target="https://b2beez.ru/images/detailed/181/6242640338.jpg" TargetMode="External"/><Relationship Id="rId_hyperlink_3969" Type="http://schemas.openxmlformats.org/officeDocument/2006/relationships/hyperlink" Target="https://b2beez.ru/images/detailed/176/7125719860.jpg" TargetMode="External"/><Relationship Id="rId_hyperlink_3970" Type="http://schemas.openxmlformats.org/officeDocument/2006/relationships/hyperlink" Target="https://b2beez.ru/images/detailed/0/" TargetMode="External"/><Relationship Id="rId_hyperlink_3971" Type="http://schemas.openxmlformats.org/officeDocument/2006/relationships/hyperlink" Target="https://b2beez.ru/images/detailed/0/" TargetMode="External"/><Relationship Id="rId_hyperlink_3972" Type="http://schemas.openxmlformats.org/officeDocument/2006/relationships/hyperlink" Target="https://b2beez.ru/images/detailed/0/" TargetMode="External"/><Relationship Id="rId_hyperlink_3973" Type="http://schemas.openxmlformats.org/officeDocument/2006/relationships/hyperlink" Target="https://b2beez.ru/images/detailed/0/" TargetMode="External"/><Relationship Id="rId_hyperlink_3974" Type="http://schemas.openxmlformats.org/officeDocument/2006/relationships/hyperlink" Target="https://b2beez.ru/images/detailed/0/" TargetMode="External"/><Relationship Id="rId_hyperlink_3975" Type="http://schemas.openxmlformats.org/officeDocument/2006/relationships/hyperlink" Target="https://b2beez.ru/images/detailed/0/" TargetMode="External"/><Relationship Id="rId_hyperlink_3976" Type="http://schemas.openxmlformats.org/officeDocument/2006/relationships/hyperlink" Target="https://b2beez.ru/images/detailed/0/" TargetMode="External"/><Relationship Id="rId_hyperlink_3977" Type="http://schemas.openxmlformats.org/officeDocument/2006/relationships/hyperlink" Target="https://b2beez.ru/images/detailed/0/" TargetMode="External"/><Relationship Id="rId_hyperlink_3978" Type="http://schemas.openxmlformats.org/officeDocument/2006/relationships/hyperlink" Target="https://b2beez.ru/images/detailed/165/orig_0zwj-2l.jpg" TargetMode="External"/><Relationship Id="rId_hyperlink_3979" Type="http://schemas.openxmlformats.org/officeDocument/2006/relationships/hyperlink" Target="https://b2beez.ru/images/detailed/186/7057216089.jpg" TargetMode="External"/><Relationship Id="rId_hyperlink_3980" Type="http://schemas.openxmlformats.org/officeDocument/2006/relationships/hyperlink" Target="https://b2beez.ru/images/detailed/156/6743182395.jpg" TargetMode="External"/><Relationship Id="rId_hyperlink_3981" Type="http://schemas.openxmlformats.org/officeDocument/2006/relationships/hyperlink" Target="https://b2beez.ru/images/detailed/0/" TargetMode="External"/><Relationship Id="rId_hyperlink_3982" Type="http://schemas.openxmlformats.org/officeDocument/2006/relationships/hyperlink" Target="https://b2beez.ru/images/detailed/0/" TargetMode="External"/><Relationship Id="rId_hyperlink_3983" Type="http://schemas.openxmlformats.org/officeDocument/2006/relationships/hyperlink" Target="https://b2beez.ru/images/detailed/0/" TargetMode="External"/><Relationship Id="rId_hyperlink_3984" Type="http://schemas.openxmlformats.org/officeDocument/2006/relationships/hyperlink" Target="https://b2beez.ru/images/detailed/0/" TargetMode="External"/><Relationship Id="rId_hyperlink_3985" Type="http://schemas.openxmlformats.org/officeDocument/2006/relationships/hyperlink" Target="https://b2beez.ru/images/detailed/0/" TargetMode="External"/><Relationship Id="rId_hyperlink_3986" Type="http://schemas.openxmlformats.org/officeDocument/2006/relationships/hyperlink" Target="https://b2beez.ru/images/detailed/0/" TargetMode="External"/><Relationship Id="rId_hyperlink_3987" Type="http://schemas.openxmlformats.org/officeDocument/2006/relationships/hyperlink" Target="https://b2beez.ru/images/detailed/155/7061828020.jpg" TargetMode="External"/><Relationship Id="rId_hyperlink_3988" Type="http://schemas.openxmlformats.org/officeDocument/2006/relationships/hyperlink" Target="https://b2beez.ru/images/detailed/203/1_5coy-xw.jpg" TargetMode="External"/><Relationship Id="rId_hyperlink_3989" Type="http://schemas.openxmlformats.org/officeDocument/2006/relationships/hyperlink" Target="https://b2beez.ru/images/detailed/47/6594187953.jpg" TargetMode="External"/><Relationship Id="rId_hyperlink_3990" Type="http://schemas.openxmlformats.org/officeDocument/2006/relationships/hyperlink" Target="https://b2beez.ru/images/detailed/48/orig_yggr-je.jpg" TargetMode="External"/><Relationship Id="rId_hyperlink_3991" Type="http://schemas.openxmlformats.org/officeDocument/2006/relationships/hyperlink" Target="https://b2beez.ru/images/detailed/153/orig_q62o-l6.jpg" TargetMode="External"/><Relationship Id="rId_hyperlink_3992" Type="http://schemas.openxmlformats.org/officeDocument/2006/relationships/hyperlink" Target="https://b2beez.ru/images/detailed/153/orig_1gn8-1a.jpg" TargetMode="External"/><Relationship Id="rId_hyperlink_3993" Type="http://schemas.openxmlformats.org/officeDocument/2006/relationships/hyperlink" Target="https://b2beez.ru/images/detailed/153/orig_pwbk-f7.jpg" TargetMode="External"/><Relationship Id="rId_hyperlink_3994" Type="http://schemas.openxmlformats.org/officeDocument/2006/relationships/hyperlink" Target="https://b2beez.ru/images/detailed/153/orig_9y8q-8b.jpg" TargetMode="External"/><Relationship Id="rId_hyperlink_3995" Type="http://schemas.openxmlformats.org/officeDocument/2006/relationships/hyperlink" Target="https://b2beez.ru/images/detailed/153/orig_3c1s-un.jpg" TargetMode="External"/><Relationship Id="rId_hyperlink_3996" Type="http://schemas.openxmlformats.org/officeDocument/2006/relationships/hyperlink" Target="https://b2beez.ru/images/detailed/153/orig_opny-ac.jpg" TargetMode="External"/><Relationship Id="rId_hyperlink_3997" Type="http://schemas.openxmlformats.org/officeDocument/2006/relationships/hyperlink" Target="https://b2beez.ru/images/detailed/153/orig_sp3r-fy.jpg" TargetMode="External"/><Relationship Id="rId_hyperlink_3998" Type="http://schemas.openxmlformats.org/officeDocument/2006/relationships/hyperlink" Target="https://b2beez.ru/images/detailed/153/orig_0wy2-y3.jpg" TargetMode="External"/><Relationship Id="rId_hyperlink_3999" Type="http://schemas.openxmlformats.org/officeDocument/2006/relationships/hyperlink" Target="https://b2beez.ru/images/detailed/153/orig_br5a-1v.jpg" TargetMode="External"/><Relationship Id="rId_hyperlink_4000" Type="http://schemas.openxmlformats.org/officeDocument/2006/relationships/hyperlink" Target="https://b2beez.ru/images/detailed/153/orig_rmyr-zk.jpg" TargetMode="External"/><Relationship Id="rId_hyperlink_4001" Type="http://schemas.openxmlformats.org/officeDocument/2006/relationships/hyperlink" Target="https://b2beez.ru/images/detailed/169/orig_g4wx-am.jpg" TargetMode="External"/><Relationship Id="rId_hyperlink_4002" Type="http://schemas.openxmlformats.org/officeDocument/2006/relationships/hyperlink" Target="https://b2beez.ru/images/detailed/175/7132453366.jpg" TargetMode="External"/><Relationship Id="rId_hyperlink_4003" Type="http://schemas.openxmlformats.org/officeDocument/2006/relationships/hyperlink" Target="https://b2beez.ru/images/detailed/173/6923475101.jpg" TargetMode="External"/><Relationship Id="rId_hyperlink_4004" Type="http://schemas.openxmlformats.org/officeDocument/2006/relationships/hyperlink" Target="https://b2beez.ru/images/detailed/173/orig_zn9c-yo.jpg" TargetMode="External"/><Relationship Id="rId_hyperlink_4005" Type="http://schemas.openxmlformats.org/officeDocument/2006/relationships/hyperlink" Target="https://b2beez.ru/images/detailed/172/orig_ig4g-yz.jpg" TargetMode="External"/><Relationship Id="rId_hyperlink_4006" Type="http://schemas.openxmlformats.org/officeDocument/2006/relationships/hyperlink" Target="https://b2beez.ru/images/detailed/172/orig_np32-qt.jpg" TargetMode="External"/><Relationship Id="rId_hyperlink_4007" Type="http://schemas.openxmlformats.org/officeDocument/2006/relationships/hyperlink" Target="https://b2beez.ru/images/detailed/172/orig_q8yg-dn.jpg" TargetMode="External"/><Relationship Id="rId_hyperlink_4008" Type="http://schemas.openxmlformats.org/officeDocument/2006/relationships/hyperlink" Target="https://b2beez.ru/images/detailed/172/orig_xsy9-sy.jpg" TargetMode="External"/><Relationship Id="rId_hyperlink_4009" Type="http://schemas.openxmlformats.org/officeDocument/2006/relationships/hyperlink" Target="https://b2beez.ru/images/detailed/154/7132514647.jpg" TargetMode="External"/><Relationship Id="rId_hyperlink_4010" Type="http://schemas.openxmlformats.org/officeDocument/2006/relationships/hyperlink" Target="https://b2beez.ru/images/detailed/183/orig_3c7k-hq.jpg" TargetMode="External"/><Relationship Id="rId_hyperlink_4011" Type="http://schemas.openxmlformats.org/officeDocument/2006/relationships/hyperlink" Target="https://b2beez.ru/images/detailed/161/6741822062.jpg" TargetMode="External"/><Relationship Id="rId_hyperlink_4012" Type="http://schemas.openxmlformats.org/officeDocument/2006/relationships/hyperlink" Target="https://b2beez.ru/images/detailed/166/6224627748_jgk3-zg.jpg" TargetMode="External"/><Relationship Id="rId_hyperlink_4013" Type="http://schemas.openxmlformats.org/officeDocument/2006/relationships/hyperlink" Target="https://b2beez.ru/images/detailed/178/6843710510.jpg" TargetMode="External"/><Relationship Id="rId_hyperlink_4014" Type="http://schemas.openxmlformats.org/officeDocument/2006/relationships/hyperlink" Target="https://b2beez.ru/images/detailed/204/Z-862-5_68nq-pb.jpg" TargetMode="External"/><Relationship Id="rId_hyperlink_4015" Type="http://schemas.openxmlformats.org/officeDocument/2006/relationships/hyperlink" Target="https://b2beez.ru/images/detailed/203/1_ucni-jd.jpg" TargetMode="External"/><Relationship Id="rId_hyperlink_4016" Type="http://schemas.openxmlformats.org/officeDocument/2006/relationships/hyperlink" Target="https://b2beez.ru/images/detailed/163/7172638974.jpg" TargetMode="External"/><Relationship Id="rId_hyperlink_4017" Type="http://schemas.openxmlformats.org/officeDocument/2006/relationships/hyperlink" Target="https://b2beez.ru/images/detailed/173/orig_ae5t-a3.jpg" TargetMode="External"/><Relationship Id="rId_hyperlink_4018" Type="http://schemas.openxmlformats.org/officeDocument/2006/relationships/hyperlink" Target="https://b2beez.ru/images/detailed/172/orig_dqwo-yp.jpg" TargetMode="External"/><Relationship Id="rId_hyperlink_4019" Type="http://schemas.openxmlformats.org/officeDocument/2006/relationships/hyperlink" Target="https://b2beez.ru/images/detailed/174/orig_lme2-rc.jpg" TargetMode="External"/><Relationship Id="rId_hyperlink_4020" Type="http://schemas.openxmlformats.org/officeDocument/2006/relationships/hyperlink" Target="https://b2beez.ru/images/detailed/175/6585406946.jpg" TargetMode="External"/><Relationship Id="rId_hyperlink_4021" Type="http://schemas.openxmlformats.org/officeDocument/2006/relationships/hyperlink" Target="https://b2beez.ru/images/detailed/175/orig_uv7b-3s.jpg" TargetMode="External"/><Relationship Id="rId_hyperlink_4022" Type="http://schemas.openxmlformats.org/officeDocument/2006/relationships/hyperlink" Target="https://b2beez.ru/images/detailed/175/orig_6wtk-xb.jpg" TargetMode="External"/><Relationship Id="rId_hyperlink_4023" Type="http://schemas.openxmlformats.org/officeDocument/2006/relationships/hyperlink" Target="https://b2beez.ru/images/detailed/175/6586291438.jpg" TargetMode="External"/><Relationship Id="rId_hyperlink_4024" Type="http://schemas.openxmlformats.org/officeDocument/2006/relationships/hyperlink" Target="https://b2beez.ru/images/detailed/172/orig_t73u-zh.jpg" TargetMode="External"/><Relationship Id="rId_hyperlink_4025" Type="http://schemas.openxmlformats.org/officeDocument/2006/relationships/hyperlink" Target="https://b2beez.ru/images/detailed/172/orig_krac-az.jpg" TargetMode="External"/><Relationship Id="rId_hyperlink_4026" Type="http://schemas.openxmlformats.org/officeDocument/2006/relationships/hyperlink" Target="https://b2beez.ru/images/detailed/173/6586298369.jpg" TargetMode="External"/><Relationship Id="rId_hyperlink_4027" Type="http://schemas.openxmlformats.org/officeDocument/2006/relationships/hyperlink" Target="https://b2beez.ru/images/detailed/167/orig_a323-o6.jpg" TargetMode="External"/><Relationship Id="rId_hyperlink_4028" Type="http://schemas.openxmlformats.org/officeDocument/2006/relationships/hyperlink" Target="https://b2beez.ru/images/detailed/166/orig_rxhu-vx.jpg" TargetMode="External"/><Relationship Id="rId_hyperlink_4029" Type="http://schemas.openxmlformats.org/officeDocument/2006/relationships/hyperlink" Target="https://b2beez.ru/images/detailed/182/6960157921.jpg" TargetMode="External"/><Relationship Id="rId_hyperlink_4030" Type="http://schemas.openxmlformats.org/officeDocument/2006/relationships/hyperlink" Target="https://b2beez.ru/images/detailed/181/6960169641.jpg" TargetMode="External"/><Relationship Id="rId_hyperlink_4031" Type="http://schemas.openxmlformats.org/officeDocument/2006/relationships/hyperlink" Target="https://b2beez.ru/images/detailed/178/orig_slkn-f6.jpg" TargetMode="External"/><Relationship Id="rId_hyperlink_4032" Type="http://schemas.openxmlformats.org/officeDocument/2006/relationships/hyperlink" Target="https://b2beez.ru/images/detailed/182/orig_ym5q-tx.jpg" TargetMode="External"/><Relationship Id="rId_hyperlink_4033" Type="http://schemas.openxmlformats.org/officeDocument/2006/relationships/hyperlink" Target="https://b2beez.ru/images/detailed/0/" TargetMode="External"/><Relationship Id="rId_hyperlink_4034" Type="http://schemas.openxmlformats.org/officeDocument/2006/relationships/hyperlink" Target="https://b2beez.ru/images/detailed/0/" TargetMode="External"/><Relationship Id="rId_hyperlink_4035" Type="http://schemas.openxmlformats.org/officeDocument/2006/relationships/hyperlink" Target="https://b2beez.ru/images/detailed/176/6916720960.jpg" TargetMode="External"/><Relationship Id="rId_hyperlink_4036" Type="http://schemas.openxmlformats.org/officeDocument/2006/relationships/hyperlink" Target="https://b2beez.ru/images/detailed/153/orig_n5i4-st.jpg" TargetMode="External"/><Relationship Id="rId_hyperlink_4037" Type="http://schemas.openxmlformats.org/officeDocument/2006/relationships/hyperlink" Target="https://b2beez.ru/images/detailed/48/orig_g541-y5.jpg" TargetMode="External"/><Relationship Id="rId_hyperlink_4038" Type="http://schemas.openxmlformats.org/officeDocument/2006/relationships/hyperlink" Target="https://b2beez.ru/images/detailed/187/orig_ir5x-ls.jpg" TargetMode="External"/><Relationship Id="rId_hyperlink_4039" Type="http://schemas.openxmlformats.org/officeDocument/2006/relationships/hyperlink" Target="https://b2beez.ru/images/detailed/0/" TargetMode="External"/><Relationship Id="rId_hyperlink_4040" Type="http://schemas.openxmlformats.org/officeDocument/2006/relationships/hyperlink" Target="https://b2beez.ru/images/detailed/153/7160361757.jpg" TargetMode="External"/><Relationship Id="rId_hyperlink_4041" Type="http://schemas.openxmlformats.org/officeDocument/2006/relationships/hyperlink" Target="https://b2beez.ru/images/detailed/176/orig_w3s5-h2.jpg" TargetMode="External"/><Relationship Id="rId_hyperlink_4042" Type="http://schemas.openxmlformats.org/officeDocument/2006/relationships/hyperlink" Target="https://b2beez.ru/images/detailed/187/orig_4gjv-5q.jpg" TargetMode="External"/><Relationship Id="rId_hyperlink_4043" Type="http://schemas.openxmlformats.org/officeDocument/2006/relationships/hyperlink" Target="https://b2beez.ru/images/detailed/0/" TargetMode="External"/><Relationship Id="rId_hyperlink_4044" Type="http://schemas.openxmlformats.org/officeDocument/2006/relationships/hyperlink" Target="https://b2beez.ru/images/detailed/0/" TargetMode="External"/><Relationship Id="rId_hyperlink_4045" Type="http://schemas.openxmlformats.org/officeDocument/2006/relationships/hyperlink" Target="https://b2beez.ru/images/detailed/182/7132421616.jpg" TargetMode="External"/><Relationship Id="rId_hyperlink_4046" Type="http://schemas.openxmlformats.org/officeDocument/2006/relationships/hyperlink" Target="https://b2beez.ru/images/detailed/204/O-456-2.jpg" TargetMode="External"/><Relationship Id="rId_hyperlink_4047" Type="http://schemas.openxmlformats.org/officeDocument/2006/relationships/hyperlink" Target="https://b2beez.ru/images/detailed/172/7160322635.jpg" TargetMode="External"/><Relationship Id="rId_hyperlink_4048" Type="http://schemas.openxmlformats.org/officeDocument/2006/relationships/hyperlink" Target="https://b2beez.ru/images/detailed/47/orig_zzc0-eo.jpg" TargetMode="External"/><Relationship Id="rId_hyperlink_4049" Type="http://schemas.openxmlformats.org/officeDocument/2006/relationships/hyperlink" Target="https://b2beez.ru/images/detailed/48/6265192433_3vs6-sl.jpg" TargetMode="External"/><Relationship Id="rId_hyperlink_4050" Type="http://schemas.openxmlformats.org/officeDocument/2006/relationships/hyperlink" Target="https://b2beez.ru/images/detailed/174/6228542102.jpg" TargetMode="External"/><Relationship Id="rId_hyperlink_4051" Type="http://schemas.openxmlformats.org/officeDocument/2006/relationships/hyperlink" Target="https://b2beez.ru/images/detailed/166/orig_2tqq-vy.jpg" TargetMode="External"/><Relationship Id="rId_hyperlink_4052" Type="http://schemas.openxmlformats.org/officeDocument/2006/relationships/hyperlink" Target="https://b2beez.ru/images/detailed/156/6741855701.jpg" TargetMode="External"/><Relationship Id="rId_hyperlink_4053" Type="http://schemas.openxmlformats.org/officeDocument/2006/relationships/hyperlink" Target="https://b2beez.ru/images/detailed/165/6546422757.jpg" TargetMode="External"/><Relationship Id="rId_hyperlink_4054" Type="http://schemas.openxmlformats.org/officeDocument/2006/relationships/hyperlink" Target="https://b2beez.ru/images/detailed/168/orig_mfm1-k6.jpg" TargetMode="External"/><Relationship Id="rId_hyperlink_4055" Type="http://schemas.openxmlformats.org/officeDocument/2006/relationships/hyperlink" Target="https://b2beez.ru/images/detailed/168/6224628129.jpg" TargetMode="External"/><Relationship Id="rId_hyperlink_4056" Type="http://schemas.openxmlformats.org/officeDocument/2006/relationships/hyperlink" Target="https://b2beez.ru/images/detailed/173/6228542333.jpg" TargetMode="External"/><Relationship Id="rId_hyperlink_4057" Type="http://schemas.openxmlformats.org/officeDocument/2006/relationships/hyperlink" Target="https://b2beez.ru/images/detailed/173/orig_s2or-ul.jpg" TargetMode="External"/><Relationship Id="rId_hyperlink_4058" Type="http://schemas.openxmlformats.org/officeDocument/2006/relationships/hyperlink" Target="https://b2beez.ru/images/detailed/48/orig_nhxa-6x.jpg" TargetMode="External"/><Relationship Id="rId_hyperlink_4059" Type="http://schemas.openxmlformats.org/officeDocument/2006/relationships/hyperlink" Target="https://b2beez.ru/images/detailed/168/6224628372.jpg" TargetMode="External"/><Relationship Id="rId_hyperlink_4060" Type="http://schemas.openxmlformats.org/officeDocument/2006/relationships/hyperlink" Target="https://b2beez.ru/images/detailed/168/6224628366.jpg" TargetMode="External"/><Relationship Id="rId_hyperlink_4061" Type="http://schemas.openxmlformats.org/officeDocument/2006/relationships/hyperlink" Target="https://b2beez.ru/images/detailed/181/6242638854.jpg" TargetMode="External"/><Relationship Id="rId_hyperlink_4062" Type="http://schemas.openxmlformats.org/officeDocument/2006/relationships/hyperlink" Target="https://b2beez.ru/images/detailed/153/orig_h3h5-4x.jpg" TargetMode="External"/><Relationship Id="rId_hyperlink_4063" Type="http://schemas.openxmlformats.org/officeDocument/2006/relationships/hyperlink" Target="https://b2beez.ru/images/detailed/153/7132497014.jpg" TargetMode="External"/><Relationship Id="rId_hyperlink_4064" Type="http://schemas.openxmlformats.org/officeDocument/2006/relationships/hyperlink" Target="https://b2beez.ru/images/detailed/153/7132498716.jpg" TargetMode="External"/><Relationship Id="rId_hyperlink_4065" Type="http://schemas.openxmlformats.org/officeDocument/2006/relationships/hyperlink" Target="https://b2beez.ru/images/detailed/153/orig_er61-s9.jpg" TargetMode="External"/><Relationship Id="rId_hyperlink_4066" Type="http://schemas.openxmlformats.org/officeDocument/2006/relationships/hyperlink" Target="https://b2beez.ru/images/detailed/153/orig_z2gr-w9.jpg" TargetMode="External"/><Relationship Id="rId_hyperlink_4067" Type="http://schemas.openxmlformats.org/officeDocument/2006/relationships/hyperlink" Target="https://b2beez.ru/images/detailed/153/orig_jm7b-yw.jpg" TargetMode="External"/><Relationship Id="rId_hyperlink_4068" Type="http://schemas.openxmlformats.org/officeDocument/2006/relationships/hyperlink" Target="https://b2beez.ru/images/detailed/153/orig_as7o-xw.jpg" TargetMode="External"/><Relationship Id="rId_hyperlink_4069" Type="http://schemas.openxmlformats.org/officeDocument/2006/relationships/hyperlink" Target="https://b2beez.ru/images/detailed/153/orig_7n5x-hu.jpg" TargetMode="External"/><Relationship Id="rId_hyperlink_4070" Type="http://schemas.openxmlformats.org/officeDocument/2006/relationships/hyperlink" Target="https://b2beez.ru/images/detailed/153/orig_da2o-75.jpg" TargetMode="External"/><Relationship Id="rId_hyperlink_4071" Type="http://schemas.openxmlformats.org/officeDocument/2006/relationships/hyperlink" Target="https://b2beez.ru/images/detailed/153/orig_84gw-gq.jpg" TargetMode="External"/><Relationship Id="rId_hyperlink_4072" Type="http://schemas.openxmlformats.org/officeDocument/2006/relationships/hyperlink" Target="https://b2beez.ru/images/detailed/154/6241082450.jpg" TargetMode="External"/><Relationship Id="rId_hyperlink_4073" Type="http://schemas.openxmlformats.org/officeDocument/2006/relationships/hyperlink" Target="https://b2beez.ru/images/detailed/154/6230975822.jpg" TargetMode="External"/><Relationship Id="rId_hyperlink_4074" Type="http://schemas.openxmlformats.org/officeDocument/2006/relationships/hyperlink" Target="https://b2beez.ru/images/detailed/154/6230975822_dpo2-a1.jpg" TargetMode="External"/><Relationship Id="rId_hyperlink_4075" Type="http://schemas.openxmlformats.org/officeDocument/2006/relationships/hyperlink" Target="https://b2beez.ru/images/detailed/154/6230975853.jpg" TargetMode="External"/><Relationship Id="rId_hyperlink_4076" Type="http://schemas.openxmlformats.org/officeDocument/2006/relationships/hyperlink" Target="https://b2beez.ru/images/detailed/154/orig_aivw-7c.jpg" TargetMode="External"/><Relationship Id="rId_hyperlink_4077" Type="http://schemas.openxmlformats.org/officeDocument/2006/relationships/hyperlink" Target="https://b2beez.ru/images/detailed/154/orig_5ndq-hy.jpg" TargetMode="External"/><Relationship Id="rId_hyperlink_4078" Type="http://schemas.openxmlformats.org/officeDocument/2006/relationships/hyperlink" Target="https://b2beez.ru/images/detailed/154/orig_5lry-5b.jpg" TargetMode="External"/><Relationship Id="rId_hyperlink_4079" Type="http://schemas.openxmlformats.org/officeDocument/2006/relationships/hyperlink" Target="https://b2beez.ru/images/detailed/154/6843719149.jpg" TargetMode="External"/><Relationship Id="rId_hyperlink_4080" Type="http://schemas.openxmlformats.org/officeDocument/2006/relationships/hyperlink" Target="https://b2beez.ru/images/detailed/154/orig_rzyw-e9.jpg" TargetMode="External"/><Relationship Id="rId_hyperlink_4081" Type="http://schemas.openxmlformats.org/officeDocument/2006/relationships/hyperlink" Target="https://b2beez.ru/images/detailed/155/orig_ltlh-f7.jpg" TargetMode="External"/><Relationship Id="rId_hyperlink_4082" Type="http://schemas.openxmlformats.org/officeDocument/2006/relationships/hyperlink" Target="https://b2beez.ru/images/detailed/155/orig_h5zr-9g.jpg" TargetMode="External"/><Relationship Id="rId_hyperlink_4083" Type="http://schemas.openxmlformats.org/officeDocument/2006/relationships/hyperlink" Target="https://b2beez.ru/images/detailed/155/orig_p104-g8.jpg" TargetMode="External"/><Relationship Id="rId_hyperlink_4084" Type="http://schemas.openxmlformats.org/officeDocument/2006/relationships/hyperlink" Target="https://b2beez.ru/images/detailed/155/orig_4b72-dz.jpg" TargetMode="External"/><Relationship Id="rId_hyperlink_4085" Type="http://schemas.openxmlformats.org/officeDocument/2006/relationships/hyperlink" Target="https://b2beez.ru/images/detailed/155/orig_to0j-1m.jpg" TargetMode="External"/><Relationship Id="rId_hyperlink_4086" Type="http://schemas.openxmlformats.org/officeDocument/2006/relationships/hyperlink" Target="https://b2beez.ru/images/detailed/155/7061829643.jpg" TargetMode="External"/><Relationship Id="rId_hyperlink_4087" Type="http://schemas.openxmlformats.org/officeDocument/2006/relationships/hyperlink" Target="https://b2beez.ru/images/detailed/155/7070965284.jpg" TargetMode="External"/><Relationship Id="rId_hyperlink_4088" Type="http://schemas.openxmlformats.org/officeDocument/2006/relationships/hyperlink" Target="https://b2beez.ru/images/detailed/155/orig_pwtn-gi.jpg" TargetMode="External"/><Relationship Id="rId_hyperlink_4089" Type="http://schemas.openxmlformats.org/officeDocument/2006/relationships/hyperlink" Target="https://b2beez.ru/images/detailed/156/orig_qvev-md.jpg" TargetMode="External"/><Relationship Id="rId_hyperlink_4090" Type="http://schemas.openxmlformats.org/officeDocument/2006/relationships/hyperlink" Target="https://b2beez.ru/images/detailed/157/7064688926.jpg" TargetMode="External"/><Relationship Id="rId_hyperlink_4091" Type="http://schemas.openxmlformats.org/officeDocument/2006/relationships/hyperlink" Target="https://b2beez.ru/images/detailed/158/6230975948.jpg" TargetMode="External"/><Relationship Id="rId_hyperlink_4092" Type="http://schemas.openxmlformats.org/officeDocument/2006/relationships/hyperlink" Target="https://b2beez.ru/images/detailed/158/6230976743.jpg" TargetMode="External"/><Relationship Id="rId_hyperlink_4093" Type="http://schemas.openxmlformats.org/officeDocument/2006/relationships/hyperlink" Target="https://b2beez.ru/images/detailed/159/orig_ivwt-25.jpg" TargetMode="External"/><Relationship Id="rId_hyperlink_4094" Type="http://schemas.openxmlformats.org/officeDocument/2006/relationships/hyperlink" Target="https://b2beez.ru/images/detailed/159/orig_3jox-91.jpg" TargetMode="External"/><Relationship Id="rId_hyperlink_4095" Type="http://schemas.openxmlformats.org/officeDocument/2006/relationships/hyperlink" Target="https://b2beez.ru/images/detailed/159/orig_8kzo-ew.jpg" TargetMode="External"/><Relationship Id="rId_hyperlink_4096" Type="http://schemas.openxmlformats.org/officeDocument/2006/relationships/hyperlink" Target="https://b2beez.ru/images/detailed/160/orig_n9dc-n9.jpg" TargetMode="External"/><Relationship Id="rId_hyperlink_4097" Type="http://schemas.openxmlformats.org/officeDocument/2006/relationships/hyperlink" Target="https://b2beez.ru/images/detailed/160/6228296561.jpg" TargetMode="External"/><Relationship Id="rId_hyperlink_4098" Type="http://schemas.openxmlformats.org/officeDocument/2006/relationships/hyperlink" Target="https://b2beez.ru/images/detailed/160/orig_281w-vq.jpg" TargetMode="External"/><Relationship Id="rId_hyperlink_4099" Type="http://schemas.openxmlformats.org/officeDocument/2006/relationships/hyperlink" Target="https://b2beez.ru/images/detailed/160/6228296206.jpg" TargetMode="External"/><Relationship Id="rId_hyperlink_4100" Type="http://schemas.openxmlformats.org/officeDocument/2006/relationships/hyperlink" Target="https://b2beez.ru/images/detailed/160/orig_ytp9-kc.jpg" TargetMode="External"/><Relationship Id="rId_hyperlink_4101" Type="http://schemas.openxmlformats.org/officeDocument/2006/relationships/hyperlink" Target="https://b2beez.ru/images/detailed/160/6489014363.jpg" TargetMode="External"/><Relationship Id="rId_hyperlink_4102" Type="http://schemas.openxmlformats.org/officeDocument/2006/relationships/hyperlink" Target="https://b2beez.ru/images/detailed/160/orig_bl0i-kn.jpg" TargetMode="External"/><Relationship Id="rId_hyperlink_4103" Type="http://schemas.openxmlformats.org/officeDocument/2006/relationships/hyperlink" Target="https://b2beez.ru/images/detailed/161/6230649005.jpg" TargetMode="External"/><Relationship Id="rId_hyperlink_4104" Type="http://schemas.openxmlformats.org/officeDocument/2006/relationships/hyperlink" Target="https://b2beez.ru/images/detailed/161/orig_b8bv-1s.jpg" TargetMode="External"/><Relationship Id="rId_hyperlink_4105" Type="http://schemas.openxmlformats.org/officeDocument/2006/relationships/hyperlink" Target="https://b2beez.ru/images/detailed/161/6226566663.jpg" TargetMode="External"/><Relationship Id="rId_hyperlink_4106" Type="http://schemas.openxmlformats.org/officeDocument/2006/relationships/hyperlink" Target="https://b2beez.ru/images/detailed/161/orig_wyaf-4c.jpg" TargetMode="External"/><Relationship Id="rId_hyperlink_4107" Type="http://schemas.openxmlformats.org/officeDocument/2006/relationships/hyperlink" Target="https://b2beez.ru/images/detailed/161/7099747385.jpg" TargetMode="External"/><Relationship Id="rId_hyperlink_4108" Type="http://schemas.openxmlformats.org/officeDocument/2006/relationships/hyperlink" Target="https://b2beez.ru/images/detailed/161/7100698767.jpg" TargetMode="External"/><Relationship Id="rId_hyperlink_4109" Type="http://schemas.openxmlformats.org/officeDocument/2006/relationships/hyperlink" Target="https://b2beez.ru/images/detailed/161/orig_v9sv-vk.jpg" TargetMode="External"/><Relationship Id="rId_hyperlink_4110" Type="http://schemas.openxmlformats.org/officeDocument/2006/relationships/hyperlink" Target="https://b2beez.ru/images/detailed/162/orig_ibt2-7p.jpg" TargetMode="External"/><Relationship Id="rId_hyperlink_4111" Type="http://schemas.openxmlformats.org/officeDocument/2006/relationships/hyperlink" Target="https://b2beez.ru/images/detailed/162/6228734429.jpg" TargetMode="External"/><Relationship Id="rId_hyperlink_4112" Type="http://schemas.openxmlformats.org/officeDocument/2006/relationships/hyperlink" Target="https://b2beez.ru/images/detailed/162/orig_bb3v-gq.jpg" TargetMode="External"/><Relationship Id="rId_hyperlink_4113" Type="http://schemas.openxmlformats.org/officeDocument/2006/relationships/hyperlink" Target="https://b2beez.ru/images/detailed/162/orig_k5ey-db.jpg" TargetMode="External"/><Relationship Id="rId_hyperlink_4114" Type="http://schemas.openxmlformats.org/officeDocument/2006/relationships/hyperlink" Target="https://b2beez.ru/images/detailed/162/6230976794.jpg" TargetMode="External"/><Relationship Id="rId_hyperlink_4115" Type="http://schemas.openxmlformats.org/officeDocument/2006/relationships/hyperlink" Target="https://b2beez.ru/images/detailed/204/G-571.jpg" TargetMode="External"/><Relationship Id="rId_hyperlink_4116" Type="http://schemas.openxmlformats.org/officeDocument/2006/relationships/hyperlink" Target="https://b2beez.ru/images/detailed/162/orig_urag-dc.jpg" TargetMode="External"/><Relationship Id="rId_hyperlink_4117" Type="http://schemas.openxmlformats.org/officeDocument/2006/relationships/hyperlink" Target="https://b2beez.ru/images/detailed/162/orig_0a2o-km.jpg" TargetMode="External"/><Relationship Id="rId_hyperlink_4118" Type="http://schemas.openxmlformats.org/officeDocument/2006/relationships/hyperlink" Target="https://b2beez.ru/images/detailed/162/orig_jm2l-0m.jpg" TargetMode="External"/><Relationship Id="rId_hyperlink_4119" Type="http://schemas.openxmlformats.org/officeDocument/2006/relationships/hyperlink" Target="https://b2beez.ru/images/detailed/162/6230977673.jpg" TargetMode="External"/><Relationship Id="rId_hyperlink_4120" Type="http://schemas.openxmlformats.org/officeDocument/2006/relationships/hyperlink" Target="https://b2beez.ru/images/detailed/163/7062961401.jpg" TargetMode="External"/><Relationship Id="rId_hyperlink_4121" Type="http://schemas.openxmlformats.org/officeDocument/2006/relationships/hyperlink" Target="https://b2beez.ru/images/detailed/163/orig_kpbe-rw.jpg" TargetMode="External"/><Relationship Id="rId_hyperlink_4122" Type="http://schemas.openxmlformats.org/officeDocument/2006/relationships/hyperlink" Target="https://b2beez.ru/images/detailed/163/orig_39p8-a8.jpg" TargetMode="External"/><Relationship Id="rId_hyperlink_4123" Type="http://schemas.openxmlformats.org/officeDocument/2006/relationships/hyperlink" Target="https://b2beez.ru/images/detailed/164/7062129683.jpg" TargetMode="External"/><Relationship Id="rId_hyperlink_4124" Type="http://schemas.openxmlformats.org/officeDocument/2006/relationships/hyperlink" Target="https://b2beez.ru/images/detailed/165/orig_dzv9-a0.jpg" TargetMode="External"/><Relationship Id="rId_hyperlink_4125" Type="http://schemas.openxmlformats.org/officeDocument/2006/relationships/hyperlink" Target="https://b2beez.ru/images/detailed/166/6224627748_zftj-rx.jpg" TargetMode="External"/><Relationship Id="rId_hyperlink_4126" Type="http://schemas.openxmlformats.org/officeDocument/2006/relationships/hyperlink" Target="https://b2beez.ru/images/detailed/166/6224627748_wew3-0j.jpg" TargetMode="External"/><Relationship Id="rId_hyperlink_4127" Type="http://schemas.openxmlformats.org/officeDocument/2006/relationships/hyperlink" Target="https://b2beez.ru/images/detailed/166/orig_8kcl-vs.jpg" TargetMode="External"/><Relationship Id="rId_hyperlink_4128" Type="http://schemas.openxmlformats.org/officeDocument/2006/relationships/hyperlink" Target="https://b2beez.ru/images/detailed/166/orig_t6mm-kk.jpg" TargetMode="External"/><Relationship Id="rId_hyperlink_4129" Type="http://schemas.openxmlformats.org/officeDocument/2006/relationships/hyperlink" Target="https://b2beez.ru/images/detailed/166/orig_ydt5-1h.jpg" TargetMode="External"/><Relationship Id="rId_hyperlink_4130" Type="http://schemas.openxmlformats.org/officeDocument/2006/relationships/hyperlink" Target="https://b2beez.ru/images/detailed/166/6224627748_1z8n-ep.jpg" TargetMode="External"/><Relationship Id="rId_hyperlink_4131" Type="http://schemas.openxmlformats.org/officeDocument/2006/relationships/hyperlink" Target="https://b2beez.ru/images/detailed/166/6224627748_wuvx-ty.jpg" TargetMode="External"/><Relationship Id="rId_hyperlink_4132" Type="http://schemas.openxmlformats.org/officeDocument/2006/relationships/hyperlink" Target="https://b2beez.ru/images/detailed/166/7099757414.jpg" TargetMode="External"/><Relationship Id="rId_hyperlink_4133" Type="http://schemas.openxmlformats.org/officeDocument/2006/relationships/hyperlink" Target="https://b2beez.ru/images/detailed/166/orig_rq3a-ab.jpg" TargetMode="External"/><Relationship Id="rId_hyperlink_4134" Type="http://schemas.openxmlformats.org/officeDocument/2006/relationships/hyperlink" Target="https://b2beez.ru/images/detailed/166/6224627748_7cd0-1c.jpg" TargetMode="External"/><Relationship Id="rId_hyperlink_4135" Type="http://schemas.openxmlformats.org/officeDocument/2006/relationships/hyperlink" Target="https://b2beez.ru/images/detailed/166/orig_xo6y-5x.jpg" TargetMode="External"/><Relationship Id="rId_hyperlink_4136" Type="http://schemas.openxmlformats.org/officeDocument/2006/relationships/hyperlink" Target="https://b2beez.ru/images/detailed/166/6224627748_at1m-po.jpg" TargetMode="External"/><Relationship Id="rId_hyperlink_4137" Type="http://schemas.openxmlformats.org/officeDocument/2006/relationships/hyperlink" Target="https://b2beez.ru/images/detailed/166/6224627748_1r6y-gy.jpg" TargetMode="External"/><Relationship Id="rId_hyperlink_4138" Type="http://schemas.openxmlformats.org/officeDocument/2006/relationships/hyperlink" Target="https://b2beez.ru/images/detailed/166/6230977645.jpg" TargetMode="External"/><Relationship Id="rId_hyperlink_4139" Type="http://schemas.openxmlformats.org/officeDocument/2006/relationships/hyperlink" Target="https://b2beez.ru/images/detailed/166/6230976473.jpg" TargetMode="External"/><Relationship Id="rId_hyperlink_4140" Type="http://schemas.openxmlformats.org/officeDocument/2006/relationships/hyperlink" Target="https://b2beez.ru/images/detailed/166/orig_3ajt-x9.jpg" TargetMode="External"/><Relationship Id="rId_hyperlink_4141" Type="http://schemas.openxmlformats.org/officeDocument/2006/relationships/hyperlink" Target="https://b2beez.ru/images/detailed/166/6230518208.jpg" TargetMode="External"/><Relationship Id="rId_hyperlink_4142" Type="http://schemas.openxmlformats.org/officeDocument/2006/relationships/hyperlink" Target="https://b2beez.ru/images/detailed/166/7180995750.jpg" TargetMode="External"/><Relationship Id="rId_hyperlink_4143" Type="http://schemas.openxmlformats.org/officeDocument/2006/relationships/hyperlink" Target="https://b2beez.ru/images/detailed/166/orig_56pu-bf.jpg" TargetMode="External"/><Relationship Id="rId_hyperlink_4144" Type="http://schemas.openxmlformats.org/officeDocument/2006/relationships/hyperlink" Target="https://b2beez.ru/images/detailed/166/orig_inl7-69.jpg" TargetMode="External"/><Relationship Id="rId_hyperlink_4145" Type="http://schemas.openxmlformats.org/officeDocument/2006/relationships/hyperlink" Target="https://b2beez.ru/images/detailed/166/orig_24f9-ak.jpg" TargetMode="External"/><Relationship Id="rId_hyperlink_4146" Type="http://schemas.openxmlformats.org/officeDocument/2006/relationships/hyperlink" Target="https://b2beez.ru/images/detailed/166/6417447688.jpg" TargetMode="External"/><Relationship Id="rId_hyperlink_4147" Type="http://schemas.openxmlformats.org/officeDocument/2006/relationships/hyperlink" Target="https://b2beez.ru/images/detailed/166/orig_1966-n1.jpg" TargetMode="External"/><Relationship Id="rId_hyperlink_4148" Type="http://schemas.openxmlformats.org/officeDocument/2006/relationships/hyperlink" Target="https://b2beez.ru/images/detailed/166/6224627748_26kc-r7.jpg" TargetMode="External"/><Relationship Id="rId_hyperlink_4149" Type="http://schemas.openxmlformats.org/officeDocument/2006/relationships/hyperlink" Target="https://b2beez.ru/images/detailed/204/K-2382-2.jpg" TargetMode="External"/><Relationship Id="rId_hyperlink_4150" Type="http://schemas.openxmlformats.org/officeDocument/2006/relationships/hyperlink" Target="https://b2beez.ru/images/detailed/166/6228296256.jpg" TargetMode="External"/><Relationship Id="rId_hyperlink_4151" Type="http://schemas.openxmlformats.org/officeDocument/2006/relationships/hyperlink" Target="https://b2beez.ru/images/detailed/166/6204106071.jpg" TargetMode="External"/><Relationship Id="rId_hyperlink_4152" Type="http://schemas.openxmlformats.org/officeDocument/2006/relationships/hyperlink" Target="https://b2beez.ru/images/detailed/166/orig_qq21-3e.jpg" TargetMode="External"/><Relationship Id="rId_hyperlink_4153" Type="http://schemas.openxmlformats.org/officeDocument/2006/relationships/hyperlink" Target="https://b2beez.ru/images/detailed/166/orig_aggk-48.jpg" TargetMode="External"/><Relationship Id="rId_hyperlink_4154" Type="http://schemas.openxmlformats.org/officeDocument/2006/relationships/hyperlink" Target="https://b2beez.ru/images/detailed/167/7155750550.jpg" TargetMode="External"/><Relationship Id="rId_hyperlink_4155" Type="http://schemas.openxmlformats.org/officeDocument/2006/relationships/hyperlink" Target="https://b2beez.ru/images/detailed/167/orig_kxi5-w7.jpg" TargetMode="External"/><Relationship Id="rId_hyperlink_4156" Type="http://schemas.openxmlformats.org/officeDocument/2006/relationships/hyperlink" Target="https://b2beez.ru/images/detailed/167/6224782544.jpg" TargetMode="External"/><Relationship Id="rId_hyperlink_4157" Type="http://schemas.openxmlformats.org/officeDocument/2006/relationships/hyperlink" Target="https://b2beez.ru/images/detailed/167/6224782633.jpg" TargetMode="External"/><Relationship Id="rId_hyperlink_4158" Type="http://schemas.openxmlformats.org/officeDocument/2006/relationships/hyperlink" Target="https://b2beez.ru/images/detailed/167/orig_pfgi-rn.jpg" TargetMode="External"/><Relationship Id="rId_hyperlink_4159" Type="http://schemas.openxmlformats.org/officeDocument/2006/relationships/hyperlink" Target="https://b2beez.ru/images/detailed/167/orig_8bo4-l8.jpg" TargetMode="External"/><Relationship Id="rId_hyperlink_4160" Type="http://schemas.openxmlformats.org/officeDocument/2006/relationships/hyperlink" Target="https://b2beez.ru/images/detailed/167/6224627914.jpg" TargetMode="External"/><Relationship Id="rId_hyperlink_4161" Type="http://schemas.openxmlformats.org/officeDocument/2006/relationships/hyperlink" Target="https://b2beez.ru/images/detailed/167/6321345539.jpg" TargetMode="External"/><Relationship Id="rId_hyperlink_4162" Type="http://schemas.openxmlformats.org/officeDocument/2006/relationships/hyperlink" Target="https://b2beez.ru/images/detailed/167/6224627885_msyq-s5.jpg" TargetMode="External"/><Relationship Id="rId_hyperlink_4163" Type="http://schemas.openxmlformats.org/officeDocument/2006/relationships/hyperlink" Target="https://b2beez.ru/images/detailed/167/6224627885_q7kk-6a.jpg" TargetMode="External"/><Relationship Id="rId_hyperlink_4164" Type="http://schemas.openxmlformats.org/officeDocument/2006/relationships/hyperlink" Target="https://b2beez.ru/images/detailed/167/6224627885_6hgl-ng.jpg" TargetMode="External"/><Relationship Id="rId_hyperlink_4165" Type="http://schemas.openxmlformats.org/officeDocument/2006/relationships/hyperlink" Target="https://b2beez.ru/images/detailed/167/6224627914_rqtk-iz.jpg" TargetMode="External"/><Relationship Id="rId_hyperlink_4166" Type="http://schemas.openxmlformats.org/officeDocument/2006/relationships/hyperlink" Target="https://b2beez.ru/images/detailed/167/6224627914_n1dx-57.jpg" TargetMode="External"/><Relationship Id="rId_hyperlink_4167" Type="http://schemas.openxmlformats.org/officeDocument/2006/relationships/hyperlink" Target="https://b2beez.ru/images/detailed/167/6224627914_mrq9-qy.jpg" TargetMode="External"/><Relationship Id="rId_hyperlink_4168" Type="http://schemas.openxmlformats.org/officeDocument/2006/relationships/hyperlink" Target="https://b2beez.ru/images/detailed/167/6224627914_4w5z-1x.jpg" TargetMode="External"/><Relationship Id="rId_hyperlink_4169" Type="http://schemas.openxmlformats.org/officeDocument/2006/relationships/hyperlink" Target="https://b2beez.ru/images/detailed/167/6224627914_xggq-o4.jpg" TargetMode="External"/><Relationship Id="rId_hyperlink_4170" Type="http://schemas.openxmlformats.org/officeDocument/2006/relationships/hyperlink" Target="https://b2beez.ru/images/detailed/167/6224628217.jpg" TargetMode="External"/><Relationship Id="rId_hyperlink_4171" Type="http://schemas.openxmlformats.org/officeDocument/2006/relationships/hyperlink" Target="https://b2beez.ru/images/detailed/167/6224627914_pzb1-8z.jpg" TargetMode="External"/><Relationship Id="rId_hyperlink_4172" Type="http://schemas.openxmlformats.org/officeDocument/2006/relationships/hyperlink" Target="https://b2beez.ru/images/detailed/167/6224627914_mza1-2m.jpg" TargetMode="External"/><Relationship Id="rId_hyperlink_4173" Type="http://schemas.openxmlformats.org/officeDocument/2006/relationships/hyperlink" Target="https://b2beez.ru/images/detailed/167/6224627914_6rpj-xz.jpg" TargetMode="External"/><Relationship Id="rId_hyperlink_4174" Type="http://schemas.openxmlformats.org/officeDocument/2006/relationships/hyperlink" Target="https://b2beez.ru/images/detailed/167/orig_mn19-z1.jpg" TargetMode="External"/><Relationship Id="rId_hyperlink_4175" Type="http://schemas.openxmlformats.org/officeDocument/2006/relationships/hyperlink" Target="https://b2beez.ru/images/detailed/167/orig_8r1f-ck.jpg" TargetMode="External"/><Relationship Id="rId_hyperlink_4176" Type="http://schemas.openxmlformats.org/officeDocument/2006/relationships/hyperlink" Target="https://b2beez.ru/images/detailed/167/6224627696.jpg" TargetMode="External"/><Relationship Id="rId_hyperlink_4177" Type="http://schemas.openxmlformats.org/officeDocument/2006/relationships/hyperlink" Target="https://b2beez.ru/images/detailed/167/6224627696_0lnb-st.jpg" TargetMode="External"/><Relationship Id="rId_hyperlink_4178" Type="http://schemas.openxmlformats.org/officeDocument/2006/relationships/hyperlink" Target="https://b2beez.ru/images/detailed/167/6224627696_sen7-6w.jpg" TargetMode="External"/><Relationship Id="rId_hyperlink_4179" Type="http://schemas.openxmlformats.org/officeDocument/2006/relationships/hyperlink" Target="https://b2beez.ru/images/detailed/167/6224627696_l02e-xz.jpg" TargetMode="External"/><Relationship Id="rId_hyperlink_4180" Type="http://schemas.openxmlformats.org/officeDocument/2006/relationships/hyperlink" Target="https://b2beez.ru/images/detailed/167/6224627696_4rk3-gw.jpg" TargetMode="External"/><Relationship Id="rId_hyperlink_4181" Type="http://schemas.openxmlformats.org/officeDocument/2006/relationships/hyperlink" Target="https://b2beez.ru/images/detailed/167/6224627696_cgfs-jg.jpg" TargetMode="External"/><Relationship Id="rId_hyperlink_4182" Type="http://schemas.openxmlformats.org/officeDocument/2006/relationships/hyperlink" Target="https://b2beez.ru/images/detailed/167/6224627696_6d5f-no.jpg" TargetMode="External"/><Relationship Id="rId_hyperlink_4183" Type="http://schemas.openxmlformats.org/officeDocument/2006/relationships/hyperlink" Target="https://b2beez.ru/images/detailed/167/6224627696_sct8-5t.jpg" TargetMode="External"/><Relationship Id="rId_hyperlink_4184" Type="http://schemas.openxmlformats.org/officeDocument/2006/relationships/hyperlink" Target="https://b2beez.ru/images/detailed/167/orig_h257-av.jpg" TargetMode="External"/><Relationship Id="rId_hyperlink_4185" Type="http://schemas.openxmlformats.org/officeDocument/2006/relationships/hyperlink" Target="https://b2beez.ru/images/detailed/167/6224627832_8jm4-he.jpg" TargetMode="External"/><Relationship Id="rId_hyperlink_4186" Type="http://schemas.openxmlformats.org/officeDocument/2006/relationships/hyperlink" Target="https://b2beez.ru/images/detailed/167/6224627832_k9dk-so.jpg" TargetMode="External"/><Relationship Id="rId_hyperlink_4187" Type="http://schemas.openxmlformats.org/officeDocument/2006/relationships/hyperlink" Target="https://b2beez.ru/images/detailed/167/6224627832_sgd6-2s.jpg" TargetMode="External"/><Relationship Id="rId_hyperlink_4188" Type="http://schemas.openxmlformats.org/officeDocument/2006/relationships/hyperlink" Target="https://b2beez.ru/images/detailed/167/6224627832_iovx-6u.jpg" TargetMode="External"/><Relationship Id="rId_hyperlink_4189" Type="http://schemas.openxmlformats.org/officeDocument/2006/relationships/hyperlink" Target="https://b2beez.ru/images/detailed/167/6224627832_g89j-v6.jpg" TargetMode="External"/><Relationship Id="rId_hyperlink_4190" Type="http://schemas.openxmlformats.org/officeDocument/2006/relationships/hyperlink" Target="https://b2beez.ru/images/detailed/167/orig_7l0t-y1.jpg" TargetMode="External"/><Relationship Id="rId_hyperlink_4191" Type="http://schemas.openxmlformats.org/officeDocument/2006/relationships/hyperlink" Target="https://b2beez.ru/images/detailed/167/orig_id4t-22.jpg" TargetMode="External"/><Relationship Id="rId_hyperlink_4192" Type="http://schemas.openxmlformats.org/officeDocument/2006/relationships/hyperlink" Target="https://b2beez.ru/images/detailed/167/6265192398.jpg" TargetMode="External"/><Relationship Id="rId_hyperlink_4193" Type="http://schemas.openxmlformats.org/officeDocument/2006/relationships/hyperlink" Target="https://b2beez.ru/images/detailed/167/orig_d27f-sx.jpg" TargetMode="External"/><Relationship Id="rId_hyperlink_4194" Type="http://schemas.openxmlformats.org/officeDocument/2006/relationships/hyperlink" Target="https://b2beez.ru/images/detailed/167/6224627720_e3c4-yj.jpg" TargetMode="External"/><Relationship Id="rId_hyperlink_4195" Type="http://schemas.openxmlformats.org/officeDocument/2006/relationships/hyperlink" Target="https://b2beez.ru/images/detailed/167/6224627720_8pmz-i8.jpg" TargetMode="External"/><Relationship Id="rId_hyperlink_4196" Type="http://schemas.openxmlformats.org/officeDocument/2006/relationships/hyperlink" Target="https://b2beez.ru/images/detailed/167/6224627964_0cof-2d.jpg" TargetMode="External"/><Relationship Id="rId_hyperlink_4197" Type="http://schemas.openxmlformats.org/officeDocument/2006/relationships/hyperlink" Target="https://b2beez.ru/images/detailed/167/6224627964_salw-n4.jpg" TargetMode="External"/><Relationship Id="rId_hyperlink_4198" Type="http://schemas.openxmlformats.org/officeDocument/2006/relationships/hyperlink" Target="https://b2beez.ru/images/detailed/167/orig_2c3o-88.jpg" TargetMode="External"/><Relationship Id="rId_hyperlink_4199" Type="http://schemas.openxmlformats.org/officeDocument/2006/relationships/hyperlink" Target="https://b2beez.ru/images/detailed/167/orig_su6a-my.jpg" TargetMode="External"/><Relationship Id="rId_hyperlink_4200" Type="http://schemas.openxmlformats.org/officeDocument/2006/relationships/hyperlink" Target="https://b2beez.ru/images/detailed/167/6224627796_corm-7h.jpg" TargetMode="External"/><Relationship Id="rId_hyperlink_4201" Type="http://schemas.openxmlformats.org/officeDocument/2006/relationships/hyperlink" Target="https://b2beez.ru/images/detailed/167/6224627796_20uj-52.jpg" TargetMode="External"/><Relationship Id="rId_hyperlink_4202" Type="http://schemas.openxmlformats.org/officeDocument/2006/relationships/hyperlink" Target="https://b2beez.ru/images/detailed/167/orig_y9a5-r3.jpg" TargetMode="External"/><Relationship Id="rId_hyperlink_4203" Type="http://schemas.openxmlformats.org/officeDocument/2006/relationships/hyperlink" Target="https://b2beez.ru/images/detailed/167/6224628049_qicg-mc.jpg" TargetMode="External"/><Relationship Id="rId_hyperlink_4204" Type="http://schemas.openxmlformats.org/officeDocument/2006/relationships/hyperlink" Target="https://b2beez.ru/images/detailed/167/6224628049_o3j2-fx.jpg" TargetMode="External"/><Relationship Id="rId_hyperlink_4205" Type="http://schemas.openxmlformats.org/officeDocument/2006/relationships/hyperlink" Target="https://b2beez.ru/images/detailed/167/orig_l41r-8p.jpg" TargetMode="External"/><Relationship Id="rId_hyperlink_4206" Type="http://schemas.openxmlformats.org/officeDocument/2006/relationships/hyperlink" Target="https://b2beez.ru/images/detailed/167/orig_bjxo-b8.jpg" TargetMode="External"/><Relationship Id="rId_hyperlink_4207" Type="http://schemas.openxmlformats.org/officeDocument/2006/relationships/hyperlink" Target="https://b2beez.ru/images/detailed/167/orig_vz4u-1q.jpg" TargetMode="External"/><Relationship Id="rId_hyperlink_4208" Type="http://schemas.openxmlformats.org/officeDocument/2006/relationships/hyperlink" Target="https://b2beez.ru/images/detailed/167/orig_2u05-2d.jpg" TargetMode="External"/><Relationship Id="rId_hyperlink_4209" Type="http://schemas.openxmlformats.org/officeDocument/2006/relationships/hyperlink" Target="https://b2beez.ru/images/detailed/168/orig_h0lr-mn.jpg" TargetMode="External"/><Relationship Id="rId_hyperlink_4210" Type="http://schemas.openxmlformats.org/officeDocument/2006/relationships/hyperlink" Target="https://b2beez.ru/images/detailed/168/6770312084.jpg" TargetMode="External"/><Relationship Id="rId_hyperlink_4211" Type="http://schemas.openxmlformats.org/officeDocument/2006/relationships/hyperlink" Target="https://b2beez.ru/images/detailed/168/orig_eqnc-5k.jpg" TargetMode="External"/><Relationship Id="rId_hyperlink_4212" Type="http://schemas.openxmlformats.org/officeDocument/2006/relationships/hyperlink" Target="https://b2beez.ru/images/detailed/168/orig_6m4x-uw.jpg" TargetMode="External"/><Relationship Id="rId_hyperlink_4213" Type="http://schemas.openxmlformats.org/officeDocument/2006/relationships/hyperlink" Target="https://b2beez.ru/images/detailed/168/orig_2p37-0y.jpg" TargetMode="External"/><Relationship Id="rId_hyperlink_4214" Type="http://schemas.openxmlformats.org/officeDocument/2006/relationships/hyperlink" Target="https://b2beez.ru/images/detailed/168/6224627827.jpg" TargetMode="External"/><Relationship Id="rId_hyperlink_4215" Type="http://schemas.openxmlformats.org/officeDocument/2006/relationships/hyperlink" Target="https://b2beez.ru/images/detailed/168/6224627825.jpg" TargetMode="External"/><Relationship Id="rId_hyperlink_4216" Type="http://schemas.openxmlformats.org/officeDocument/2006/relationships/hyperlink" Target="https://b2beez.ru/images/detailed/168/orig_2gff-j2.jpg" TargetMode="External"/><Relationship Id="rId_hyperlink_4217" Type="http://schemas.openxmlformats.org/officeDocument/2006/relationships/hyperlink" Target="https://b2beez.ru/images/detailed/168/6231964557.jpg" TargetMode="External"/><Relationship Id="rId_hyperlink_4218" Type="http://schemas.openxmlformats.org/officeDocument/2006/relationships/hyperlink" Target="https://b2beez.ru/images/detailed/168/6224628069.jpg" TargetMode="External"/><Relationship Id="rId_hyperlink_4219" Type="http://schemas.openxmlformats.org/officeDocument/2006/relationships/hyperlink" Target="https://b2beez.ru/images/detailed/168/6224628348.jpg" TargetMode="External"/><Relationship Id="rId_hyperlink_4220" Type="http://schemas.openxmlformats.org/officeDocument/2006/relationships/hyperlink" Target="https://b2beez.ru/images/detailed/168/6224628403.jpg" TargetMode="External"/><Relationship Id="rId_hyperlink_4221" Type="http://schemas.openxmlformats.org/officeDocument/2006/relationships/hyperlink" Target="https://b2beez.ru/images/detailed/168/orig_4ow1-qu.jpg" TargetMode="External"/><Relationship Id="rId_hyperlink_4222" Type="http://schemas.openxmlformats.org/officeDocument/2006/relationships/hyperlink" Target="https://b2beez.ru/images/detailed/168/orig_lwee-19.jpg" TargetMode="External"/><Relationship Id="rId_hyperlink_4223" Type="http://schemas.openxmlformats.org/officeDocument/2006/relationships/hyperlink" Target="https://b2beez.ru/images/detailed/168/7099760108.jpg" TargetMode="External"/><Relationship Id="rId_hyperlink_4224" Type="http://schemas.openxmlformats.org/officeDocument/2006/relationships/hyperlink" Target="https://b2beez.ru/images/detailed/168/orig_ti67-yj.jpg" TargetMode="External"/><Relationship Id="rId_hyperlink_4225" Type="http://schemas.openxmlformats.org/officeDocument/2006/relationships/hyperlink" Target="https://b2beez.ru/images/detailed/168/6224628006.jpg" TargetMode="External"/><Relationship Id="rId_hyperlink_4226" Type="http://schemas.openxmlformats.org/officeDocument/2006/relationships/hyperlink" Target="https://b2beez.ru/images/detailed/168/6224627810_irrv-g0.jpg" TargetMode="External"/><Relationship Id="rId_hyperlink_4227" Type="http://schemas.openxmlformats.org/officeDocument/2006/relationships/hyperlink" Target="https://b2beez.ru/images/detailed/168/6224627825_qzht-16.jpg" TargetMode="External"/><Relationship Id="rId_hyperlink_4228" Type="http://schemas.openxmlformats.org/officeDocument/2006/relationships/hyperlink" Target="https://b2beez.ru/images/detailed/168/6224628004.jpg" TargetMode="External"/><Relationship Id="rId_hyperlink_4229" Type="http://schemas.openxmlformats.org/officeDocument/2006/relationships/hyperlink" Target="https://b2beez.ru/images/detailed/168/6224628066.jpg" TargetMode="External"/><Relationship Id="rId_hyperlink_4230" Type="http://schemas.openxmlformats.org/officeDocument/2006/relationships/hyperlink" Target="https://b2beez.ru/images/detailed/168/orig_7abu-o7.jpg" TargetMode="External"/><Relationship Id="rId_hyperlink_4231" Type="http://schemas.openxmlformats.org/officeDocument/2006/relationships/hyperlink" Target="https://b2beez.ru/images/detailed/168/6224628047.jpg" TargetMode="External"/><Relationship Id="rId_hyperlink_4232" Type="http://schemas.openxmlformats.org/officeDocument/2006/relationships/hyperlink" Target="https://b2beez.ru/images/detailed/168/6224627676.jpg" TargetMode="External"/><Relationship Id="rId_hyperlink_4233" Type="http://schemas.openxmlformats.org/officeDocument/2006/relationships/hyperlink" Target="https://b2beez.ru/images/detailed/168/6224627676_izzt-qt.jpg" TargetMode="External"/><Relationship Id="rId_hyperlink_4234" Type="http://schemas.openxmlformats.org/officeDocument/2006/relationships/hyperlink" Target="https://b2beez.ru/images/detailed/168/6224628197_yqag-ah.jpg" TargetMode="External"/><Relationship Id="rId_hyperlink_4235" Type="http://schemas.openxmlformats.org/officeDocument/2006/relationships/hyperlink" Target="https://b2beez.ru/images/detailed/168/6224627766.jpg" TargetMode="External"/><Relationship Id="rId_hyperlink_4236" Type="http://schemas.openxmlformats.org/officeDocument/2006/relationships/hyperlink" Target="https://b2beez.ru/images/detailed/168/6224627766_h7y9-ub.jpg" TargetMode="External"/><Relationship Id="rId_hyperlink_4237" Type="http://schemas.openxmlformats.org/officeDocument/2006/relationships/hyperlink" Target="https://b2beez.ru/images/detailed/168/6224627676_qbcz-cx.jpg" TargetMode="External"/><Relationship Id="rId_hyperlink_4238" Type="http://schemas.openxmlformats.org/officeDocument/2006/relationships/hyperlink" Target="https://b2beez.ru/images/detailed/168/6224627676_86mi-0l.jpg" TargetMode="External"/><Relationship Id="rId_hyperlink_4239" Type="http://schemas.openxmlformats.org/officeDocument/2006/relationships/hyperlink" Target="https://b2beez.ru/images/detailed/168/6224627698.jpg" TargetMode="External"/><Relationship Id="rId_hyperlink_4240" Type="http://schemas.openxmlformats.org/officeDocument/2006/relationships/hyperlink" Target="https://b2beez.ru/images/detailed/168/6224627698_7hjl-d0.jpg" TargetMode="External"/><Relationship Id="rId_hyperlink_4241" Type="http://schemas.openxmlformats.org/officeDocument/2006/relationships/hyperlink" Target="https://b2beez.ru/images/detailed/168/6224627750.jpg" TargetMode="External"/><Relationship Id="rId_hyperlink_4242" Type="http://schemas.openxmlformats.org/officeDocument/2006/relationships/hyperlink" Target="https://b2beez.ru/images/detailed/168/orig_uqug-n3.jpg" TargetMode="External"/><Relationship Id="rId_hyperlink_4243" Type="http://schemas.openxmlformats.org/officeDocument/2006/relationships/hyperlink" Target="https://b2beez.ru/images/detailed/168/6224628489.jpg" TargetMode="External"/><Relationship Id="rId_hyperlink_4244" Type="http://schemas.openxmlformats.org/officeDocument/2006/relationships/hyperlink" Target="https://b2beez.ru/images/detailed/168/6224628489_jejo-30.jpg" TargetMode="External"/><Relationship Id="rId_hyperlink_4245" Type="http://schemas.openxmlformats.org/officeDocument/2006/relationships/hyperlink" Target="https://b2beez.ru/images/detailed/168/orig_t4uv-d0.jpg" TargetMode="External"/><Relationship Id="rId_hyperlink_4246" Type="http://schemas.openxmlformats.org/officeDocument/2006/relationships/hyperlink" Target="https://b2beez.ru/images/detailed/168/6224627750_153j-7n.jpg" TargetMode="External"/><Relationship Id="rId_hyperlink_4247" Type="http://schemas.openxmlformats.org/officeDocument/2006/relationships/hyperlink" Target="https://b2beez.ru/images/detailed/168/6224627750_mj80-2w.jpg" TargetMode="External"/><Relationship Id="rId_hyperlink_4248" Type="http://schemas.openxmlformats.org/officeDocument/2006/relationships/hyperlink" Target="https://b2beez.ru/images/detailed/168/6224627750_4ez2-b0.jpg" TargetMode="External"/><Relationship Id="rId_hyperlink_4249" Type="http://schemas.openxmlformats.org/officeDocument/2006/relationships/hyperlink" Target="https://b2beez.ru/images/detailed/168/6224627750_8i0n-xx.jpg" TargetMode="External"/><Relationship Id="rId_hyperlink_4250" Type="http://schemas.openxmlformats.org/officeDocument/2006/relationships/hyperlink" Target="https://b2beez.ru/images/detailed/168/6224627750_it5f-tv.jpg" TargetMode="External"/><Relationship Id="rId_hyperlink_4251" Type="http://schemas.openxmlformats.org/officeDocument/2006/relationships/hyperlink" Target="https://b2beez.ru/images/detailed/168/6224627766_bjw2-6g.jpg" TargetMode="External"/><Relationship Id="rId_hyperlink_4252" Type="http://schemas.openxmlformats.org/officeDocument/2006/relationships/hyperlink" Target="https://b2beez.ru/images/detailed/168/6224627750_fzha-qt.jpg" TargetMode="External"/><Relationship Id="rId_hyperlink_4253" Type="http://schemas.openxmlformats.org/officeDocument/2006/relationships/hyperlink" Target="https://b2beez.ru/images/detailed/168/6224628240_mpxg-3y.jpg" TargetMode="External"/><Relationship Id="rId_hyperlink_4254" Type="http://schemas.openxmlformats.org/officeDocument/2006/relationships/hyperlink" Target="https://b2beez.ru/images/detailed/168/6224628240_7gq9-e6.jpg" TargetMode="External"/><Relationship Id="rId_hyperlink_4255" Type="http://schemas.openxmlformats.org/officeDocument/2006/relationships/hyperlink" Target="https://b2beez.ru/images/detailed/168/orig_njvo-8k.jpg" TargetMode="External"/><Relationship Id="rId_hyperlink_4256" Type="http://schemas.openxmlformats.org/officeDocument/2006/relationships/hyperlink" Target="https://b2beez.ru/images/detailed/168/6224627750_7dau-s8.jpg" TargetMode="External"/><Relationship Id="rId_hyperlink_4257" Type="http://schemas.openxmlformats.org/officeDocument/2006/relationships/hyperlink" Target="https://b2beez.ru/images/detailed/168/6224627750_fbk3-12.jpg" TargetMode="External"/><Relationship Id="rId_hyperlink_4258" Type="http://schemas.openxmlformats.org/officeDocument/2006/relationships/hyperlink" Target="https://b2beez.ru/images/detailed/168/6224627750_9ff5-fb.jpg" TargetMode="External"/><Relationship Id="rId_hyperlink_4259" Type="http://schemas.openxmlformats.org/officeDocument/2006/relationships/hyperlink" Target="https://b2beez.ru/images/detailed/168/6224628916.jpg" TargetMode="External"/><Relationship Id="rId_hyperlink_4260" Type="http://schemas.openxmlformats.org/officeDocument/2006/relationships/hyperlink" Target="https://b2beez.ru/images/detailed/168/6224627698_qu3y-02.jpg" TargetMode="External"/><Relationship Id="rId_hyperlink_4261" Type="http://schemas.openxmlformats.org/officeDocument/2006/relationships/hyperlink" Target="https://b2beez.ru/images/detailed/168/6224628197_ifiu-qy.jpg" TargetMode="External"/><Relationship Id="rId_hyperlink_4262" Type="http://schemas.openxmlformats.org/officeDocument/2006/relationships/hyperlink" Target="https://b2beez.ru/images/detailed/168/6224627698_covp-r5.jpg" TargetMode="External"/><Relationship Id="rId_hyperlink_4263" Type="http://schemas.openxmlformats.org/officeDocument/2006/relationships/hyperlink" Target="https://b2beez.ru/images/detailed/168/orig_88ey-hz.jpg" TargetMode="External"/><Relationship Id="rId_hyperlink_4264" Type="http://schemas.openxmlformats.org/officeDocument/2006/relationships/hyperlink" Target="https://b2beez.ru/images/detailed/168/6224627750_4s5f-qs.jpg" TargetMode="External"/><Relationship Id="rId_hyperlink_4265" Type="http://schemas.openxmlformats.org/officeDocument/2006/relationships/hyperlink" Target="https://b2beez.ru/images/detailed/168/6224627750_szvr-07.jpg" TargetMode="External"/><Relationship Id="rId_hyperlink_4266" Type="http://schemas.openxmlformats.org/officeDocument/2006/relationships/hyperlink" Target="https://b2beez.ru/images/detailed/168/6224628489_6ias-u1.jpg" TargetMode="External"/><Relationship Id="rId_hyperlink_4267" Type="http://schemas.openxmlformats.org/officeDocument/2006/relationships/hyperlink" Target="https://b2beez.ru/images/detailed/168/6224627676_tr7h-i1.jpg" TargetMode="External"/><Relationship Id="rId_hyperlink_4268" Type="http://schemas.openxmlformats.org/officeDocument/2006/relationships/hyperlink" Target="https://b2beez.ru/images/detailed/168/orig_p286-4x.jpg" TargetMode="External"/><Relationship Id="rId_hyperlink_4269" Type="http://schemas.openxmlformats.org/officeDocument/2006/relationships/hyperlink" Target="https://b2beez.ru/images/detailed/168/6224627698_qib1-os.jpg" TargetMode="External"/><Relationship Id="rId_hyperlink_4270" Type="http://schemas.openxmlformats.org/officeDocument/2006/relationships/hyperlink" Target="https://b2beez.ru/images/detailed/168/6224627698_w215-hv.jpg" TargetMode="External"/><Relationship Id="rId_hyperlink_4271" Type="http://schemas.openxmlformats.org/officeDocument/2006/relationships/hyperlink" Target="https://b2beez.ru/images/detailed/168/6224627698_5btm-6o.jpg" TargetMode="External"/><Relationship Id="rId_hyperlink_4272" Type="http://schemas.openxmlformats.org/officeDocument/2006/relationships/hyperlink" Target="https://b2beez.ru/images/detailed/168/6224627750_ht4j-a2.jpg" TargetMode="External"/><Relationship Id="rId_hyperlink_4273" Type="http://schemas.openxmlformats.org/officeDocument/2006/relationships/hyperlink" Target="https://b2beez.ru/images/detailed/168/6224627750_7tsd-gy.jpg" TargetMode="External"/><Relationship Id="rId_hyperlink_4274" Type="http://schemas.openxmlformats.org/officeDocument/2006/relationships/hyperlink" Target="https://b2beez.ru/images/detailed/168/orig_j1k9-w6.jpg" TargetMode="External"/><Relationship Id="rId_hyperlink_4275" Type="http://schemas.openxmlformats.org/officeDocument/2006/relationships/hyperlink" Target="https://b2beez.ru/images/detailed/168/6224627766_qb5e-jw.jpg" TargetMode="External"/><Relationship Id="rId_hyperlink_4276" Type="http://schemas.openxmlformats.org/officeDocument/2006/relationships/hyperlink" Target="https://b2beez.ru/images/detailed/168/6224627766_u7d4-f6.jpg" TargetMode="External"/><Relationship Id="rId_hyperlink_4277" Type="http://schemas.openxmlformats.org/officeDocument/2006/relationships/hyperlink" Target="https://b2beez.ru/images/detailed/168/6231970159.jpg" TargetMode="External"/><Relationship Id="rId_hyperlink_4278" Type="http://schemas.openxmlformats.org/officeDocument/2006/relationships/hyperlink" Target="https://b2beez.ru/images/detailed/168/6224627698_z6e6-5m.jpg" TargetMode="External"/><Relationship Id="rId_hyperlink_4279" Type="http://schemas.openxmlformats.org/officeDocument/2006/relationships/hyperlink" Target="https://b2beez.ru/images/detailed/168/orig_h3iy-4s.jpg" TargetMode="External"/><Relationship Id="rId_hyperlink_4280" Type="http://schemas.openxmlformats.org/officeDocument/2006/relationships/hyperlink" Target="https://b2beez.ru/images/detailed/168/orig_2tvu-xf.jpg" TargetMode="External"/><Relationship Id="rId_hyperlink_4281" Type="http://schemas.openxmlformats.org/officeDocument/2006/relationships/hyperlink" Target="https://b2beez.ru/images/detailed/168/orig_4279-zy.jpg" TargetMode="External"/><Relationship Id="rId_hyperlink_4282" Type="http://schemas.openxmlformats.org/officeDocument/2006/relationships/hyperlink" Target="https://b2beez.ru/images/detailed/168/6224627698_brhw-qj.jpg" TargetMode="External"/><Relationship Id="rId_hyperlink_4283" Type="http://schemas.openxmlformats.org/officeDocument/2006/relationships/hyperlink" Target="https://b2beez.ru/images/detailed/168/6224627766_uhwb-qr.jpg" TargetMode="External"/><Relationship Id="rId_hyperlink_4284" Type="http://schemas.openxmlformats.org/officeDocument/2006/relationships/hyperlink" Target="https://b2beez.ru/images/detailed/168/6224627766_9bvy-ea.jpg" TargetMode="External"/><Relationship Id="rId_hyperlink_4285" Type="http://schemas.openxmlformats.org/officeDocument/2006/relationships/hyperlink" Target="https://b2beez.ru/images/detailed/168/6224628342_px6h-jp.jpg" TargetMode="External"/><Relationship Id="rId_hyperlink_4286" Type="http://schemas.openxmlformats.org/officeDocument/2006/relationships/hyperlink" Target="https://b2beez.ru/images/detailed/168/6224628342_v7gz-4k.jpg" TargetMode="External"/><Relationship Id="rId_hyperlink_4287" Type="http://schemas.openxmlformats.org/officeDocument/2006/relationships/hyperlink" Target="https://b2beez.ru/images/detailed/168/6224628180.jpg" TargetMode="External"/><Relationship Id="rId_hyperlink_4288" Type="http://schemas.openxmlformats.org/officeDocument/2006/relationships/hyperlink" Target="https://b2beez.ru/images/detailed/168/6224627868.jpg" TargetMode="External"/><Relationship Id="rId_hyperlink_4289" Type="http://schemas.openxmlformats.org/officeDocument/2006/relationships/hyperlink" Target="https://b2beez.ru/images/detailed/168/6224627868_153k-64.jpg" TargetMode="External"/><Relationship Id="rId_hyperlink_4290" Type="http://schemas.openxmlformats.org/officeDocument/2006/relationships/hyperlink" Target="https://b2beez.ru/images/detailed/168/6224627991.jpg" TargetMode="External"/><Relationship Id="rId_hyperlink_4291" Type="http://schemas.openxmlformats.org/officeDocument/2006/relationships/hyperlink" Target="https://b2beez.ru/images/detailed/168/6224627991_fq39-8h.jpg" TargetMode="External"/><Relationship Id="rId_hyperlink_4292" Type="http://schemas.openxmlformats.org/officeDocument/2006/relationships/hyperlink" Target="https://b2beez.ru/images/detailed/168/orig_xnfy-fx.jpg" TargetMode="External"/><Relationship Id="rId_hyperlink_4293" Type="http://schemas.openxmlformats.org/officeDocument/2006/relationships/hyperlink" Target="https://b2beez.ru/images/detailed/168/6224627854.jpg" TargetMode="External"/><Relationship Id="rId_hyperlink_4294" Type="http://schemas.openxmlformats.org/officeDocument/2006/relationships/hyperlink" Target="https://b2beez.ru/images/detailed/168/orig_nw74-8i.jpg" TargetMode="External"/><Relationship Id="rId_hyperlink_4295" Type="http://schemas.openxmlformats.org/officeDocument/2006/relationships/hyperlink" Target="https://b2beez.ru/images/detailed/168/6224627766_3ooz-5f.jpg" TargetMode="External"/><Relationship Id="rId_hyperlink_4296" Type="http://schemas.openxmlformats.org/officeDocument/2006/relationships/hyperlink" Target="https://b2beez.ru/images/detailed/168/6224627766_f0cb-u2.jpg" TargetMode="External"/><Relationship Id="rId_hyperlink_4297" Type="http://schemas.openxmlformats.org/officeDocument/2006/relationships/hyperlink" Target="https://b2beez.ru/images/detailed/168/6224627676_lxc7-dg.jpg" TargetMode="External"/><Relationship Id="rId_hyperlink_4298" Type="http://schemas.openxmlformats.org/officeDocument/2006/relationships/hyperlink" Target="https://b2beez.ru/images/detailed/168/6224627698_3dx3-hc.jpg" TargetMode="External"/><Relationship Id="rId_hyperlink_4299" Type="http://schemas.openxmlformats.org/officeDocument/2006/relationships/hyperlink" Target="https://b2beez.ru/images/detailed/168/6224628047_zs8o-kw.jpg" TargetMode="External"/><Relationship Id="rId_hyperlink_4300" Type="http://schemas.openxmlformats.org/officeDocument/2006/relationships/hyperlink" Target="https://b2beez.ru/images/detailed/168/orig_drao-3m.jpg" TargetMode="External"/><Relationship Id="rId_hyperlink_4301" Type="http://schemas.openxmlformats.org/officeDocument/2006/relationships/hyperlink" Target="https://b2beez.ru/images/detailed/168/6224627810_qj0y-el.jpg" TargetMode="External"/><Relationship Id="rId_hyperlink_4302" Type="http://schemas.openxmlformats.org/officeDocument/2006/relationships/hyperlink" Target="https://b2beez.ru/images/detailed/168/6224627750_rd83-fw.jpg" TargetMode="External"/><Relationship Id="rId_hyperlink_4303" Type="http://schemas.openxmlformats.org/officeDocument/2006/relationships/hyperlink" Target="https://b2beez.ru/images/detailed/168/6224627750_nc0j-iz.jpg" TargetMode="External"/><Relationship Id="rId_hyperlink_4304" Type="http://schemas.openxmlformats.org/officeDocument/2006/relationships/hyperlink" Target="https://b2beez.ru/images/detailed/168/6224627676_0jto-ql.jpg" TargetMode="External"/><Relationship Id="rId_hyperlink_4305" Type="http://schemas.openxmlformats.org/officeDocument/2006/relationships/hyperlink" Target="https://b2beez.ru/images/detailed/168/6224628240_g81v-t8.jpg" TargetMode="External"/><Relationship Id="rId_hyperlink_4306" Type="http://schemas.openxmlformats.org/officeDocument/2006/relationships/hyperlink" Target="https://b2beez.ru/images/detailed/168/6224628240_zz9e-db.jpg" TargetMode="External"/><Relationship Id="rId_hyperlink_4307" Type="http://schemas.openxmlformats.org/officeDocument/2006/relationships/hyperlink" Target="https://b2beez.ru/images/detailed/168/6224628473.jpg" TargetMode="External"/><Relationship Id="rId_hyperlink_4308" Type="http://schemas.openxmlformats.org/officeDocument/2006/relationships/hyperlink" Target="https://b2beez.ru/images/detailed/168/6224627750_5xas-04.jpg" TargetMode="External"/><Relationship Id="rId_hyperlink_4309" Type="http://schemas.openxmlformats.org/officeDocument/2006/relationships/hyperlink" Target="https://b2beez.ru/images/detailed/168/orig_lw9d-b6.jpg" TargetMode="External"/><Relationship Id="rId_hyperlink_4310" Type="http://schemas.openxmlformats.org/officeDocument/2006/relationships/hyperlink" Target="https://b2beez.ru/images/detailed/168/6224627750_5kci-ly.jpg" TargetMode="External"/><Relationship Id="rId_hyperlink_4311" Type="http://schemas.openxmlformats.org/officeDocument/2006/relationships/hyperlink" Target="https://b2beez.ru/images/detailed/168/6224627750_4pjg-6u.jpg" TargetMode="External"/><Relationship Id="rId_hyperlink_4312" Type="http://schemas.openxmlformats.org/officeDocument/2006/relationships/hyperlink" Target="https://b2beez.ru/images/detailed/168/orig_evzs-st.jpg" TargetMode="External"/><Relationship Id="rId_hyperlink_4313" Type="http://schemas.openxmlformats.org/officeDocument/2006/relationships/hyperlink" Target="https://b2beez.ru/images/detailed/168/6224627766_sgw4-xc.jpg" TargetMode="External"/><Relationship Id="rId_hyperlink_4314" Type="http://schemas.openxmlformats.org/officeDocument/2006/relationships/hyperlink" Target="https://b2beez.ru/images/detailed/168/6224628240_z1cz-8o.jpg" TargetMode="External"/><Relationship Id="rId_hyperlink_4315" Type="http://schemas.openxmlformats.org/officeDocument/2006/relationships/hyperlink" Target="https://b2beez.ru/images/detailed/168/6224628240_z3p1-58.jpg" TargetMode="External"/><Relationship Id="rId_hyperlink_4316" Type="http://schemas.openxmlformats.org/officeDocument/2006/relationships/hyperlink" Target="https://b2beez.ru/images/detailed/168/6224628342_my03-mb.jpg" TargetMode="External"/><Relationship Id="rId_hyperlink_4317" Type="http://schemas.openxmlformats.org/officeDocument/2006/relationships/hyperlink" Target="https://b2beez.ru/images/detailed/168/6224628261.jpg" TargetMode="External"/><Relationship Id="rId_hyperlink_4318" Type="http://schemas.openxmlformats.org/officeDocument/2006/relationships/hyperlink" Target="https://b2beez.ru/images/detailed/168/6224627750_wyqq-cw.jpg" TargetMode="External"/><Relationship Id="rId_hyperlink_4319" Type="http://schemas.openxmlformats.org/officeDocument/2006/relationships/hyperlink" Target="https://b2beez.ru/images/detailed/168/6224627750_26eo-5d.jpg" TargetMode="External"/><Relationship Id="rId_hyperlink_4320" Type="http://schemas.openxmlformats.org/officeDocument/2006/relationships/hyperlink" Target="https://b2beez.ru/images/detailed/168/6224627676_9gir-oq.jpg" TargetMode="External"/><Relationship Id="rId_hyperlink_4321" Type="http://schemas.openxmlformats.org/officeDocument/2006/relationships/hyperlink" Target="https://b2beez.ru/images/detailed/168/6224628261_1soi-g1.jpg" TargetMode="External"/><Relationship Id="rId_hyperlink_4322" Type="http://schemas.openxmlformats.org/officeDocument/2006/relationships/hyperlink" Target="https://b2beez.ru/images/detailed/168/6224627750_3xsk-g2.jpg" TargetMode="External"/><Relationship Id="rId_hyperlink_4323" Type="http://schemas.openxmlformats.org/officeDocument/2006/relationships/hyperlink" Target="https://b2beez.ru/images/detailed/168/6224627750_x3nz-yq.jpg" TargetMode="External"/><Relationship Id="rId_hyperlink_4324" Type="http://schemas.openxmlformats.org/officeDocument/2006/relationships/hyperlink" Target="https://b2beez.ru/images/detailed/168/6224627676_8sa6-v9.jpg" TargetMode="External"/><Relationship Id="rId_hyperlink_4325" Type="http://schemas.openxmlformats.org/officeDocument/2006/relationships/hyperlink" Target="https://b2beez.ru/images/detailed/168/orig_9j07-af.jpg" TargetMode="External"/><Relationship Id="rId_hyperlink_4326" Type="http://schemas.openxmlformats.org/officeDocument/2006/relationships/hyperlink" Target="https://b2beez.ru/images/detailed/168/6224627698_g713-4m.jpg" TargetMode="External"/><Relationship Id="rId_hyperlink_4327" Type="http://schemas.openxmlformats.org/officeDocument/2006/relationships/hyperlink" Target="https://b2beez.ru/images/detailed/168/orig_w1c1-dd.jpg" TargetMode="External"/><Relationship Id="rId_hyperlink_4328" Type="http://schemas.openxmlformats.org/officeDocument/2006/relationships/hyperlink" Target="https://b2beez.ru/images/detailed/168/6224627750_lks1-2q.jpg" TargetMode="External"/><Relationship Id="rId_hyperlink_4329" Type="http://schemas.openxmlformats.org/officeDocument/2006/relationships/hyperlink" Target="https://b2beez.ru/images/detailed/168/6224628228.jpg" TargetMode="External"/><Relationship Id="rId_hyperlink_4330" Type="http://schemas.openxmlformats.org/officeDocument/2006/relationships/hyperlink" Target="https://b2beez.ru/images/detailed/168/6224627766_7sxj-19.jpg" TargetMode="External"/><Relationship Id="rId_hyperlink_4331" Type="http://schemas.openxmlformats.org/officeDocument/2006/relationships/hyperlink" Target="https://b2beez.ru/images/detailed/168/6224627766_7w52-2g.jpg" TargetMode="External"/><Relationship Id="rId_hyperlink_4332" Type="http://schemas.openxmlformats.org/officeDocument/2006/relationships/hyperlink" Target="https://b2beez.ru/images/detailed/168/6230996890.jpg" TargetMode="External"/><Relationship Id="rId_hyperlink_4333" Type="http://schemas.openxmlformats.org/officeDocument/2006/relationships/hyperlink" Target="https://b2beez.ru/images/detailed/168/6224627698_cpmr-hc.jpg" TargetMode="External"/><Relationship Id="rId_hyperlink_4334" Type="http://schemas.openxmlformats.org/officeDocument/2006/relationships/hyperlink" Target="https://b2beez.ru/images/detailed/168/6224627766_frwb-u5.jpg" TargetMode="External"/><Relationship Id="rId_hyperlink_4335" Type="http://schemas.openxmlformats.org/officeDocument/2006/relationships/hyperlink" Target="https://b2beez.ru/images/detailed/168/6224627766_k3cv-fc.jpg" TargetMode="External"/><Relationship Id="rId_hyperlink_4336" Type="http://schemas.openxmlformats.org/officeDocument/2006/relationships/hyperlink" Target="https://b2beez.ru/images/detailed/168/6230996890_usah-kh.jpg" TargetMode="External"/><Relationship Id="rId_hyperlink_4337" Type="http://schemas.openxmlformats.org/officeDocument/2006/relationships/hyperlink" Target="https://b2beez.ru/images/detailed/168/6224627766_x90u-4y.jpg" TargetMode="External"/><Relationship Id="rId_hyperlink_4338" Type="http://schemas.openxmlformats.org/officeDocument/2006/relationships/hyperlink" Target="https://b2beez.ru/images/detailed/168/6224627766_00bt-3i.jpg" TargetMode="External"/><Relationship Id="rId_hyperlink_4339" Type="http://schemas.openxmlformats.org/officeDocument/2006/relationships/hyperlink" Target="https://b2beez.ru/images/detailed/168/6224628261_x2uc-ng.jpg" TargetMode="External"/><Relationship Id="rId_hyperlink_4340" Type="http://schemas.openxmlformats.org/officeDocument/2006/relationships/hyperlink" Target="https://b2beez.ru/images/detailed/168/6224627712_yk3t-f1.jpg" TargetMode="External"/><Relationship Id="rId_hyperlink_4341" Type="http://schemas.openxmlformats.org/officeDocument/2006/relationships/hyperlink" Target="https://b2beez.ru/images/detailed/168/6224627757.jpg" TargetMode="External"/><Relationship Id="rId_hyperlink_4342" Type="http://schemas.openxmlformats.org/officeDocument/2006/relationships/hyperlink" Target="https://b2beez.ru/images/detailed/168/6224627676_7sfn-6u.jpg" TargetMode="External"/><Relationship Id="rId_hyperlink_4343" Type="http://schemas.openxmlformats.org/officeDocument/2006/relationships/hyperlink" Target="https://b2beez.ru/images/detailed/168/6224627676_wx8b-k5.jpg" TargetMode="External"/><Relationship Id="rId_hyperlink_4344" Type="http://schemas.openxmlformats.org/officeDocument/2006/relationships/hyperlink" Target="https://b2beez.ru/images/detailed/168/6224627698_jhmx-w2.jpg" TargetMode="External"/><Relationship Id="rId_hyperlink_4345" Type="http://schemas.openxmlformats.org/officeDocument/2006/relationships/hyperlink" Target="https://b2beez.ru/images/detailed/168/6321364231.jpg" TargetMode="External"/><Relationship Id="rId_hyperlink_4346" Type="http://schemas.openxmlformats.org/officeDocument/2006/relationships/hyperlink" Target="https://b2beez.ru/images/detailed/168/6321364231_46qy-u3.jpg" TargetMode="External"/><Relationship Id="rId_hyperlink_4347" Type="http://schemas.openxmlformats.org/officeDocument/2006/relationships/hyperlink" Target="https://b2beez.ru/images/detailed/168/6224628018.jpg" TargetMode="External"/><Relationship Id="rId_hyperlink_4348" Type="http://schemas.openxmlformats.org/officeDocument/2006/relationships/hyperlink" Target="https://b2beez.ru/images/detailed/168/6224628018_jhlw-yx.jpg" TargetMode="External"/><Relationship Id="rId_hyperlink_4349" Type="http://schemas.openxmlformats.org/officeDocument/2006/relationships/hyperlink" Target="https://b2beez.ru/images/detailed/168/6224628481_pcdy-7s.jpg" TargetMode="External"/><Relationship Id="rId_hyperlink_4350" Type="http://schemas.openxmlformats.org/officeDocument/2006/relationships/hyperlink" Target="https://b2beez.ru/images/detailed/168/6224627855.jpg" TargetMode="External"/><Relationship Id="rId_hyperlink_4351" Type="http://schemas.openxmlformats.org/officeDocument/2006/relationships/hyperlink" Target="https://b2beez.ru/images/detailed/168/6224627778.jpg" TargetMode="External"/><Relationship Id="rId_hyperlink_4352" Type="http://schemas.openxmlformats.org/officeDocument/2006/relationships/hyperlink" Target="https://b2beez.ru/images/detailed/168/orig_ppru-ud.jpg" TargetMode="External"/><Relationship Id="rId_hyperlink_4353" Type="http://schemas.openxmlformats.org/officeDocument/2006/relationships/hyperlink" Target="https://b2beez.ru/images/detailed/168/6224628043.jpg" TargetMode="External"/><Relationship Id="rId_hyperlink_4354" Type="http://schemas.openxmlformats.org/officeDocument/2006/relationships/hyperlink" Target="https://b2beez.ru/images/detailed/168/6224627829.jpg" TargetMode="External"/><Relationship Id="rId_hyperlink_4355" Type="http://schemas.openxmlformats.org/officeDocument/2006/relationships/hyperlink" Target="https://b2beez.ru/images/detailed/168/6224627912.jpg" TargetMode="External"/><Relationship Id="rId_hyperlink_4356" Type="http://schemas.openxmlformats.org/officeDocument/2006/relationships/hyperlink" Target="https://b2beez.ru/images/detailed/168/6321345726.jpg" TargetMode="External"/><Relationship Id="rId_hyperlink_4357" Type="http://schemas.openxmlformats.org/officeDocument/2006/relationships/hyperlink" Target="https://b2beez.ru/images/detailed/168/6224627940.jpg" TargetMode="External"/><Relationship Id="rId_hyperlink_4358" Type="http://schemas.openxmlformats.org/officeDocument/2006/relationships/hyperlink" Target="https://b2beez.ru/images/detailed/168/orig_kt3u-nz.jpg" TargetMode="External"/><Relationship Id="rId_hyperlink_4359" Type="http://schemas.openxmlformats.org/officeDocument/2006/relationships/hyperlink" Target="https://b2beez.ru/images/detailed/168/orig_woqx-sn.jpg" TargetMode="External"/><Relationship Id="rId_hyperlink_4360" Type="http://schemas.openxmlformats.org/officeDocument/2006/relationships/hyperlink" Target="https://b2beez.ru/images/detailed/168/6224627747.jpg" TargetMode="External"/><Relationship Id="rId_hyperlink_4361" Type="http://schemas.openxmlformats.org/officeDocument/2006/relationships/hyperlink" Target="https://b2beez.ru/images/detailed/168/6224627823.jpg" TargetMode="External"/><Relationship Id="rId_hyperlink_4362" Type="http://schemas.openxmlformats.org/officeDocument/2006/relationships/hyperlink" Target="https://b2beez.ru/images/detailed/168/6224628065.jpg" TargetMode="External"/><Relationship Id="rId_hyperlink_4363" Type="http://schemas.openxmlformats.org/officeDocument/2006/relationships/hyperlink" Target="https://b2beez.ru/images/detailed/168/6224628067.jpg" TargetMode="External"/><Relationship Id="rId_hyperlink_4364" Type="http://schemas.openxmlformats.org/officeDocument/2006/relationships/hyperlink" Target="https://b2beez.ru/images/detailed/168/6224627791.jpg" TargetMode="External"/><Relationship Id="rId_hyperlink_4365" Type="http://schemas.openxmlformats.org/officeDocument/2006/relationships/hyperlink" Target="https://b2beez.ru/images/detailed/168/6224628011.jpg" TargetMode="External"/><Relationship Id="rId_hyperlink_4366" Type="http://schemas.openxmlformats.org/officeDocument/2006/relationships/hyperlink" Target="https://b2beez.ru/images/detailed/168/6224628035.jpg" TargetMode="External"/><Relationship Id="rId_hyperlink_4367" Type="http://schemas.openxmlformats.org/officeDocument/2006/relationships/hyperlink" Target="https://b2beez.ru/images/detailed/168/orig_xrh8-ca.jpg" TargetMode="External"/><Relationship Id="rId_hyperlink_4368" Type="http://schemas.openxmlformats.org/officeDocument/2006/relationships/hyperlink" Target="https://b2beez.ru/images/detailed/168/6300460503.jpg" TargetMode="External"/><Relationship Id="rId_hyperlink_4369" Type="http://schemas.openxmlformats.org/officeDocument/2006/relationships/hyperlink" Target="https://b2beez.ru/images/detailed/168/6224628059.jpg" TargetMode="External"/><Relationship Id="rId_hyperlink_4370" Type="http://schemas.openxmlformats.org/officeDocument/2006/relationships/hyperlink" Target="https://b2beez.ru/images/detailed/168/6224628081.jpg" TargetMode="External"/><Relationship Id="rId_hyperlink_4371" Type="http://schemas.openxmlformats.org/officeDocument/2006/relationships/hyperlink" Target="https://b2beez.ru/images/detailed/168/6224628030.jpg" TargetMode="External"/><Relationship Id="rId_hyperlink_4372" Type="http://schemas.openxmlformats.org/officeDocument/2006/relationships/hyperlink" Target="https://b2beez.ru/images/detailed/168/orig_szky-q1.jpg" TargetMode="External"/><Relationship Id="rId_hyperlink_4373" Type="http://schemas.openxmlformats.org/officeDocument/2006/relationships/hyperlink" Target="https://b2beez.ru/images/detailed/168/6224628809.jpg" TargetMode="External"/><Relationship Id="rId_hyperlink_4374" Type="http://schemas.openxmlformats.org/officeDocument/2006/relationships/hyperlink" Target="https://b2beez.ru/images/detailed/168/6224627918.jpg" TargetMode="External"/><Relationship Id="rId_hyperlink_4375" Type="http://schemas.openxmlformats.org/officeDocument/2006/relationships/hyperlink" Target="https://b2beez.ru/images/detailed/168/6224628000.jpg" TargetMode="External"/><Relationship Id="rId_hyperlink_4376" Type="http://schemas.openxmlformats.org/officeDocument/2006/relationships/hyperlink" Target="https://b2beez.ru/images/detailed/168/orig_52ca-de.jpg" TargetMode="External"/><Relationship Id="rId_hyperlink_4377" Type="http://schemas.openxmlformats.org/officeDocument/2006/relationships/hyperlink" Target="https://b2beez.ru/images/detailed/168/6224628078.jpg" TargetMode="External"/><Relationship Id="rId_hyperlink_4378" Type="http://schemas.openxmlformats.org/officeDocument/2006/relationships/hyperlink" Target="https://b2beez.ru/images/detailed/168/6224628133.jpg" TargetMode="External"/><Relationship Id="rId_hyperlink_4379" Type="http://schemas.openxmlformats.org/officeDocument/2006/relationships/hyperlink" Target="https://b2beez.ru/images/detailed/168/6224628164.jpg" TargetMode="External"/><Relationship Id="rId_hyperlink_4380" Type="http://schemas.openxmlformats.org/officeDocument/2006/relationships/hyperlink" Target="https://b2beez.ru/images/detailed/168/orig_xoyl-8x.jpg" TargetMode="External"/><Relationship Id="rId_hyperlink_4381" Type="http://schemas.openxmlformats.org/officeDocument/2006/relationships/hyperlink" Target="https://b2beez.ru/images/detailed/168/6300468426.jpg" TargetMode="External"/><Relationship Id="rId_hyperlink_4382" Type="http://schemas.openxmlformats.org/officeDocument/2006/relationships/hyperlink" Target="https://b2beez.ru/images/detailed/168/6224628264.jpg" TargetMode="External"/><Relationship Id="rId_hyperlink_4383" Type="http://schemas.openxmlformats.org/officeDocument/2006/relationships/hyperlink" Target="https://b2beez.ru/images/detailed/168/6321345726_u3ey-lf.jpg" TargetMode="External"/><Relationship Id="rId_hyperlink_4384" Type="http://schemas.openxmlformats.org/officeDocument/2006/relationships/hyperlink" Target="https://b2beez.ru/images/detailed/168/6224628145.jpg" TargetMode="External"/><Relationship Id="rId_hyperlink_4385" Type="http://schemas.openxmlformats.org/officeDocument/2006/relationships/hyperlink" Target="https://b2beez.ru/images/detailed/168/orig_h175-23.jpg" TargetMode="External"/><Relationship Id="rId_hyperlink_4386" Type="http://schemas.openxmlformats.org/officeDocument/2006/relationships/hyperlink" Target="https://b2beez.ru/images/detailed/169/6229779181.jpg" TargetMode="External"/><Relationship Id="rId_hyperlink_4387" Type="http://schemas.openxmlformats.org/officeDocument/2006/relationships/hyperlink" Target="https://b2beez.ru/images/detailed/169/orig_xzmx-ne.jpg" TargetMode="External"/><Relationship Id="rId_hyperlink_4388" Type="http://schemas.openxmlformats.org/officeDocument/2006/relationships/hyperlink" Target="https://b2beez.ru/images/detailed/169/orig_ikhq-x6.jpg" TargetMode="External"/><Relationship Id="rId_hyperlink_4389" Type="http://schemas.openxmlformats.org/officeDocument/2006/relationships/hyperlink" Target="https://b2beez.ru/images/detailed/169/orig_xamx-py.jpg" TargetMode="External"/><Relationship Id="rId_hyperlink_4390" Type="http://schemas.openxmlformats.org/officeDocument/2006/relationships/hyperlink" Target="https://b2beez.ru/images/detailed/169/6224628468.jpg" TargetMode="External"/><Relationship Id="rId_hyperlink_4391" Type="http://schemas.openxmlformats.org/officeDocument/2006/relationships/hyperlink" Target="https://b2beez.ru/images/detailed/169/6224628630.jpg" TargetMode="External"/><Relationship Id="rId_hyperlink_4392" Type="http://schemas.openxmlformats.org/officeDocument/2006/relationships/hyperlink" Target="https://b2beez.ru/images/detailed/169/6224628618.jpg" TargetMode="External"/><Relationship Id="rId_hyperlink_4393" Type="http://schemas.openxmlformats.org/officeDocument/2006/relationships/hyperlink" Target="https://b2beez.ru/images/detailed/169/6224628539.jpg" TargetMode="External"/><Relationship Id="rId_hyperlink_4394" Type="http://schemas.openxmlformats.org/officeDocument/2006/relationships/hyperlink" Target="https://b2beez.ru/images/detailed/169/orig_cfdy-rx.jpg" TargetMode="External"/><Relationship Id="rId_hyperlink_4395" Type="http://schemas.openxmlformats.org/officeDocument/2006/relationships/hyperlink" Target="https://b2beez.ru/images/detailed/169/6224628877.jpg" TargetMode="External"/><Relationship Id="rId_hyperlink_4396" Type="http://schemas.openxmlformats.org/officeDocument/2006/relationships/hyperlink" Target="https://b2beez.ru/images/detailed/169/6224628417.jpg" TargetMode="External"/><Relationship Id="rId_hyperlink_4397" Type="http://schemas.openxmlformats.org/officeDocument/2006/relationships/hyperlink" Target="https://b2beez.ru/images/detailed/169/6224628682.jpg" TargetMode="External"/><Relationship Id="rId_hyperlink_4398" Type="http://schemas.openxmlformats.org/officeDocument/2006/relationships/hyperlink" Target="https://b2beez.ru/images/detailed/169/6224628626.jpg" TargetMode="External"/><Relationship Id="rId_hyperlink_4399" Type="http://schemas.openxmlformats.org/officeDocument/2006/relationships/hyperlink" Target="https://b2beez.ru/images/detailed/169/6224628899.jpg" TargetMode="External"/><Relationship Id="rId_hyperlink_4400" Type="http://schemas.openxmlformats.org/officeDocument/2006/relationships/hyperlink" Target="https://b2beez.ru/images/detailed/169/6224628727.jpg" TargetMode="External"/><Relationship Id="rId_hyperlink_4401" Type="http://schemas.openxmlformats.org/officeDocument/2006/relationships/hyperlink" Target="https://b2beez.ru/images/detailed/169/6224628544.jpg" TargetMode="External"/><Relationship Id="rId_hyperlink_4402" Type="http://schemas.openxmlformats.org/officeDocument/2006/relationships/hyperlink" Target="https://b2beez.ru/images/detailed/169/6224628598.jpg" TargetMode="External"/><Relationship Id="rId_hyperlink_4403" Type="http://schemas.openxmlformats.org/officeDocument/2006/relationships/hyperlink" Target="https://b2beez.ru/images/detailed/169/orig_d076-9f.jpg" TargetMode="External"/><Relationship Id="rId_hyperlink_4404" Type="http://schemas.openxmlformats.org/officeDocument/2006/relationships/hyperlink" Target="https://b2beez.ru/images/detailed/169/6224628781.jpg" TargetMode="External"/><Relationship Id="rId_hyperlink_4405" Type="http://schemas.openxmlformats.org/officeDocument/2006/relationships/hyperlink" Target="https://b2beez.ru/images/detailed/169/6224628564.jpg" TargetMode="External"/><Relationship Id="rId_hyperlink_4406" Type="http://schemas.openxmlformats.org/officeDocument/2006/relationships/hyperlink" Target="https://b2beez.ru/images/detailed/169/orig_clxp-4r.jpg" TargetMode="External"/><Relationship Id="rId_hyperlink_4407" Type="http://schemas.openxmlformats.org/officeDocument/2006/relationships/hyperlink" Target="https://b2beez.ru/images/detailed/169/6224628692.jpg" TargetMode="External"/><Relationship Id="rId_hyperlink_4408" Type="http://schemas.openxmlformats.org/officeDocument/2006/relationships/hyperlink" Target="https://b2beez.ru/images/detailed/169/6224628774.jpg" TargetMode="External"/><Relationship Id="rId_hyperlink_4409" Type="http://schemas.openxmlformats.org/officeDocument/2006/relationships/hyperlink" Target="https://b2beez.ru/images/detailed/169/6224628971.jpg" TargetMode="External"/><Relationship Id="rId_hyperlink_4410" Type="http://schemas.openxmlformats.org/officeDocument/2006/relationships/hyperlink" Target="https://b2beez.ru/images/detailed/169/6224628746.jpg" TargetMode="External"/><Relationship Id="rId_hyperlink_4411" Type="http://schemas.openxmlformats.org/officeDocument/2006/relationships/hyperlink" Target="https://b2beez.ru/images/detailed/169/orig_k0wp-sd.jpg" TargetMode="External"/><Relationship Id="rId_hyperlink_4412" Type="http://schemas.openxmlformats.org/officeDocument/2006/relationships/hyperlink" Target="https://b2beez.ru/images/detailed/169/6224628734.jpg" TargetMode="External"/><Relationship Id="rId_hyperlink_4413" Type="http://schemas.openxmlformats.org/officeDocument/2006/relationships/hyperlink" Target="https://b2beez.ru/images/detailed/169/6224628913.jpg" TargetMode="External"/><Relationship Id="rId_hyperlink_4414" Type="http://schemas.openxmlformats.org/officeDocument/2006/relationships/hyperlink" Target="https://b2beez.ru/images/detailed/169/orig_1lsb-1h.jpg" TargetMode="External"/><Relationship Id="rId_hyperlink_4415" Type="http://schemas.openxmlformats.org/officeDocument/2006/relationships/hyperlink" Target="https://b2beez.ru/images/detailed/169/6224628819.jpg" TargetMode="External"/><Relationship Id="rId_hyperlink_4416" Type="http://schemas.openxmlformats.org/officeDocument/2006/relationships/hyperlink" Target="https://b2beez.ru/images/detailed/169/6224627933.jpg" TargetMode="External"/><Relationship Id="rId_hyperlink_4417" Type="http://schemas.openxmlformats.org/officeDocument/2006/relationships/hyperlink" Target="https://b2beez.ru/images/detailed/169/6224628749.jpg" TargetMode="External"/><Relationship Id="rId_hyperlink_4418" Type="http://schemas.openxmlformats.org/officeDocument/2006/relationships/hyperlink" Target="https://b2beez.ru/images/detailed/169/orig_6roq-ij.jpg" TargetMode="External"/><Relationship Id="rId_hyperlink_4419" Type="http://schemas.openxmlformats.org/officeDocument/2006/relationships/hyperlink" Target="https://b2beez.ru/images/detailed/169/orig_vfqi-if.jpg" TargetMode="External"/><Relationship Id="rId_hyperlink_4420" Type="http://schemas.openxmlformats.org/officeDocument/2006/relationships/hyperlink" Target="https://b2beez.ru/images/detailed/169/orig_zreq-zp.jpg" TargetMode="External"/><Relationship Id="rId_hyperlink_4421" Type="http://schemas.openxmlformats.org/officeDocument/2006/relationships/hyperlink" Target="https://b2beez.ru/images/detailed/169/orig_aduk-vk.jpg" TargetMode="External"/><Relationship Id="rId_hyperlink_4422" Type="http://schemas.openxmlformats.org/officeDocument/2006/relationships/hyperlink" Target="https://b2beez.ru/images/detailed/169/6224627933_lp3e-3i.jpg" TargetMode="External"/><Relationship Id="rId_hyperlink_4423" Type="http://schemas.openxmlformats.org/officeDocument/2006/relationships/hyperlink" Target="https://b2beez.ru/images/detailed/169/6224628815.jpg" TargetMode="External"/><Relationship Id="rId_hyperlink_4424" Type="http://schemas.openxmlformats.org/officeDocument/2006/relationships/hyperlink" Target="https://b2beez.ru/images/detailed/169/orig_fljm-zu.jpg" TargetMode="External"/><Relationship Id="rId_hyperlink_4425" Type="http://schemas.openxmlformats.org/officeDocument/2006/relationships/hyperlink" Target="https://b2beez.ru/images/detailed/169/6224628327.jpg" TargetMode="External"/><Relationship Id="rId_hyperlink_4426" Type="http://schemas.openxmlformats.org/officeDocument/2006/relationships/hyperlink" Target="https://b2beez.ru/images/detailed/169/6224628304.jpg" TargetMode="External"/><Relationship Id="rId_hyperlink_4427" Type="http://schemas.openxmlformats.org/officeDocument/2006/relationships/hyperlink" Target="https://b2beez.ru/images/detailed/169/6224628338.jpg" TargetMode="External"/><Relationship Id="rId_hyperlink_4428" Type="http://schemas.openxmlformats.org/officeDocument/2006/relationships/hyperlink" Target="https://b2beez.ru/images/detailed/169/6224628123.jpg" TargetMode="External"/><Relationship Id="rId_hyperlink_4429" Type="http://schemas.openxmlformats.org/officeDocument/2006/relationships/hyperlink" Target="https://b2beez.ru/images/detailed/169/6224627810_tu71-lj.jpg" TargetMode="External"/><Relationship Id="rId_hyperlink_4430" Type="http://schemas.openxmlformats.org/officeDocument/2006/relationships/hyperlink" Target="https://b2beez.ru/images/detailed/169/6545699713.jpg" TargetMode="External"/><Relationship Id="rId_hyperlink_4431" Type="http://schemas.openxmlformats.org/officeDocument/2006/relationships/hyperlink" Target="https://b2beez.ru/images/detailed/169/7099752655.jpg" TargetMode="External"/><Relationship Id="rId_hyperlink_4432" Type="http://schemas.openxmlformats.org/officeDocument/2006/relationships/hyperlink" Target="https://b2beez.ru/images/detailed/169/6242641376.jpg" TargetMode="External"/><Relationship Id="rId_hyperlink_4433" Type="http://schemas.openxmlformats.org/officeDocument/2006/relationships/hyperlink" Target="https://b2beez.ru/images/detailed/169/6224627748.jpg" TargetMode="External"/><Relationship Id="rId_hyperlink_4434" Type="http://schemas.openxmlformats.org/officeDocument/2006/relationships/hyperlink" Target="https://b2beez.ru/images/detailed/204/K-766-2_q7j8-6t.jpg" TargetMode="External"/><Relationship Id="rId_hyperlink_4435" Type="http://schemas.openxmlformats.org/officeDocument/2006/relationships/hyperlink" Target="https://b2beez.ru/images/detailed/169/6224627748_kswt-60.jpg" TargetMode="External"/><Relationship Id="rId_hyperlink_4436" Type="http://schemas.openxmlformats.org/officeDocument/2006/relationships/hyperlink" Target="https://b2beez.ru/images/detailed/169/6224627748_b6ht-qy.jpg" TargetMode="External"/><Relationship Id="rId_hyperlink_4437" Type="http://schemas.openxmlformats.org/officeDocument/2006/relationships/hyperlink" Target="https://b2beez.ru/images/detailed/169/6224627748_4dms-9v.jpg" TargetMode="External"/><Relationship Id="rId_hyperlink_4438" Type="http://schemas.openxmlformats.org/officeDocument/2006/relationships/hyperlink" Target="https://b2beez.ru/images/detailed/169/orig_yhqs-rp.jpg" TargetMode="External"/><Relationship Id="rId_hyperlink_4439" Type="http://schemas.openxmlformats.org/officeDocument/2006/relationships/hyperlink" Target="https://b2beez.ru/images/detailed/169/orig_ofaj-yi.jpg" TargetMode="External"/><Relationship Id="rId_hyperlink_4440" Type="http://schemas.openxmlformats.org/officeDocument/2006/relationships/hyperlink" Target="https://b2beez.ru/images/detailed/169/6204105994.jpg" TargetMode="External"/><Relationship Id="rId_hyperlink_4441" Type="http://schemas.openxmlformats.org/officeDocument/2006/relationships/hyperlink" Target="https://b2beez.ru/images/detailed/169/orig_tk20-e7.jpg" TargetMode="External"/><Relationship Id="rId_hyperlink_4442" Type="http://schemas.openxmlformats.org/officeDocument/2006/relationships/hyperlink" Target="https://b2beez.ru/images/detailed/169/6241082416.jpg" TargetMode="External"/><Relationship Id="rId_hyperlink_4443" Type="http://schemas.openxmlformats.org/officeDocument/2006/relationships/hyperlink" Target="https://b2beez.ru/images/detailed/169/6241082397.jpg" TargetMode="External"/><Relationship Id="rId_hyperlink_4444" Type="http://schemas.openxmlformats.org/officeDocument/2006/relationships/hyperlink" Target="https://b2beez.ru/images/detailed/169/6241082457.jpg" TargetMode="External"/><Relationship Id="rId_hyperlink_4445" Type="http://schemas.openxmlformats.org/officeDocument/2006/relationships/hyperlink" Target="https://b2beez.ru/images/detailed/169/orig_ndyz-kv.jpg" TargetMode="External"/><Relationship Id="rId_hyperlink_4446" Type="http://schemas.openxmlformats.org/officeDocument/2006/relationships/hyperlink" Target="https://b2beez.ru/images/detailed/169/orig_m1vb-hg.jpg" TargetMode="External"/><Relationship Id="rId_hyperlink_4447" Type="http://schemas.openxmlformats.org/officeDocument/2006/relationships/hyperlink" Target="https://b2beez.ru/images/detailed/169/orig_ru4y-kq.jpg" TargetMode="External"/><Relationship Id="rId_hyperlink_4448" Type="http://schemas.openxmlformats.org/officeDocument/2006/relationships/hyperlink" Target="https://b2beez.ru/images/detailed/169/orig_4lkp-37.jpg" TargetMode="External"/><Relationship Id="rId_hyperlink_4449" Type="http://schemas.openxmlformats.org/officeDocument/2006/relationships/hyperlink" Target="https://b2beez.ru/images/detailed/169/6241082500.jpg" TargetMode="External"/><Relationship Id="rId_hyperlink_4450" Type="http://schemas.openxmlformats.org/officeDocument/2006/relationships/hyperlink" Target="https://b2beez.ru/images/detailed/169/6242641440.jpg" TargetMode="External"/><Relationship Id="rId_hyperlink_4451" Type="http://schemas.openxmlformats.org/officeDocument/2006/relationships/hyperlink" Target="https://b2beez.ru/images/detailed/169/6241082390.jpg" TargetMode="External"/><Relationship Id="rId_hyperlink_4452" Type="http://schemas.openxmlformats.org/officeDocument/2006/relationships/hyperlink" Target="https://b2beez.ru/images/detailed/169/6242641389.jpg" TargetMode="External"/><Relationship Id="rId_hyperlink_4453" Type="http://schemas.openxmlformats.org/officeDocument/2006/relationships/hyperlink" Target="https://b2beez.ru/images/detailed/169/6241082439.jpg" TargetMode="External"/><Relationship Id="rId_hyperlink_4454" Type="http://schemas.openxmlformats.org/officeDocument/2006/relationships/hyperlink" Target="https://b2beez.ru/images/detailed/169/6241082431.jpg" TargetMode="External"/><Relationship Id="rId_hyperlink_4455" Type="http://schemas.openxmlformats.org/officeDocument/2006/relationships/hyperlink" Target="https://b2beez.ru/images/detailed/169/orig_ljup-bn.jpg" TargetMode="External"/><Relationship Id="rId_hyperlink_4456" Type="http://schemas.openxmlformats.org/officeDocument/2006/relationships/hyperlink" Target="https://b2beez.ru/images/detailed/169/7175031881.jpg" TargetMode="External"/><Relationship Id="rId_hyperlink_4457" Type="http://schemas.openxmlformats.org/officeDocument/2006/relationships/hyperlink" Target="https://b2beez.ru/images/detailed/171/7180954954.jpg" TargetMode="External"/><Relationship Id="rId_hyperlink_4458" Type="http://schemas.openxmlformats.org/officeDocument/2006/relationships/hyperlink" Target="https://b2beez.ru/images/detailed/171/6241082472.jpg" TargetMode="External"/><Relationship Id="rId_hyperlink_4459" Type="http://schemas.openxmlformats.org/officeDocument/2006/relationships/hyperlink" Target="https://b2beez.ru/images/detailed/171/orig_q9aj-gs.jpg" TargetMode="External"/><Relationship Id="rId_hyperlink_4460" Type="http://schemas.openxmlformats.org/officeDocument/2006/relationships/hyperlink" Target="https://b2beez.ru/images/detailed/171/orig_9fp9-kp.jpg" TargetMode="External"/><Relationship Id="rId_hyperlink_4461" Type="http://schemas.openxmlformats.org/officeDocument/2006/relationships/hyperlink" Target="https://b2beez.ru/images/detailed/171/6233431312.jpg" TargetMode="External"/><Relationship Id="rId_hyperlink_4462" Type="http://schemas.openxmlformats.org/officeDocument/2006/relationships/hyperlink" Target="https://b2beez.ru/images/detailed/171/orig_p3ks-tc.jpg" TargetMode="External"/><Relationship Id="rId_hyperlink_4463" Type="http://schemas.openxmlformats.org/officeDocument/2006/relationships/hyperlink" Target="https://b2beez.ru/images/detailed/204/O-1585-2.jpg" TargetMode="External"/><Relationship Id="rId_hyperlink_4464" Type="http://schemas.openxmlformats.org/officeDocument/2006/relationships/hyperlink" Target="https://b2beez.ru/images/detailed/171/6228312573.jpg" TargetMode="External"/><Relationship Id="rId_hyperlink_4465" Type="http://schemas.openxmlformats.org/officeDocument/2006/relationships/hyperlink" Target="https://b2beez.ru/images/detailed/172/6228542526.jpg" TargetMode="External"/><Relationship Id="rId_hyperlink_4466" Type="http://schemas.openxmlformats.org/officeDocument/2006/relationships/hyperlink" Target="https://b2beez.ru/images/detailed/172/orig_shfi-sf.jpg" TargetMode="External"/><Relationship Id="rId_hyperlink_4467" Type="http://schemas.openxmlformats.org/officeDocument/2006/relationships/hyperlink" Target="https://b2beez.ru/images/detailed/172/6229908504.jpg" TargetMode="External"/><Relationship Id="rId_hyperlink_4468" Type="http://schemas.openxmlformats.org/officeDocument/2006/relationships/hyperlink" Target="https://b2beez.ru/images/detailed/172/6228542650.jpg" TargetMode="External"/><Relationship Id="rId_hyperlink_4469" Type="http://schemas.openxmlformats.org/officeDocument/2006/relationships/hyperlink" Target="https://b2beez.ru/images/detailed/172/orig_x2ph-78.jpg" TargetMode="External"/><Relationship Id="rId_hyperlink_4470" Type="http://schemas.openxmlformats.org/officeDocument/2006/relationships/hyperlink" Target="https://b2beez.ru/images/detailed/172/7186553190.jpg" TargetMode="External"/><Relationship Id="rId_hyperlink_4471" Type="http://schemas.openxmlformats.org/officeDocument/2006/relationships/hyperlink" Target="https://b2beez.ru/images/detailed/172/orig_zh4z-ly.jpg" TargetMode="External"/><Relationship Id="rId_hyperlink_4472" Type="http://schemas.openxmlformats.org/officeDocument/2006/relationships/hyperlink" Target="https://b2beez.ru/images/detailed/172/6229897055.jpg" TargetMode="External"/><Relationship Id="rId_hyperlink_4473" Type="http://schemas.openxmlformats.org/officeDocument/2006/relationships/hyperlink" Target="https://b2beez.ru/images/detailed/172/6992414595.jpg" TargetMode="External"/><Relationship Id="rId_hyperlink_4474" Type="http://schemas.openxmlformats.org/officeDocument/2006/relationships/hyperlink" Target="https://b2beez.ru/images/detailed/172/6241082527.jpg" TargetMode="External"/><Relationship Id="rId_hyperlink_4475" Type="http://schemas.openxmlformats.org/officeDocument/2006/relationships/hyperlink" Target="https://b2beez.ru/images/detailed/172/orig_15m1-ue.jpg" TargetMode="External"/><Relationship Id="rId_hyperlink_4476" Type="http://schemas.openxmlformats.org/officeDocument/2006/relationships/hyperlink" Target="https://b2beez.ru/images/detailed/172/orig_kbgv-bm.jpg" TargetMode="External"/><Relationship Id="rId_hyperlink_4477" Type="http://schemas.openxmlformats.org/officeDocument/2006/relationships/hyperlink" Target="https://b2beez.ru/images/detailed/172/6287756924_ks72-c5.jpg" TargetMode="External"/><Relationship Id="rId_hyperlink_4478" Type="http://schemas.openxmlformats.org/officeDocument/2006/relationships/hyperlink" Target="https://b2beez.ru/images/detailed/172/6287756928.jpg" TargetMode="External"/><Relationship Id="rId_hyperlink_4479" Type="http://schemas.openxmlformats.org/officeDocument/2006/relationships/hyperlink" Target="https://b2beez.ru/images/detailed/172/7160574106.jpg" TargetMode="External"/><Relationship Id="rId_hyperlink_4480" Type="http://schemas.openxmlformats.org/officeDocument/2006/relationships/hyperlink" Target="https://b2beez.ru/images/detailed/172/7160577827.jpg" TargetMode="External"/><Relationship Id="rId_hyperlink_4481" Type="http://schemas.openxmlformats.org/officeDocument/2006/relationships/hyperlink" Target="https://b2beez.ru/images/detailed/172/6228734362_k7g8-jj.jpg" TargetMode="External"/><Relationship Id="rId_hyperlink_4482" Type="http://schemas.openxmlformats.org/officeDocument/2006/relationships/hyperlink" Target="https://b2beez.ru/images/detailed/172/6228734362_zhet-ht.jpg" TargetMode="External"/><Relationship Id="rId_hyperlink_4483" Type="http://schemas.openxmlformats.org/officeDocument/2006/relationships/hyperlink" Target="https://b2beez.ru/images/detailed/172/orig_zput-8c.jpg" TargetMode="External"/><Relationship Id="rId_hyperlink_4484" Type="http://schemas.openxmlformats.org/officeDocument/2006/relationships/hyperlink" Target="https://b2beez.ru/images/detailed/172/6224689251.jpg" TargetMode="External"/><Relationship Id="rId_hyperlink_4485" Type="http://schemas.openxmlformats.org/officeDocument/2006/relationships/hyperlink" Target="https://b2beez.ru/images/detailed/172/6228542550.jpg" TargetMode="External"/><Relationship Id="rId_hyperlink_4486" Type="http://schemas.openxmlformats.org/officeDocument/2006/relationships/hyperlink" Target="https://b2beez.ru/images/detailed/205/1_1pr6-oj.jpg" TargetMode="External"/><Relationship Id="rId_hyperlink_4487" Type="http://schemas.openxmlformats.org/officeDocument/2006/relationships/hyperlink" Target="https://b2beez.ru/images/detailed/173/orig_g2sh-a2.jpg" TargetMode="External"/><Relationship Id="rId_hyperlink_4488" Type="http://schemas.openxmlformats.org/officeDocument/2006/relationships/hyperlink" Target="https://b2beez.ru/images/detailed/173/7171395058.jpg" TargetMode="External"/><Relationship Id="rId_hyperlink_4489" Type="http://schemas.openxmlformats.org/officeDocument/2006/relationships/hyperlink" Target="https://b2beez.ru/images/detailed/173/6228542505.jpg" TargetMode="External"/><Relationship Id="rId_hyperlink_4490" Type="http://schemas.openxmlformats.org/officeDocument/2006/relationships/hyperlink" Target="https://b2beez.ru/images/detailed/173/6228542183.jpg" TargetMode="External"/><Relationship Id="rId_hyperlink_4491" Type="http://schemas.openxmlformats.org/officeDocument/2006/relationships/hyperlink" Target="https://b2beez.ru/images/detailed/173/7171628677.jpg" TargetMode="External"/><Relationship Id="rId_hyperlink_4492" Type="http://schemas.openxmlformats.org/officeDocument/2006/relationships/hyperlink" Target="https://b2beez.ru/images/detailed/173/orig_kcbh-3r.jpg" TargetMode="External"/><Relationship Id="rId_hyperlink_4493" Type="http://schemas.openxmlformats.org/officeDocument/2006/relationships/hyperlink" Target="https://b2beez.ru/images/detailed/173/7171627701.jpg" TargetMode="External"/><Relationship Id="rId_hyperlink_4494" Type="http://schemas.openxmlformats.org/officeDocument/2006/relationships/hyperlink" Target="https://b2beez.ru/images/detailed/173/6228542292.jpg" TargetMode="External"/><Relationship Id="rId_hyperlink_4495" Type="http://schemas.openxmlformats.org/officeDocument/2006/relationships/hyperlink" Target="https://b2beez.ru/images/detailed/173/orig_kk2b-r5.jpg" TargetMode="External"/><Relationship Id="rId_hyperlink_4496" Type="http://schemas.openxmlformats.org/officeDocument/2006/relationships/hyperlink" Target="https://b2beez.ru/images/detailed/173/orig_iknw-ns.jpg" TargetMode="External"/><Relationship Id="rId_hyperlink_4497" Type="http://schemas.openxmlformats.org/officeDocument/2006/relationships/hyperlink" Target="https://b2beez.ru/images/detailed/173/6224782402.jpg" TargetMode="External"/><Relationship Id="rId_hyperlink_4498" Type="http://schemas.openxmlformats.org/officeDocument/2006/relationships/hyperlink" Target="https://b2beez.ru/images/detailed/173/6224782426.jpg" TargetMode="External"/><Relationship Id="rId_hyperlink_4499" Type="http://schemas.openxmlformats.org/officeDocument/2006/relationships/hyperlink" Target="https://b2beez.ru/images/detailed/173/6224782092.jpg" TargetMode="External"/><Relationship Id="rId_hyperlink_4500" Type="http://schemas.openxmlformats.org/officeDocument/2006/relationships/hyperlink" Target="https://b2beez.ru/images/detailed/173/6224782094.jpg" TargetMode="External"/><Relationship Id="rId_hyperlink_4501" Type="http://schemas.openxmlformats.org/officeDocument/2006/relationships/hyperlink" Target="https://b2beez.ru/images/detailed/173/6224689344.jpg" TargetMode="External"/><Relationship Id="rId_hyperlink_4502" Type="http://schemas.openxmlformats.org/officeDocument/2006/relationships/hyperlink" Target="https://b2beez.ru/images/detailed/173/6224782012.jpg" TargetMode="External"/><Relationship Id="rId_hyperlink_4503" Type="http://schemas.openxmlformats.org/officeDocument/2006/relationships/hyperlink" Target="https://b2beez.ru/images/detailed/173/orig_tmr4-7w.jpg" TargetMode="External"/><Relationship Id="rId_hyperlink_4504" Type="http://schemas.openxmlformats.org/officeDocument/2006/relationships/hyperlink" Target="https://b2beez.ru/images/detailed/173/6226082751.jpg" TargetMode="External"/><Relationship Id="rId_hyperlink_4505" Type="http://schemas.openxmlformats.org/officeDocument/2006/relationships/hyperlink" Target="https://b2beez.ru/images/detailed/173/6226082532.jpg" TargetMode="External"/><Relationship Id="rId_hyperlink_4506" Type="http://schemas.openxmlformats.org/officeDocument/2006/relationships/hyperlink" Target="https://b2beez.ru/images/detailed/173/6226082531.jpg" TargetMode="External"/><Relationship Id="rId_hyperlink_4507" Type="http://schemas.openxmlformats.org/officeDocument/2006/relationships/hyperlink" Target="https://b2beez.ru/images/detailed/173/6224782312.jpg" TargetMode="External"/><Relationship Id="rId_hyperlink_4508" Type="http://schemas.openxmlformats.org/officeDocument/2006/relationships/hyperlink" Target="https://b2beez.ru/images/detailed/173/6224782430.jpg" TargetMode="External"/><Relationship Id="rId_hyperlink_4509" Type="http://schemas.openxmlformats.org/officeDocument/2006/relationships/hyperlink" Target="https://b2beez.ru/images/detailed/173/6224781985.jpg" TargetMode="External"/><Relationship Id="rId_hyperlink_4510" Type="http://schemas.openxmlformats.org/officeDocument/2006/relationships/hyperlink" Target="https://b2beez.ru/images/detailed/173/6224781897.jpg" TargetMode="External"/><Relationship Id="rId_hyperlink_4511" Type="http://schemas.openxmlformats.org/officeDocument/2006/relationships/hyperlink" Target="https://b2beez.ru/images/detailed/173/orig_71tz-ue.jpg" TargetMode="External"/><Relationship Id="rId_hyperlink_4512" Type="http://schemas.openxmlformats.org/officeDocument/2006/relationships/hyperlink" Target="https://b2beez.ru/images/detailed/173/6226082728.jpg" TargetMode="External"/><Relationship Id="rId_hyperlink_4513" Type="http://schemas.openxmlformats.org/officeDocument/2006/relationships/hyperlink" Target="https://b2beez.ru/images/detailed/173/6224781953.jpg" TargetMode="External"/><Relationship Id="rId_hyperlink_4514" Type="http://schemas.openxmlformats.org/officeDocument/2006/relationships/hyperlink" Target="https://b2beez.ru/images/detailed/173/6224782313.jpg" TargetMode="External"/><Relationship Id="rId_hyperlink_4515" Type="http://schemas.openxmlformats.org/officeDocument/2006/relationships/hyperlink" Target="https://b2beez.ru/images/detailed/173/6226082681.jpg" TargetMode="External"/><Relationship Id="rId_hyperlink_4516" Type="http://schemas.openxmlformats.org/officeDocument/2006/relationships/hyperlink" Target="https://b2beez.ru/images/detailed/173/orig_eiak-oy.jpg" TargetMode="External"/><Relationship Id="rId_hyperlink_4517" Type="http://schemas.openxmlformats.org/officeDocument/2006/relationships/hyperlink" Target="https://b2beez.ru/images/detailed/173/6224782005.jpg" TargetMode="External"/><Relationship Id="rId_hyperlink_4518" Type="http://schemas.openxmlformats.org/officeDocument/2006/relationships/hyperlink" Target="https://b2beez.ru/images/detailed/173/6224782122.jpg" TargetMode="External"/><Relationship Id="rId_hyperlink_4519" Type="http://schemas.openxmlformats.org/officeDocument/2006/relationships/hyperlink" Target="https://b2beez.ru/images/detailed/173/orig_0qjx-43.jpg" TargetMode="External"/><Relationship Id="rId_hyperlink_4520" Type="http://schemas.openxmlformats.org/officeDocument/2006/relationships/hyperlink" Target="https://b2beez.ru/images/detailed/173/orig_9gxx-r4.jpg" TargetMode="External"/><Relationship Id="rId_hyperlink_4521" Type="http://schemas.openxmlformats.org/officeDocument/2006/relationships/hyperlink" Target="https://b2beez.ru/images/detailed/173/6224689402.jpg" TargetMode="External"/><Relationship Id="rId_hyperlink_4522" Type="http://schemas.openxmlformats.org/officeDocument/2006/relationships/hyperlink" Target="https://b2beez.ru/images/detailed/173/orig_rd6o-f6.jpg" TargetMode="External"/><Relationship Id="rId_hyperlink_4523" Type="http://schemas.openxmlformats.org/officeDocument/2006/relationships/hyperlink" Target="https://b2beez.ru/images/detailed/173/6228542079.jpg" TargetMode="External"/><Relationship Id="rId_hyperlink_4524" Type="http://schemas.openxmlformats.org/officeDocument/2006/relationships/hyperlink" Target="https://b2beez.ru/images/detailed/173/6228542138.jpg" TargetMode="External"/><Relationship Id="rId_hyperlink_4525" Type="http://schemas.openxmlformats.org/officeDocument/2006/relationships/hyperlink" Target="https://b2beez.ru/images/detailed/173/6224782344.jpg" TargetMode="External"/><Relationship Id="rId_hyperlink_4526" Type="http://schemas.openxmlformats.org/officeDocument/2006/relationships/hyperlink" Target="https://b2beez.ru/images/detailed/173/6224689482.jpg" TargetMode="External"/><Relationship Id="rId_hyperlink_4527" Type="http://schemas.openxmlformats.org/officeDocument/2006/relationships/hyperlink" Target="https://b2beez.ru/images/detailed/173/orig_2wcf-lh.jpg" TargetMode="External"/><Relationship Id="rId_hyperlink_4528" Type="http://schemas.openxmlformats.org/officeDocument/2006/relationships/hyperlink" Target="https://b2beez.ru/images/detailed/173/6224689680_zxbz-69.jpg" TargetMode="External"/><Relationship Id="rId_hyperlink_4529" Type="http://schemas.openxmlformats.org/officeDocument/2006/relationships/hyperlink" Target="https://b2beez.ru/images/detailed/173/6241082531.jpg" TargetMode="External"/><Relationship Id="rId_hyperlink_4530" Type="http://schemas.openxmlformats.org/officeDocument/2006/relationships/hyperlink" Target="https://b2beez.ru/images/detailed/173/7160326464.jpg" TargetMode="External"/><Relationship Id="rId_hyperlink_4531" Type="http://schemas.openxmlformats.org/officeDocument/2006/relationships/hyperlink" Target="https://b2beez.ru/images/detailed/173/6228734397_96b9-j6.jpg" TargetMode="External"/><Relationship Id="rId_hyperlink_4532" Type="http://schemas.openxmlformats.org/officeDocument/2006/relationships/hyperlink" Target="https://b2beez.ru/images/detailed/48/orig_o53x-a8.jpg" TargetMode="External"/><Relationship Id="rId_hyperlink_4533" Type="http://schemas.openxmlformats.org/officeDocument/2006/relationships/hyperlink" Target="https://b2beez.ru/images/detailed/173/orig_p596-uf.jpg" TargetMode="External"/><Relationship Id="rId_hyperlink_4534" Type="http://schemas.openxmlformats.org/officeDocument/2006/relationships/hyperlink" Target="https://b2beez.ru/images/detailed/173/orig_drq5-jv.jpg" TargetMode="External"/><Relationship Id="rId_hyperlink_4535" Type="http://schemas.openxmlformats.org/officeDocument/2006/relationships/hyperlink" Target="https://b2beez.ru/images/detailed/173/6608206327.jpg" TargetMode="External"/><Relationship Id="rId_hyperlink_4536" Type="http://schemas.openxmlformats.org/officeDocument/2006/relationships/hyperlink" Target="https://b2beez.ru/images/detailed/173/6241082515.jpg" TargetMode="External"/><Relationship Id="rId_hyperlink_4537" Type="http://schemas.openxmlformats.org/officeDocument/2006/relationships/hyperlink" Target="https://b2beez.ru/images/detailed/173/6224689479_9r16-ch.jpg" TargetMode="External"/><Relationship Id="rId_hyperlink_4538" Type="http://schemas.openxmlformats.org/officeDocument/2006/relationships/hyperlink" Target="https://b2beez.ru/images/detailed/173/6228542076.jpg" TargetMode="External"/><Relationship Id="rId_hyperlink_4539" Type="http://schemas.openxmlformats.org/officeDocument/2006/relationships/hyperlink" Target="https://b2beez.ru/images/detailed/173/orig_n6iz-g0.jpg" TargetMode="External"/><Relationship Id="rId_hyperlink_4540" Type="http://schemas.openxmlformats.org/officeDocument/2006/relationships/hyperlink" Target="https://b2beez.ru/images/detailed/173/6241082483.jpg" TargetMode="External"/><Relationship Id="rId_hyperlink_4541" Type="http://schemas.openxmlformats.org/officeDocument/2006/relationships/hyperlink" Target="https://b2beez.ru/images/detailed/174/6224781866.jpg" TargetMode="External"/><Relationship Id="rId_hyperlink_4542" Type="http://schemas.openxmlformats.org/officeDocument/2006/relationships/hyperlink" Target="https://b2beez.ru/images/detailed/174/orig_h4hm-j8.jpg" TargetMode="External"/><Relationship Id="rId_hyperlink_4543" Type="http://schemas.openxmlformats.org/officeDocument/2006/relationships/hyperlink" Target="https://b2beez.ru/images/detailed/174/6224782343.jpg" TargetMode="External"/><Relationship Id="rId_hyperlink_4544" Type="http://schemas.openxmlformats.org/officeDocument/2006/relationships/hyperlink" Target="https://b2beez.ru/images/detailed/174/6725171213.jpg" TargetMode="External"/><Relationship Id="rId_hyperlink_4545" Type="http://schemas.openxmlformats.org/officeDocument/2006/relationships/hyperlink" Target="https://b2beez.ru/images/detailed/174/orig_pzfn-4d.jpg" TargetMode="External"/><Relationship Id="rId_hyperlink_4546" Type="http://schemas.openxmlformats.org/officeDocument/2006/relationships/hyperlink" Target="https://b2beez.ru/images/detailed/174/6224782278.jpg" TargetMode="External"/><Relationship Id="rId_hyperlink_4547" Type="http://schemas.openxmlformats.org/officeDocument/2006/relationships/hyperlink" Target="https://b2beez.ru/images/detailed/174/orig_cpje-7u.jpg" TargetMode="External"/><Relationship Id="rId_hyperlink_4548" Type="http://schemas.openxmlformats.org/officeDocument/2006/relationships/hyperlink" Target="https://b2beez.ru/images/detailed/174/orig_rakd-iv.jpg" TargetMode="External"/><Relationship Id="rId_hyperlink_4549" Type="http://schemas.openxmlformats.org/officeDocument/2006/relationships/hyperlink" Target="https://b2beez.ru/images/detailed/174/6653086236.jpg" TargetMode="External"/><Relationship Id="rId_hyperlink_4550" Type="http://schemas.openxmlformats.org/officeDocument/2006/relationships/hyperlink" Target="https://b2beez.ru/images/detailed/174/orig_panq-cs.jpg" TargetMode="External"/><Relationship Id="rId_hyperlink_4551" Type="http://schemas.openxmlformats.org/officeDocument/2006/relationships/hyperlink" Target="https://b2beez.ru/images/detailed/174/6224781864.jpg" TargetMode="External"/><Relationship Id="rId_hyperlink_4552" Type="http://schemas.openxmlformats.org/officeDocument/2006/relationships/hyperlink" Target="https://b2beez.ru/images/detailed/174/orig_li7w-sk.jpg" TargetMode="External"/><Relationship Id="rId_hyperlink_4553" Type="http://schemas.openxmlformats.org/officeDocument/2006/relationships/hyperlink" Target="https://b2beez.ru/images/detailed/174/6741820783.jpg" TargetMode="External"/><Relationship Id="rId_hyperlink_4554" Type="http://schemas.openxmlformats.org/officeDocument/2006/relationships/hyperlink" Target="https://b2beez.ru/images/detailed/204/P-5357-2.jpg" TargetMode="External"/><Relationship Id="rId_hyperlink_4555" Type="http://schemas.openxmlformats.org/officeDocument/2006/relationships/hyperlink" Target="https://b2beez.ru/images/detailed/174/7186650645.jpg" TargetMode="External"/><Relationship Id="rId_hyperlink_4556" Type="http://schemas.openxmlformats.org/officeDocument/2006/relationships/hyperlink" Target="https://b2beez.ru/images/detailed/174/orig_yp38-bn.jpg" TargetMode="External"/><Relationship Id="rId_hyperlink_4557" Type="http://schemas.openxmlformats.org/officeDocument/2006/relationships/hyperlink" Target="https://b2beez.ru/images/detailed/174/6228542355.jpg" TargetMode="External"/><Relationship Id="rId_hyperlink_4558" Type="http://schemas.openxmlformats.org/officeDocument/2006/relationships/hyperlink" Target="https://b2beez.ru/images/detailed/174/orig_3vb1-4z.jpg" TargetMode="External"/><Relationship Id="rId_hyperlink_4559" Type="http://schemas.openxmlformats.org/officeDocument/2006/relationships/hyperlink" Target="https://b2beez.ru/images/detailed/174/6228542265.jpg" TargetMode="External"/><Relationship Id="rId_hyperlink_4560" Type="http://schemas.openxmlformats.org/officeDocument/2006/relationships/hyperlink" Target="https://b2beez.ru/images/detailed/174/6228542564.jpg" TargetMode="External"/><Relationship Id="rId_hyperlink_4561" Type="http://schemas.openxmlformats.org/officeDocument/2006/relationships/hyperlink" Target="https://b2beez.ru/images/detailed/174/orig_adoi-dj.jpg" TargetMode="External"/><Relationship Id="rId_hyperlink_4562" Type="http://schemas.openxmlformats.org/officeDocument/2006/relationships/hyperlink" Target="https://b2beez.ru/images/detailed/174/7093672178.jpg" TargetMode="External"/><Relationship Id="rId_hyperlink_4563" Type="http://schemas.openxmlformats.org/officeDocument/2006/relationships/hyperlink" Target="https://b2beez.ru/images/detailed/174/orig_n81v-hl.jpg" TargetMode="External"/><Relationship Id="rId_hyperlink_4564" Type="http://schemas.openxmlformats.org/officeDocument/2006/relationships/hyperlink" Target="https://b2beez.ru/images/detailed/174/orig_798q-sy.jpg" TargetMode="External"/><Relationship Id="rId_hyperlink_4565" Type="http://schemas.openxmlformats.org/officeDocument/2006/relationships/hyperlink" Target="https://b2beez.ru/images/detailed/174/orig_yzxr-pr.jpg" TargetMode="External"/><Relationship Id="rId_hyperlink_4566" Type="http://schemas.openxmlformats.org/officeDocument/2006/relationships/hyperlink" Target="https://b2beez.ru/images/detailed/174/6228734497.jpg" TargetMode="External"/><Relationship Id="rId_hyperlink_4567" Type="http://schemas.openxmlformats.org/officeDocument/2006/relationships/hyperlink" Target="https://b2beez.ru/images/detailed/174/orig_3t9u-gz.jpg" TargetMode="External"/><Relationship Id="rId_hyperlink_4568" Type="http://schemas.openxmlformats.org/officeDocument/2006/relationships/hyperlink" Target="https://b2beez.ru/images/detailed/174/6224689679_1i6y-f3.jpg" TargetMode="External"/><Relationship Id="rId_hyperlink_4569" Type="http://schemas.openxmlformats.org/officeDocument/2006/relationships/hyperlink" Target="https://b2beez.ru/images/detailed/174/6224689504.jpg" TargetMode="External"/><Relationship Id="rId_hyperlink_4570" Type="http://schemas.openxmlformats.org/officeDocument/2006/relationships/hyperlink" Target="https://b2beez.ru/images/detailed/174/orig_flza-3b.jpg" TargetMode="External"/><Relationship Id="rId_hyperlink_4571" Type="http://schemas.openxmlformats.org/officeDocument/2006/relationships/hyperlink" Target="https://b2beez.ru/images/detailed/204/1_2sy4-7d.jpg" TargetMode="External"/><Relationship Id="rId_hyperlink_4572" Type="http://schemas.openxmlformats.org/officeDocument/2006/relationships/hyperlink" Target="https://b2beez.ru/images/detailed/174/6224689452_4z59-5j.jpg" TargetMode="External"/><Relationship Id="rId_hyperlink_4573" Type="http://schemas.openxmlformats.org/officeDocument/2006/relationships/hyperlink" Target="https://b2beez.ru/images/detailed/174/6224689452_u8xh-me.jpg" TargetMode="External"/><Relationship Id="rId_hyperlink_4574" Type="http://schemas.openxmlformats.org/officeDocument/2006/relationships/hyperlink" Target="https://b2beez.ru/images/detailed/174/6224689554_mx0p-qt.jpg" TargetMode="External"/><Relationship Id="rId_hyperlink_4575" Type="http://schemas.openxmlformats.org/officeDocument/2006/relationships/hyperlink" Target="https://b2beez.ru/images/detailed/174/6224689499.jpg" TargetMode="External"/><Relationship Id="rId_hyperlink_4576" Type="http://schemas.openxmlformats.org/officeDocument/2006/relationships/hyperlink" Target="https://b2beez.ru/images/detailed/174/orig_p6o8-2o.jpg" TargetMode="External"/><Relationship Id="rId_hyperlink_4577" Type="http://schemas.openxmlformats.org/officeDocument/2006/relationships/hyperlink" Target="https://b2beez.ru/images/detailed/174/orig_ymz5-37.jpg" TargetMode="External"/><Relationship Id="rId_hyperlink_4578" Type="http://schemas.openxmlformats.org/officeDocument/2006/relationships/hyperlink" Target="https://b2beez.ru/images/detailed/174/orig_7zbu-ap.jpg" TargetMode="External"/><Relationship Id="rId_hyperlink_4579" Type="http://schemas.openxmlformats.org/officeDocument/2006/relationships/hyperlink" Target="https://b2beez.ru/images/detailed/174/6224689779.jpg" TargetMode="External"/><Relationship Id="rId_hyperlink_4580" Type="http://schemas.openxmlformats.org/officeDocument/2006/relationships/hyperlink" Target="https://b2beez.ru/images/detailed/174/6224689686.jpg" TargetMode="External"/><Relationship Id="rId_hyperlink_4581" Type="http://schemas.openxmlformats.org/officeDocument/2006/relationships/hyperlink" Target="https://b2beez.ru/images/detailed/174/6224689507_0ki8-p0.jpg" TargetMode="External"/><Relationship Id="rId_hyperlink_4582" Type="http://schemas.openxmlformats.org/officeDocument/2006/relationships/hyperlink" Target="https://b2beez.ru/images/detailed/174/6224689550.jpg" TargetMode="External"/><Relationship Id="rId_hyperlink_4583" Type="http://schemas.openxmlformats.org/officeDocument/2006/relationships/hyperlink" Target="https://b2beez.ru/images/detailed/174/6224689953.jpg" TargetMode="External"/><Relationship Id="rId_hyperlink_4584" Type="http://schemas.openxmlformats.org/officeDocument/2006/relationships/hyperlink" Target="https://b2beez.ru/images/detailed/174/6224689865.jpg" TargetMode="External"/><Relationship Id="rId_hyperlink_4585" Type="http://schemas.openxmlformats.org/officeDocument/2006/relationships/hyperlink" Target="https://b2beez.ru/images/detailed/174/6224689614_9vm1-xb.jpg" TargetMode="External"/><Relationship Id="rId_hyperlink_4586" Type="http://schemas.openxmlformats.org/officeDocument/2006/relationships/hyperlink" Target="https://b2beez.ru/images/detailed/174/6224689703.jpg" TargetMode="External"/><Relationship Id="rId_hyperlink_4587" Type="http://schemas.openxmlformats.org/officeDocument/2006/relationships/hyperlink" Target="https://b2beez.ru/images/detailed/174/6224689743_754j-uk.jpg" TargetMode="External"/><Relationship Id="rId_hyperlink_4588" Type="http://schemas.openxmlformats.org/officeDocument/2006/relationships/hyperlink" Target="https://b2beez.ru/images/detailed/174/6224689996.jpg" TargetMode="External"/><Relationship Id="rId_hyperlink_4589" Type="http://schemas.openxmlformats.org/officeDocument/2006/relationships/hyperlink" Target="https://b2beez.ru/images/detailed/174/6224689627.jpg" TargetMode="External"/><Relationship Id="rId_hyperlink_4590" Type="http://schemas.openxmlformats.org/officeDocument/2006/relationships/hyperlink" Target="https://b2beez.ru/images/detailed/174/6224689366.jpg" TargetMode="External"/><Relationship Id="rId_hyperlink_4591" Type="http://schemas.openxmlformats.org/officeDocument/2006/relationships/hyperlink" Target="https://b2beez.ru/images/detailed/174/orig_popf-ft.jpg" TargetMode="External"/><Relationship Id="rId_hyperlink_4592" Type="http://schemas.openxmlformats.org/officeDocument/2006/relationships/hyperlink" Target="https://b2beez.ru/images/detailed/174/7137659891.jpg" TargetMode="External"/><Relationship Id="rId_hyperlink_4593" Type="http://schemas.openxmlformats.org/officeDocument/2006/relationships/hyperlink" Target="https://b2beez.ru/images/detailed/174/orig_pdmo-zi.jpg" TargetMode="External"/><Relationship Id="rId_hyperlink_4594" Type="http://schemas.openxmlformats.org/officeDocument/2006/relationships/hyperlink" Target="https://b2beez.ru/images/detailed/174/orig_lt24-9y.jpg" TargetMode="External"/><Relationship Id="rId_hyperlink_4595" Type="http://schemas.openxmlformats.org/officeDocument/2006/relationships/hyperlink" Target="https://b2beez.ru/images/detailed/174/6224782038.jpg" TargetMode="External"/><Relationship Id="rId_hyperlink_4596" Type="http://schemas.openxmlformats.org/officeDocument/2006/relationships/hyperlink" Target="https://b2beez.ru/images/detailed/174/orig_wg0d-t0.jpg" TargetMode="External"/><Relationship Id="rId_hyperlink_4597" Type="http://schemas.openxmlformats.org/officeDocument/2006/relationships/hyperlink" Target="https://b2beez.ru/images/detailed/175/7095584806.jpg" TargetMode="External"/><Relationship Id="rId_hyperlink_4598" Type="http://schemas.openxmlformats.org/officeDocument/2006/relationships/hyperlink" Target="https://b2beez.ru/images/detailed/175/7095587371.jpg" TargetMode="External"/><Relationship Id="rId_hyperlink_4599" Type="http://schemas.openxmlformats.org/officeDocument/2006/relationships/hyperlink" Target="https://b2beez.ru/images/detailed/175/orig_tgfp-b4.jpg" TargetMode="External"/><Relationship Id="rId_hyperlink_4600" Type="http://schemas.openxmlformats.org/officeDocument/2006/relationships/hyperlink" Target="https://b2beez.ru/images/detailed/175/6228542341.jpg" TargetMode="External"/><Relationship Id="rId_hyperlink_4601" Type="http://schemas.openxmlformats.org/officeDocument/2006/relationships/hyperlink" Target="https://b2beez.ru/images/detailed/175/orig_5ucj-vy.jpg" TargetMode="External"/><Relationship Id="rId_hyperlink_4602" Type="http://schemas.openxmlformats.org/officeDocument/2006/relationships/hyperlink" Target="https://b2beez.ru/images/detailed/175/6224689273.jpg" TargetMode="External"/><Relationship Id="rId_hyperlink_4603" Type="http://schemas.openxmlformats.org/officeDocument/2006/relationships/hyperlink" Target="https://b2beez.ru/images/detailed/175/6224689273_m4vr-11.jpg" TargetMode="External"/><Relationship Id="rId_hyperlink_4604" Type="http://schemas.openxmlformats.org/officeDocument/2006/relationships/hyperlink" Target="https://b2beez.ru/images/detailed/175/6224689377.jpg" TargetMode="External"/><Relationship Id="rId_hyperlink_4605" Type="http://schemas.openxmlformats.org/officeDocument/2006/relationships/hyperlink" Target="https://b2beez.ru/images/detailed/175/orig_s3if-13.jpg" TargetMode="External"/><Relationship Id="rId_hyperlink_4606" Type="http://schemas.openxmlformats.org/officeDocument/2006/relationships/hyperlink" Target="https://b2beez.ru/images/detailed/175/6224689371.jpg" TargetMode="External"/><Relationship Id="rId_hyperlink_4607" Type="http://schemas.openxmlformats.org/officeDocument/2006/relationships/hyperlink" Target="https://b2beez.ru/images/detailed/175/6224689409.jpg" TargetMode="External"/><Relationship Id="rId_hyperlink_4608" Type="http://schemas.openxmlformats.org/officeDocument/2006/relationships/hyperlink" Target="https://b2beez.ru/images/detailed/175/6224689395.jpg" TargetMode="External"/><Relationship Id="rId_hyperlink_4609" Type="http://schemas.openxmlformats.org/officeDocument/2006/relationships/hyperlink" Target="https://b2beez.ru/images/detailed/175/orig_x7cb-h1.jpg" TargetMode="External"/><Relationship Id="rId_hyperlink_4610" Type="http://schemas.openxmlformats.org/officeDocument/2006/relationships/hyperlink" Target="https://b2beez.ru/images/detailed/175/6224689457.jpg" TargetMode="External"/><Relationship Id="rId_hyperlink_4611" Type="http://schemas.openxmlformats.org/officeDocument/2006/relationships/hyperlink" Target="https://b2beez.ru/images/detailed/175/orig_8q23-36.jpg" TargetMode="External"/><Relationship Id="rId_hyperlink_4612" Type="http://schemas.openxmlformats.org/officeDocument/2006/relationships/hyperlink" Target="https://b2beez.ru/images/detailed/0/" TargetMode="External"/><Relationship Id="rId_hyperlink_4613" Type="http://schemas.openxmlformats.org/officeDocument/2006/relationships/hyperlink" Target="https://b2beez.ru/images/detailed/175/6224689649.jpg" TargetMode="External"/><Relationship Id="rId_hyperlink_4614" Type="http://schemas.openxmlformats.org/officeDocument/2006/relationships/hyperlink" Target="https://b2beez.ru/images/detailed/175/6224689712.jpg" TargetMode="External"/><Relationship Id="rId_hyperlink_4615" Type="http://schemas.openxmlformats.org/officeDocument/2006/relationships/hyperlink" Target="https://b2beez.ru/images/detailed/175/6224689993.jpg" TargetMode="External"/><Relationship Id="rId_hyperlink_4616" Type="http://schemas.openxmlformats.org/officeDocument/2006/relationships/hyperlink" Target="https://b2beez.ru/images/detailed/175/6224689702.jpg" TargetMode="External"/><Relationship Id="rId_hyperlink_4617" Type="http://schemas.openxmlformats.org/officeDocument/2006/relationships/hyperlink" Target="https://b2beez.ru/images/detailed/175/6224689642.jpg" TargetMode="External"/><Relationship Id="rId_hyperlink_4618" Type="http://schemas.openxmlformats.org/officeDocument/2006/relationships/hyperlink" Target="https://b2beez.ru/images/detailed/175/6224689761.jpg" TargetMode="External"/><Relationship Id="rId_hyperlink_4619" Type="http://schemas.openxmlformats.org/officeDocument/2006/relationships/hyperlink" Target="https://b2beez.ru/images/detailed/175/orig_78t9-66.jpg" TargetMode="External"/><Relationship Id="rId_hyperlink_4620" Type="http://schemas.openxmlformats.org/officeDocument/2006/relationships/hyperlink" Target="https://b2beez.ru/images/detailed/175/6224689936.jpg" TargetMode="External"/><Relationship Id="rId_hyperlink_4621" Type="http://schemas.openxmlformats.org/officeDocument/2006/relationships/hyperlink" Target="https://b2beez.ru/images/detailed/175/6241082541.jpg" TargetMode="External"/><Relationship Id="rId_hyperlink_4622" Type="http://schemas.openxmlformats.org/officeDocument/2006/relationships/hyperlink" Target="https://b2beez.ru/images/detailed/176/7065191940.jpg" TargetMode="External"/><Relationship Id="rId_hyperlink_4623" Type="http://schemas.openxmlformats.org/officeDocument/2006/relationships/hyperlink" Target="https://b2beez.ru/images/detailed/176/orig_w0nq-x5.jpg" TargetMode="External"/><Relationship Id="rId_hyperlink_4624" Type="http://schemas.openxmlformats.org/officeDocument/2006/relationships/hyperlink" Target="https://b2beez.ru/images/detailed/176/orig_rm7u-1i.jpg" TargetMode="External"/><Relationship Id="rId_hyperlink_4625" Type="http://schemas.openxmlformats.org/officeDocument/2006/relationships/hyperlink" Target="https://b2beez.ru/images/detailed/176/6228734635.jpg" TargetMode="External"/><Relationship Id="rId_hyperlink_4626" Type="http://schemas.openxmlformats.org/officeDocument/2006/relationships/hyperlink" Target="https://b2beez.ru/images/detailed/176/6228734459.jpg" TargetMode="External"/><Relationship Id="rId_hyperlink_4627" Type="http://schemas.openxmlformats.org/officeDocument/2006/relationships/hyperlink" Target="https://b2beez.ru/images/detailed/176/orig_3rqr-rl.jpg" TargetMode="External"/><Relationship Id="rId_hyperlink_4628" Type="http://schemas.openxmlformats.org/officeDocument/2006/relationships/hyperlink" Target="https://b2beez.ru/images/detailed/176/6228734495.jpg" TargetMode="External"/><Relationship Id="rId_hyperlink_4629" Type="http://schemas.openxmlformats.org/officeDocument/2006/relationships/hyperlink" Target="https://b2beez.ru/images/detailed/176/orig_smyx-5h.jpg" TargetMode="External"/><Relationship Id="rId_hyperlink_4630" Type="http://schemas.openxmlformats.org/officeDocument/2006/relationships/hyperlink" Target="https://b2beez.ru/images/detailed/176/7065665102.jpg" TargetMode="External"/><Relationship Id="rId_hyperlink_4631" Type="http://schemas.openxmlformats.org/officeDocument/2006/relationships/hyperlink" Target="https://b2beez.ru/images/detailed/176/orig_6b85-l1.jpg" TargetMode="External"/><Relationship Id="rId_hyperlink_4632" Type="http://schemas.openxmlformats.org/officeDocument/2006/relationships/hyperlink" Target="https://b2beez.ru/images/detailed/176/7095606118.jpg" TargetMode="External"/><Relationship Id="rId_hyperlink_4633" Type="http://schemas.openxmlformats.org/officeDocument/2006/relationships/hyperlink" Target="https://b2beez.ru/images/detailed/176/6228542179.jpg" TargetMode="External"/><Relationship Id="rId_hyperlink_4634" Type="http://schemas.openxmlformats.org/officeDocument/2006/relationships/hyperlink" Target="https://b2beez.ru/images/detailed/176/orig_qgf5-ik.jpg" TargetMode="External"/><Relationship Id="rId_hyperlink_4635" Type="http://schemas.openxmlformats.org/officeDocument/2006/relationships/hyperlink" Target="https://b2beez.ru/images/detailed/176/orig_oudc-4j.jpg" TargetMode="External"/><Relationship Id="rId_hyperlink_4636" Type="http://schemas.openxmlformats.org/officeDocument/2006/relationships/hyperlink" Target="https://b2beez.ru/images/detailed/176/orig_9bch-xx.jpg" TargetMode="External"/><Relationship Id="rId_hyperlink_4637" Type="http://schemas.openxmlformats.org/officeDocument/2006/relationships/hyperlink" Target="https://b2beez.ru/images/detailed/176/6228734607.jpg" TargetMode="External"/><Relationship Id="rId_hyperlink_4638" Type="http://schemas.openxmlformats.org/officeDocument/2006/relationships/hyperlink" Target="https://b2beez.ru/images/detailed/177/6241082445.jpg" TargetMode="External"/><Relationship Id="rId_hyperlink_4639" Type="http://schemas.openxmlformats.org/officeDocument/2006/relationships/hyperlink" Target="https://b2beez.ru/images/detailed/177/6228734619_azxc-dg.jpg" TargetMode="External"/><Relationship Id="rId_hyperlink_4640" Type="http://schemas.openxmlformats.org/officeDocument/2006/relationships/hyperlink" Target="https://b2beez.ru/images/detailed/177/orig_7615-zv.jpg" TargetMode="External"/><Relationship Id="rId_hyperlink_4641" Type="http://schemas.openxmlformats.org/officeDocument/2006/relationships/hyperlink" Target="https://b2beez.ru/images/detailed/177/6228734535.jpg" TargetMode="External"/><Relationship Id="rId_hyperlink_4642" Type="http://schemas.openxmlformats.org/officeDocument/2006/relationships/hyperlink" Target="https://b2beez.ru/images/detailed/177/6228734467.jpg" TargetMode="External"/><Relationship Id="rId_hyperlink_4643" Type="http://schemas.openxmlformats.org/officeDocument/2006/relationships/hyperlink" Target="https://b2beez.ru/images/detailed/177/orig_udbi-iu.jpg" TargetMode="External"/><Relationship Id="rId_hyperlink_4644" Type="http://schemas.openxmlformats.org/officeDocument/2006/relationships/hyperlink" Target="https://b2beez.ru/images/detailed/177/orig_9m33-s2.jpg" TargetMode="External"/><Relationship Id="rId_hyperlink_4645" Type="http://schemas.openxmlformats.org/officeDocument/2006/relationships/hyperlink" Target="https://b2beez.ru/images/detailed/177/orig_tn7g-zm.jpg" TargetMode="External"/><Relationship Id="rId_hyperlink_4646" Type="http://schemas.openxmlformats.org/officeDocument/2006/relationships/hyperlink" Target="https://b2beez.ru/images/detailed/177/orig_v3eb-k9.jpg" TargetMode="External"/><Relationship Id="rId_hyperlink_4647" Type="http://schemas.openxmlformats.org/officeDocument/2006/relationships/hyperlink" Target="https://b2beez.ru/images/detailed/177/orig_skfe-8h.jpg" TargetMode="External"/><Relationship Id="rId_hyperlink_4648" Type="http://schemas.openxmlformats.org/officeDocument/2006/relationships/hyperlink" Target="https://b2beez.ru/images/detailed/177/6828595293.jpg" TargetMode="External"/><Relationship Id="rId_hyperlink_4649" Type="http://schemas.openxmlformats.org/officeDocument/2006/relationships/hyperlink" Target="https://b2beez.ru/images/detailed/177/orig_tzz3-o3.jpg" TargetMode="External"/><Relationship Id="rId_hyperlink_4650" Type="http://schemas.openxmlformats.org/officeDocument/2006/relationships/hyperlink" Target="https://b2beez.ru/images/detailed/47/orig_7lmi-2t.jpg" TargetMode="External"/><Relationship Id="rId_hyperlink_4651" Type="http://schemas.openxmlformats.org/officeDocument/2006/relationships/hyperlink" Target="https://b2beez.ru/images/detailed/177/6741829367.jpg" TargetMode="External"/><Relationship Id="rId_hyperlink_4652" Type="http://schemas.openxmlformats.org/officeDocument/2006/relationships/hyperlink" Target="https://b2beez.ru/images/detailed/177/6828591374.jpg" TargetMode="External"/><Relationship Id="rId_hyperlink_4653" Type="http://schemas.openxmlformats.org/officeDocument/2006/relationships/hyperlink" Target="https://b2beez.ru/images/detailed/177/6187548929_8clf-tw.jpg" TargetMode="External"/><Relationship Id="rId_hyperlink_4654" Type="http://schemas.openxmlformats.org/officeDocument/2006/relationships/hyperlink" Target="https://b2beez.ru/images/detailed/177/6228542119.jpg" TargetMode="External"/><Relationship Id="rId_hyperlink_4655" Type="http://schemas.openxmlformats.org/officeDocument/2006/relationships/hyperlink" Target="https://b2beez.ru/images/detailed/177/orig_maoi-0x.jpg" TargetMode="External"/><Relationship Id="rId_hyperlink_4656" Type="http://schemas.openxmlformats.org/officeDocument/2006/relationships/hyperlink" Target="https://b2beez.ru/images/detailed/177/6228542021.jpg" TargetMode="External"/><Relationship Id="rId_hyperlink_4657" Type="http://schemas.openxmlformats.org/officeDocument/2006/relationships/hyperlink" Target="https://b2beez.ru/images/detailed/177/orig_wabw-ey.jpg" TargetMode="External"/><Relationship Id="rId_hyperlink_4658" Type="http://schemas.openxmlformats.org/officeDocument/2006/relationships/hyperlink" Target="https://b2beez.ru/images/detailed/177/orig_z2p0-hf.jpg" TargetMode="External"/><Relationship Id="rId_hyperlink_4659" Type="http://schemas.openxmlformats.org/officeDocument/2006/relationships/hyperlink" Target="https://b2beez.ru/images/detailed/177/6228542091.jpg" TargetMode="External"/><Relationship Id="rId_hyperlink_4660" Type="http://schemas.openxmlformats.org/officeDocument/2006/relationships/hyperlink" Target="https://b2beez.ru/images/detailed/177/6228541965_625w-fx.jpg" TargetMode="External"/><Relationship Id="rId_hyperlink_4661" Type="http://schemas.openxmlformats.org/officeDocument/2006/relationships/hyperlink" Target="https://b2beez.ru/images/detailed/177/6228542213.jpg" TargetMode="External"/><Relationship Id="rId_hyperlink_4662" Type="http://schemas.openxmlformats.org/officeDocument/2006/relationships/hyperlink" Target="https://b2beez.ru/images/detailed/177/6228542354.jpg" TargetMode="External"/><Relationship Id="rId_hyperlink_4663" Type="http://schemas.openxmlformats.org/officeDocument/2006/relationships/hyperlink" Target="https://b2beez.ru/images/detailed/177/6228542134.jpg" TargetMode="External"/><Relationship Id="rId_hyperlink_4664" Type="http://schemas.openxmlformats.org/officeDocument/2006/relationships/hyperlink" Target="https://b2beez.ru/images/detailed/177/6228542063.jpg" TargetMode="External"/><Relationship Id="rId_hyperlink_4665" Type="http://schemas.openxmlformats.org/officeDocument/2006/relationships/hyperlink" Target="https://b2beez.ru/images/detailed/177/6228542471.jpg" TargetMode="External"/><Relationship Id="rId_hyperlink_4666" Type="http://schemas.openxmlformats.org/officeDocument/2006/relationships/hyperlink" Target="https://b2beez.ru/images/detailed/177/orig_aw7g-5g.jpg" TargetMode="External"/><Relationship Id="rId_hyperlink_4667" Type="http://schemas.openxmlformats.org/officeDocument/2006/relationships/hyperlink" Target="https://b2beez.ru/images/detailed/178/orig_6slv-3g.jpg" TargetMode="External"/><Relationship Id="rId_hyperlink_4668" Type="http://schemas.openxmlformats.org/officeDocument/2006/relationships/hyperlink" Target="https://b2beez.ru/images/detailed/178/6187548965.jpg" TargetMode="External"/><Relationship Id="rId_hyperlink_4669" Type="http://schemas.openxmlformats.org/officeDocument/2006/relationships/hyperlink" Target="https://b2beez.ru/images/detailed/178/6187548933.jpg" TargetMode="External"/><Relationship Id="rId_hyperlink_4670" Type="http://schemas.openxmlformats.org/officeDocument/2006/relationships/hyperlink" Target="https://b2beez.ru/images/detailed/178/6187548965_5amn-9n.jpg" TargetMode="External"/><Relationship Id="rId_hyperlink_4671" Type="http://schemas.openxmlformats.org/officeDocument/2006/relationships/hyperlink" Target="https://b2beez.ru/images/detailed/178/6187548965_b582-7k.jpg" TargetMode="External"/><Relationship Id="rId_hyperlink_4672" Type="http://schemas.openxmlformats.org/officeDocument/2006/relationships/hyperlink" Target="https://b2beez.ru/images/detailed/178/6187548938_5ape-dz.jpg" TargetMode="External"/><Relationship Id="rId_hyperlink_4673" Type="http://schemas.openxmlformats.org/officeDocument/2006/relationships/hyperlink" Target="https://b2beez.ru/images/detailed/178/6187548938_yjm6-s4.jpg" TargetMode="External"/><Relationship Id="rId_hyperlink_4674" Type="http://schemas.openxmlformats.org/officeDocument/2006/relationships/hyperlink" Target="https://b2beez.ru/images/detailed/178/orig_4ngw-ij.jpg" TargetMode="External"/><Relationship Id="rId_hyperlink_4675" Type="http://schemas.openxmlformats.org/officeDocument/2006/relationships/hyperlink" Target="https://b2beez.ru/images/detailed/178/orig_ykdz-ea.jpg" TargetMode="External"/><Relationship Id="rId_hyperlink_4676" Type="http://schemas.openxmlformats.org/officeDocument/2006/relationships/hyperlink" Target="https://b2beez.ru/images/detailed/178/6187548938_ooo8-k7.jpg" TargetMode="External"/><Relationship Id="rId_hyperlink_4677" Type="http://schemas.openxmlformats.org/officeDocument/2006/relationships/hyperlink" Target="https://b2beez.ru/images/detailed/178/6187548933_9mkf-c3.jpg" TargetMode="External"/><Relationship Id="rId_hyperlink_4678" Type="http://schemas.openxmlformats.org/officeDocument/2006/relationships/hyperlink" Target="https://b2beez.ru/images/detailed/178/orig_f8zm-2p.jpg" TargetMode="External"/><Relationship Id="rId_hyperlink_4679" Type="http://schemas.openxmlformats.org/officeDocument/2006/relationships/hyperlink" Target="https://b2beez.ru/images/detailed/178/6187548938_b4dc-gh.jpg" TargetMode="External"/><Relationship Id="rId_hyperlink_4680" Type="http://schemas.openxmlformats.org/officeDocument/2006/relationships/hyperlink" Target="https://b2beez.ru/images/detailed/178/6228542484.jpg" TargetMode="External"/><Relationship Id="rId_hyperlink_4681" Type="http://schemas.openxmlformats.org/officeDocument/2006/relationships/hyperlink" Target="https://b2beez.ru/images/detailed/178/6228542314.jpg" TargetMode="External"/><Relationship Id="rId_hyperlink_4682" Type="http://schemas.openxmlformats.org/officeDocument/2006/relationships/hyperlink" Target="https://b2beez.ru/images/detailed/178/6228542332.jpg" TargetMode="External"/><Relationship Id="rId_hyperlink_4683" Type="http://schemas.openxmlformats.org/officeDocument/2006/relationships/hyperlink" Target="https://b2beez.ru/images/detailed/0/" TargetMode="External"/><Relationship Id="rId_hyperlink_4684" Type="http://schemas.openxmlformats.org/officeDocument/2006/relationships/hyperlink" Target="https://b2beez.ru/images/detailed/203/1_urh5-pn.jpg" TargetMode="External"/><Relationship Id="rId_hyperlink_4685" Type="http://schemas.openxmlformats.org/officeDocument/2006/relationships/hyperlink" Target="https://b2beez.ru/images/detailed/178/6228542479.jpg" TargetMode="External"/><Relationship Id="rId_hyperlink_4686" Type="http://schemas.openxmlformats.org/officeDocument/2006/relationships/hyperlink" Target="https://b2beez.ru/images/detailed/178/6242640569.jpg" TargetMode="External"/><Relationship Id="rId_hyperlink_4687" Type="http://schemas.openxmlformats.org/officeDocument/2006/relationships/hyperlink" Target="https://b2beez.ru/images/detailed/178/6228542255.jpg" TargetMode="External"/><Relationship Id="rId_hyperlink_4688" Type="http://schemas.openxmlformats.org/officeDocument/2006/relationships/hyperlink" Target="https://b2beez.ru/images/detailed/178/orig_ysgx-c1.jpg" TargetMode="External"/><Relationship Id="rId_hyperlink_4689" Type="http://schemas.openxmlformats.org/officeDocument/2006/relationships/hyperlink" Target="https://b2beez.ru/images/detailed/178/6228296340.jpg" TargetMode="External"/><Relationship Id="rId_hyperlink_4690" Type="http://schemas.openxmlformats.org/officeDocument/2006/relationships/hyperlink" Target="https://b2beez.ru/images/detailed/178/6228296523.jpg" TargetMode="External"/><Relationship Id="rId_hyperlink_4691" Type="http://schemas.openxmlformats.org/officeDocument/2006/relationships/hyperlink" Target="https://b2beez.ru/images/detailed/179/6228296435.jpg" TargetMode="External"/><Relationship Id="rId_hyperlink_4692" Type="http://schemas.openxmlformats.org/officeDocument/2006/relationships/hyperlink" Target="https://b2beez.ru/images/detailed/179/6242640889.jpg" TargetMode="External"/><Relationship Id="rId_hyperlink_4693" Type="http://schemas.openxmlformats.org/officeDocument/2006/relationships/hyperlink" Target="https://b2beez.ru/images/detailed/179/orig_qrm1-05.jpg" TargetMode="External"/><Relationship Id="rId_hyperlink_4694" Type="http://schemas.openxmlformats.org/officeDocument/2006/relationships/hyperlink" Target="https://b2beez.ru/images/detailed/179/6228542184_m28x-1m.jpg" TargetMode="External"/><Relationship Id="rId_hyperlink_4695" Type="http://schemas.openxmlformats.org/officeDocument/2006/relationships/hyperlink" Target="https://b2beez.ru/images/detailed/179/6381742171.jpg" TargetMode="External"/><Relationship Id="rId_hyperlink_4696" Type="http://schemas.openxmlformats.org/officeDocument/2006/relationships/hyperlink" Target="https://b2beez.ru/images/detailed/179/7173085706.jpg" TargetMode="External"/><Relationship Id="rId_hyperlink_4697" Type="http://schemas.openxmlformats.org/officeDocument/2006/relationships/hyperlink" Target="https://b2beez.ru/images/detailed/179/orig_cu3r-w3.jpg" TargetMode="External"/><Relationship Id="rId_hyperlink_4698" Type="http://schemas.openxmlformats.org/officeDocument/2006/relationships/hyperlink" Target="https://b2beez.ru/images/detailed/179/orig_i7j1-rb.jpg" TargetMode="External"/><Relationship Id="rId_hyperlink_4699" Type="http://schemas.openxmlformats.org/officeDocument/2006/relationships/hyperlink" Target="https://b2beez.ru/images/detailed/179/6458493038.jpg" TargetMode="External"/><Relationship Id="rId_hyperlink_4700" Type="http://schemas.openxmlformats.org/officeDocument/2006/relationships/hyperlink" Target="https://b2beez.ru/images/detailed/179/6458492451.jpg" TargetMode="External"/><Relationship Id="rId_hyperlink_4701" Type="http://schemas.openxmlformats.org/officeDocument/2006/relationships/hyperlink" Target="https://b2beez.ru/images/detailed/179/6228803746.jpg" TargetMode="External"/><Relationship Id="rId_hyperlink_4702" Type="http://schemas.openxmlformats.org/officeDocument/2006/relationships/hyperlink" Target="https://b2beez.ru/images/detailed/181/7100789953.jpg" TargetMode="External"/><Relationship Id="rId_hyperlink_4703" Type="http://schemas.openxmlformats.org/officeDocument/2006/relationships/hyperlink" Target="https://b2beez.ru/images/detailed/181/7100810334.jpg" TargetMode="External"/><Relationship Id="rId_hyperlink_4704" Type="http://schemas.openxmlformats.org/officeDocument/2006/relationships/hyperlink" Target="https://b2beez.ru/images/detailed/181/orig_cmev-jm.jpg" TargetMode="External"/><Relationship Id="rId_hyperlink_4705" Type="http://schemas.openxmlformats.org/officeDocument/2006/relationships/hyperlink" Target="https://b2beez.ru/images/detailed/182/orig_2dlx-vl.jpg" TargetMode="External"/><Relationship Id="rId_hyperlink_4706" Type="http://schemas.openxmlformats.org/officeDocument/2006/relationships/hyperlink" Target="https://b2beez.ru/images/detailed/182/6228542278.jpg" TargetMode="External"/><Relationship Id="rId_hyperlink_4707" Type="http://schemas.openxmlformats.org/officeDocument/2006/relationships/hyperlink" Target="https://b2beez.ru/images/detailed/182/6228542122.jpg" TargetMode="External"/><Relationship Id="rId_hyperlink_4708" Type="http://schemas.openxmlformats.org/officeDocument/2006/relationships/hyperlink" Target="https://b2beez.ru/images/detailed/182/orig_s5z9-58.jpg" TargetMode="External"/><Relationship Id="rId_hyperlink_4709" Type="http://schemas.openxmlformats.org/officeDocument/2006/relationships/hyperlink" Target="https://b2beez.ru/images/detailed/182/orig_pc4q-sn.jpg" TargetMode="External"/><Relationship Id="rId_hyperlink_4710" Type="http://schemas.openxmlformats.org/officeDocument/2006/relationships/hyperlink" Target="https://b2beez.ru/images/detailed/182/orig_e5ih-9t.jpg" TargetMode="External"/><Relationship Id="rId_hyperlink_4711" Type="http://schemas.openxmlformats.org/officeDocument/2006/relationships/hyperlink" Target="https://b2beez.ru/images/detailed/182/orig_8ee6-wa.jpg" TargetMode="External"/><Relationship Id="rId_hyperlink_4712" Type="http://schemas.openxmlformats.org/officeDocument/2006/relationships/hyperlink" Target="https://b2beez.ru/images/detailed/182/6226566778.jpg" TargetMode="External"/><Relationship Id="rId_hyperlink_4713" Type="http://schemas.openxmlformats.org/officeDocument/2006/relationships/hyperlink" Target="https://b2beez.ru/images/detailed/182/orig_2t49-z0.jpg" TargetMode="External"/><Relationship Id="rId_hyperlink_4714" Type="http://schemas.openxmlformats.org/officeDocument/2006/relationships/hyperlink" Target="https://b2beez.ru/images/detailed/182/6226566871.jpg" TargetMode="External"/><Relationship Id="rId_hyperlink_4715" Type="http://schemas.openxmlformats.org/officeDocument/2006/relationships/hyperlink" Target="https://b2beez.ru/images/detailed/182/6226566833.jpg" TargetMode="External"/><Relationship Id="rId_hyperlink_4716" Type="http://schemas.openxmlformats.org/officeDocument/2006/relationships/hyperlink" Target="https://b2beez.ru/images/detailed/182/7132431054.jpg" TargetMode="External"/><Relationship Id="rId_hyperlink_4717" Type="http://schemas.openxmlformats.org/officeDocument/2006/relationships/hyperlink" Target="https://b2beez.ru/images/detailed/182/orig_5n9q-y1.jpg" TargetMode="External"/><Relationship Id="rId_hyperlink_4718" Type="http://schemas.openxmlformats.org/officeDocument/2006/relationships/hyperlink" Target="https://b2beez.ru/images/detailed/182/orig_wuyk-zs.jpg" TargetMode="External"/><Relationship Id="rId_hyperlink_4719" Type="http://schemas.openxmlformats.org/officeDocument/2006/relationships/hyperlink" Target="https://b2beez.ru/images/detailed/183/orig_o1x9-fe.jpg" TargetMode="External"/><Relationship Id="rId_hyperlink_4720" Type="http://schemas.openxmlformats.org/officeDocument/2006/relationships/hyperlink" Target="https://b2beez.ru/images/detailed/183/7132428476.jpg" TargetMode="External"/><Relationship Id="rId_hyperlink_4721" Type="http://schemas.openxmlformats.org/officeDocument/2006/relationships/hyperlink" Target="https://b2beez.ru/images/detailed/183/6226567058.jpg" TargetMode="External"/><Relationship Id="rId_hyperlink_4722" Type="http://schemas.openxmlformats.org/officeDocument/2006/relationships/hyperlink" Target="https://b2beez.ru/images/detailed/183/orig_8foe-t1.jpg" TargetMode="External"/><Relationship Id="rId_hyperlink_4723" Type="http://schemas.openxmlformats.org/officeDocument/2006/relationships/hyperlink" Target="https://b2beez.ru/images/detailed/183/7132423537.jpg" TargetMode="External"/><Relationship Id="rId_hyperlink_4724" Type="http://schemas.openxmlformats.org/officeDocument/2006/relationships/hyperlink" Target="https://b2beez.ru/images/detailed/183/orig_ks34-1z.jpg" TargetMode="External"/><Relationship Id="rId_hyperlink_4725" Type="http://schemas.openxmlformats.org/officeDocument/2006/relationships/hyperlink" Target="https://b2beez.ru/images/detailed/183/orig_ebtu-c2.jpg" TargetMode="External"/><Relationship Id="rId_hyperlink_4726" Type="http://schemas.openxmlformats.org/officeDocument/2006/relationships/hyperlink" Target="https://b2beez.ru/images/detailed/184/orig_zr20-iw.jpg" TargetMode="External"/><Relationship Id="rId_hyperlink_4727" Type="http://schemas.openxmlformats.org/officeDocument/2006/relationships/hyperlink" Target="https://b2beez.ru/images/detailed/184/orig_35jn-2q.jpg" TargetMode="External"/><Relationship Id="rId_hyperlink_4728" Type="http://schemas.openxmlformats.org/officeDocument/2006/relationships/hyperlink" Target="https://b2beez.ru/images/detailed/184/orig_8l2e-0m.jpg" TargetMode="External"/><Relationship Id="rId_hyperlink_4729" Type="http://schemas.openxmlformats.org/officeDocument/2006/relationships/hyperlink" Target="https://b2beez.ru/images/detailed/184/6632420700.jpg" TargetMode="External"/><Relationship Id="rId_hyperlink_4730" Type="http://schemas.openxmlformats.org/officeDocument/2006/relationships/hyperlink" Target="https://b2beez.ru/images/detailed/185/orig_vl5z-8e.jpg" TargetMode="External"/><Relationship Id="rId_hyperlink_4731" Type="http://schemas.openxmlformats.org/officeDocument/2006/relationships/hyperlink" Target="https://b2beez.ru/images/detailed/185/7160352336.jpg" TargetMode="External"/><Relationship Id="rId_hyperlink_4732" Type="http://schemas.openxmlformats.org/officeDocument/2006/relationships/hyperlink" Target="https://b2beez.ru/images/detailed/185/orig_ccme-hu.jpg" TargetMode="External"/><Relationship Id="rId_hyperlink_4733" Type="http://schemas.openxmlformats.org/officeDocument/2006/relationships/hyperlink" Target="https://b2beez.ru/images/detailed/185/orig_tk0k-bb.jpg" TargetMode="External"/><Relationship Id="rId_hyperlink_4734" Type="http://schemas.openxmlformats.org/officeDocument/2006/relationships/hyperlink" Target="https://b2beez.ru/images/detailed/185/7160335530.jpg" TargetMode="External"/><Relationship Id="rId_hyperlink_4735" Type="http://schemas.openxmlformats.org/officeDocument/2006/relationships/hyperlink" Target="https://b2beez.ru/images/detailed/186/7160343397.jpg" TargetMode="External"/><Relationship Id="rId_hyperlink_4736" Type="http://schemas.openxmlformats.org/officeDocument/2006/relationships/hyperlink" Target="https://b2beez.ru/images/detailed/186/7160348858.jpg" TargetMode="External"/><Relationship Id="rId_hyperlink_4737" Type="http://schemas.openxmlformats.org/officeDocument/2006/relationships/hyperlink" Target="https://b2beez.ru/images/detailed/186/6241082506.jpg" TargetMode="External"/><Relationship Id="rId_hyperlink_4738" Type="http://schemas.openxmlformats.org/officeDocument/2006/relationships/hyperlink" Target="https://b2beez.ru/images/detailed/186/7062120548.jpg" TargetMode="External"/><Relationship Id="rId_hyperlink_4739" Type="http://schemas.openxmlformats.org/officeDocument/2006/relationships/hyperlink" Target="https://b2beez.ru/images/detailed/186/7172680146.jpg" TargetMode="External"/><Relationship Id="rId_hyperlink_4740" Type="http://schemas.openxmlformats.org/officeDocument/2006/relationships/hyperlink" Target="https://b2beez.ru/images/detailed/186/6230975983.jpg" TargetMode="External"/><Relationship Id="rId_hyperlink_4741" Type="http://schemas.openxmlformats.org/officeDocument/2006/relationships/hyperlink" Target="https://b2beez.ru/images/detailed/186/orig_b4fd-h1.jpg" TargetMode="External"/><Relationship Id="rId_hyperlink_4742" Type="http://schemas.openxmlformats.org/officeDocument/2006/relationships/hyperlink" Target="https://b2beez.ru/images/detailed/186/orig_tf8v-va.jpg" TargetMode="External"/><Relationship Id="rId_hyperlink_4743" Type="http://schemas.openxmlformats.org/officeDocument/2006/relationships/hyperlink" Target="https://b2beez.ru/images/detailed/186/orig_fkmy-so.jpg" TargetMode="External"/><Relationship Id="rId_hyperlink_4744" Type="http://schemas.openxmlformats.org/officeDocument/2006/relationships/hyperlink" Target="https://b2beez.ru/images/detailed/186/orig_0xtz-y9.jpg" TargetMode="External"/><Relationship Id="rId_hyperlink_4745" Type="http://schemas.openxmlformats.org/officeDocument/2006/relationships/hyperlink" Target="https://b2beez.ru/images/detailed/186/orig_74s8-u9.jpg" TargetMode="External"/><Relationship Id="rId_hyperlink_4746" Type="http://schemas.openxmlformats.org/officeDocument/2006/relationships/hyperlink" Target="https://b2beez.ru/images/detailed/186/orig_69lf-71.jpg" TargetMode="External"/><Relationship Id="rId_hyperlink_4747" Type="http://schemas.openxmlformats.org/officeDocument/2006/relationships/hyperlink" Target="https://b2beez.ru/images/detailed/186/orig_exbw-ah.jpg" TargetMode="External"/><Relationship Id="rId_hyperlink_4748" Type="http://schemas.openxmlformats.org/officeDocument/2006/relationships/hyperlink" Target="https://b2beez.ru/images/detailed/187/7178332333.jpg" TargetMode="External"/><Relationship Id="rId_hyperlink_4749" Type="http://schemas.openxmlformats.org/officeDocument/2006/relationships/hyperlink" Target="https://b2beez.ru/images/detailed/187/orig_yu6i-la.jpg" TargetMode="External"/><Relationship Id="rId_hyperlink_4750" Type="http://schemas.openxmlformats.org/officeDocument/2006/relationships/hyperlink" Target="https://b2beez.ru/images/detailed/187/orig_ussx-8y.jpg" TargetMode="External"/><Relationship Id="rId_hyperlink_4751" Type="http://schemas.openxmlformats.org/officeDocument/2006/relationships/hyperlink" Target="https://b2beez.ru/images/detailed/187/orig_tc6s-fl.jpg" TargetMode="External"/><Relationship Id="rId_hyperlink_4752" Type="http://schemas.openxmlformats.org/officeDocument/2006/relationships/hyperlink" Target="https://b2beez.ru/images/detailed/187/orig_njz1-lf.jpg" TargetMode="External"/><Relationship Id="rId_hyperlink_4753" Type="http://schemas.openxmlformats.org/officeDocument/2006/relationships/hyperlink" Target="https://b2beez.ru/images/detailed/187/6230976924.jpg" TargetMode="External"/><Relationship Id="rId_hyperlink_4754" Type="http://schemas.openxmlformats.org/officeDocument/2006/relationships/hyperlink" Target="https://b2beez.ru/images/detailed/187/orig_cwns-qe.jpg" TargetMode="External"/><Relationship Id="rId_hyperlink_4755" Type="http://schemas.openxmlformats.org/officeDocument/2006/relationships/hyperlink" Target="https://b2beez.ru/images/detailed/187/6986622873.jpg" TargetMode="External"/><Relationship Id="rId_hyperlink_4756" Type="http://schemas.openxmlformats.org/officeDocument/2006/relationships/hyperlink" Target="https://b2beez.ru/images/detailed/187/orig_gg2n-dv.jpg" TargetMode="External"/><Relationship Id="rId_hyperlink_4757" Type="http://schemas.openxmlformats.org/officeDocument/2006/relationships/hyperlink" Target="https://b2beez.ru/images/detailed/188/orig_4r62-4s.jpg" TargetMode="External"/><Relationship Id="rId_hyperlink_4758" Type="http://schemas.openxmlformats.org/officeDocument/2006/relationships/hyperlink" Target="https://b2beez.ru/images/detailed/188/6194684320.jpg" TargetMode="External"/><Relationship Id="rId_hyperlink_4759" Type="http://schemas.openxmlformats.org/officeDocument/2006/relationships/hyperlink" Target="https://b2beez.ru/images/detailed/188/6194683979.jpg" TargetMode="External"/><Relationship Id="rId_hyperlink_4760" Type="http://schemas.openxmlformats.org/officeDocument/2006/relationships/hyperlink" Target="https://b2beez.ru/images/detailed/204/Z-295.jpg" TargetMode="External"/><Relationship Id="rId_hyperlink_4761" Type="http://schemas.openxmlformats.org/officeDocument/2006/relationships/hyperlink" Target="https://b2beez.ru/images/detailed/204/Z-299.jpg" TargetMode="External"/><Relationship Id="rId_hyperlink_4762" Type="http://schemas.openxmlformats.org/officeDocument/2006/relationships/hyperlink" Target="https://b2beez.ru/images/detailed/204/Z-377.jpg" TargetMode="External"/><Relationship Id="rId_hyperlink_4763" Type="http://schemas.openxmlformats.org/officeDocument/2006/relationships/hyperlink" Target="https://b2beez.ru/images/detailed/204/Z-378.jpg" TargetMode="External"/><Relationship Id="rId_hyperlink_4764" Type="http://schemas.openxmlformats.org/officeDocument/2006/relationships/hyperlink" Target="https://b2beez.ru/images/detailed/204/Z-382.jpg" TargetMode="External"/><Relationship Id="rId_hyperlink_4765" Type="http://schemas.openxmlformats.org/officeDocument/2006/relationships/hyperlink" Target="https://b2beez.ru/images/detailed/204/Z-432-2.jpg" TargetMode="External"/><Relationship Id="rId_hyperlink_4766" Type="http://schemas.openxmlformats.org/officeDocument/2006/relationships/hyperlink" Target="https://b2beez.ru/images/detailed/204/Z-987-2.jpg" TargetMode="External"/><Relationship Id="rId_hyperlink_4767" Type="http://schemas.openxmlformats.org/officeDocument/2006/relationships/hyperlink" Target="https://b2beez.ru/images/detailed/153/orig_cidf-vx.jpg" TargetMode="External"/><Relationship Id="rId_hyperlink_4768" Type="http://schemas.openxmlformats.org/officeDocument/2006/relationships/hyperlink" Target="https://b2beez.ru/images/detailed/153/7160595791.jpg" TargetMode="External"/><Relationship Id="rId_hyperlink_4769" Type="http://schemas.openxmlformats.org/officeDocument/2006/relationships/hyperlink" Target="https://b2beez.ru/images/detailed/154/6241082464.jpg" TargetMode="External"/><Relationship Id="rId_hyperlink_4770" Type="http://schemas.openxmlformats.org/officeDocument/2006/relationships/hyperlink" Target="https://b2beez.ru/images/detailed/154/orig_ar7e-mh.jpg" TargetMode="External"/><Relationship Id="rId_hyperlink_4771" Type="http://schemas.openxmlformats.org/officeDocument/2006/relationships/hyperlink" Target="https://b2beez.ru/images/detailed/155/orig_yhey-5k.jpg" TargetMode="External"/><Relationship Id="rId_hyperlink_4772" Type="http://schemas.openxmlformats.org/officeDocument/2006/relationships/hyperlink" Target="https://b2beez.ru/images/detailed/157/6228542171.jpg" TargetMode="External"/><Relationship Id="rId_hyperlink_4773" Type="http://schemas.openxmlformats.org/officeDocument/2006/relationships/hyperlink" Target="https://b2beez.ru/images/detailed/155/orig_v6g7-yn.jpg" TargetMode="External"/><Relationship Id="rId_hyperlink_4774" Type="http://schemas.openxmlformats.org/officeDocument/2006/relationships/hyperlink" Target="https://b2beez.ru/images/detailed/156/orig_6v4m-a3.jpg" TargetMode="External"/><Relationship Id="rId_hyperlink_4775" Type="http://schemas.openxmlformats.org/officeDocument/2006/relationships/hyperlink" Target="https://b2beez.ru/images/detailed/159/6808408374.jpg" TargetMode="External"/><Relationship Id="rId_hyperlink_4776" Type="http://schemas.openxmlformats.org/officeDocument/2006/relationships/hyperlink" Target="https://b2beez.ru/images/detailed/159/orig_8jpj-kp.jpg" TargetMode="External"/><Relationship Id="rId_hyperlink_4777" Type="http://schemas.openxmlformats.org/officeDocument/2006/relationships/hyperlink" Target="https://b2beez.ru/images/detailed/159/orig_r65d-l5.jpg" TargetMode="External"/><Relationship Id="rId_hyperlink_4778" Type="http://schemas.openxmlformats.org/officeDocument/2006/relationships/hyperlink" Target="https://b2beez.ru/images/detailed/160/orig_u76g-z9.jpg" TargetMode="External"/><Relationship Id="rId_hyperlink_4779" Type="http://schemas.openxmlformats.org/officeDocument/2006/relationships/hyperlink" Target="https://b2beez.ru/images/detailed/161/6827284923.jpg" TargetMode="External"/><Relationship Id="rId_hyperlink_4780" Type="http://schemas.openxmlformats.org/officeDocument/2006/relationships/hyperlink" Target="https://b2beez.ru/images/detailed/161/6226566716.jpg" TargetMode="External"/><Relationship Id="rId_hyperlink_4781" Type="http://schemas.openxmlformats.org/officeDocument/2006/relationships/hyperlink" Target="https://b2beez.ru/images/detailed/162/6194483332.jpg" TargetMode="External"/><Relationship Id="rId_hyperlink_4782" Type="http://schemas.openxmlformats.org/officeDocument/2006/relationships/hyperlink" Target="https://b2beez.ru/images/detailed/204/G-241-3_dzqp-fn.jpg" TargetMode="External"/><Relationship Id="rId_hyperlink_4783" Type="http://schemas.openxmlformats.org/officeDocument/2006/relationships/hyperlink" Target="https://b2beez.ru/images/detailed/204/G-2660.jpg" TargetMode="External"/><Relationship Id="rId_hyperlink_4784" Type="http://schemas.openxmlformats.org/officeDocument/2006/relationships/hyperlink" Target="https://b2beez.ru/images/detailed/0/" TargetMode="External"/><Relationship Id="rId_hyperlink_4785" Type="http://schemas.openxmlformats.org/officeDocument/2006/relationships/hyperlink" Target="https://b2beez.ru/images/detailed/162/6228542241.jpg" TargetMode="External"/><Relationship Id="rId_hyperlink_4786" Type="http://schemas.openxmlformats.org/officeDocument/2006/relationships/hyperlink" Target="https://b2beez.ru/images/detailed/162/6230938418.jpg" TargetMode="External"/><Relationship Id="rId_hyperlink_4787" Type="http://schemas.openxmlformats.org/officeDocument/2006/relationships/hyperlink" Target="https://b2beez.ru/images/detailed/163/6228296101.jpg" TargetMode="External"/><Relationship Id="rId_hyperlink_4788" Type="http://schemas.openxmlformats.org/officeDocument/2006/relationships/hyperlink" Target="https://b2beez.ru/images/detailed/163/orig_pbf4-ut.jpg" TargetMode="External"/><Relationship Id="rId_hyperlink_4789" Type="http://schemas.openxmlformats.org/officeDocument/2006/relationships/hyperlink" Target="https://b2beez.ru/images/detailed/164/orig_vs4o-sr.jpg" TargetMode="External"/><Relationship Id="rId_hyperlink_4790" Type="http://schemas.openxmlformats.org/officeDocument/2006/relationships/hyperlink" Target="https://b2beez.ru/images/detailed/164/6381742148.jpg" TargetMode="External"/><Relationship Id="rId_hyperlink_4791" Type="http://schemas.openxmlformats.org/officeDocument/2006/relationships/hyperlink" Target="https://b2beez.ru/images/detailed/166/6224627748.jpg" TargetMode="External"/><Relationship Id="rId_hyperlink_4792" Type="http://schemas.openxmlformats.org/officeDocument/2006/relationships/hyperlink" Target="https://b2beez.ru/images/detailed/166/6224627748_i4re-fa.jpg" TargetMode="External"/><Relationship Id="rId_hyperlink_4793" Type="http://schemas.openxmlformats.org/officeDocument/2006/relationships/hyperlink" Target="https://b2beez.ru/images/detailed/166/6224627748_qs61-6n.jpg" TargetMode="External"/><Relationship Id="rId_hyperlink_4794" Type="http://schemas.openxmlformats.org/officeDocument/2006/relationships/hyperlink" Target="https://b2beez.ru/images/detailed/166/6224627748_kj2y-rh.jpg" TargetMode="External"/><Relationship Id="rId_hyperlink_4795" Type="http://schemas.openxmlformats.org/officeDocument/2006/relationships/hyperlink" Target="https://b2beez.ru/images/detailed/166/orig_guqh-cc.jpg" TargetMode="External"/><Relationship Id="rId_hyperlink_4796" Type="http://schemas.openxmlformats.org/officeDocument/2006/relationships/hyperlink" Target="https://b2beez.ru/images/detailed/166/6224627748_7p3g-4k.jpg" TargetMode="External"/><Relationship Id="rId_hyperlink_4797" Type="http://schemas.openxmlformats.org/officeDocument/2006/relationships/hyperlink" Target="https://b2beez.ru/images/detailed/166/orig_h019-oh.jpg" TargetMode="External"/><Relationship Id="rId_hyperlink_4798" Type="http://schemas.openxmlformats.org/officeDocument/2006/relationships/hyperlink" Target="https://b2beez.ru/images/detailed/166/6224782476.jpg" TargetMode="External"/><Relationship Id="rId_hyperlink_4799" Type="http://schemas.openxmlformats.org/officeDocument/2006/relationships/hyperlink" Target="https://b2beez.ru/images/detailed/166/6224627748_prv4-4f.jpg" TargetMode="External"/><Relationship Id="rId_hyperlink_4800" Type="http://schemas.openxmlformats.org/officeDocument/2006/relationships/hyperlink" Target="https://b2beez.ru/images/detailed/166/6224627748_gzmd-iw.jpg" TargetMode="External"/><Relationship Id="rId_hyperlink_4801" Type="http://schemas.openxmlformats.org/officeDocument/2006/relationships/hyperlink" Target="https://b2beez.ru/images/detailed/166/6224627748_6sog-ey.jpg" TargetMode="External"/><Relationship Id="rId_hyperlink_4802" Type="http://schemas.openxmlformats.org/officeDocument/2006/relationships/hyperlink" Target="https://b2beez.ru/images/detailed/166/6224627748_rolr-oq.jpg" TargetMode="External"/><Relationship Id="rId_hyperlink_4803" Type="http://schemas.openxmlformats.org/officeDocument/2006/relationships/hyperlink" Target="https://b2beez.ru/images/detailed/166/6224627748_w742-f7.jpg" TargetMode="External"/><Relationship Id="rId_hyperlink_4804" Type="http://schemas.openxmlformats.org/officeDocument/2006/relationships/hyperlink" Target="https://b2beez.ru/images/detailed/166/6224627748_pakl-1a.jpg" TargetMode="External"/><Relationship Id="rId_hyperlink_4805" Type="http://schemas.openxmlformats.org/officeDocument/2006/relationships/hyperlink" Target="https://b2beez.ru/images/detailed/166/orig_hfbf-jv.jpg" TargetMode="External"/><Relationship Id="rId_hyperlink_4806" Type="http://schemas.openxmlformats.org/officeDocument/2006/relationships/hyperlink" Target="https://b2beez.ru/images/detailed/166/6241082425.jpg" TargetMode="External"/><Relationship Id="rId_hyperlink_4807" Type="http://schemas.openxmlformats.org/officeDocument/2006/relationships/hyperlink" Target="https://b2beez.ru/images/detailed/166/orig_34w9-kn.jpg" TargetMode="External"/><Relationship Id="rId_hyperlink_4808" Type="http://schemas.openxmlformats.org/officeDocument/2006/relationships/hyperlink" Target="https://b2beez.ru/images/detailed/166/6228542008.jpg" TargetMode="External"/><Relationship Id="rId_hyperlink_4809" Type="http://schemas.openxmlformats.org/officeDocument/2006/relationships/hyperlink" Target="https://b2beez.ru/images/detailed/166/6224627810_8zmc-hd.jpg" TargetMode="External"/><Relationship Id="rId_hyperlink_4810" Type="http://schemas.openxmlformats.org/officeDocument/2006/relationships/hyperlink" Target="https://b2beez.ru/images/detailed/166/6224627748_y1c2-ei.jpg" TargetMode="External"/><Relationship Id="rId_hyperlink_4811" Type="http://schemas.openxmlformats.org/officeDocument/2006/relationships/hyperlink" Target="https://b2beez.ru/images/detailed/166/6224627748_hb8b-dj.jpg" TargetMode="External"/><Relationship Id="rId_hyperlink_4812" Type="http://schemas.openxmlformats.org/officeDocument/2006/relationships/hyperlink" Target="https://b2beez.ru/images/detailed/166/orig_tgm8-vw.jpg" TargetMode="External"/><Relationship Id="rId_hyperlink_4813" Type="http://schemas.openxmlformats.org/officeDocument/2006/relationships/hyperlink" Target="https://b2beez.ru/images/detailed/166/6224782176.jpg" TargetMode="External"/><Relationship Id="rId_hyperlink_4814" Type="http://schemas.openxmlformats.org/officeDocument/2006/relationships/hyperlink" Target="https://b2beez.ru/images/detailed/166/6224781842.jpg" TargetMode="External"/><Relationship Id="rId_hyperlink_4815" Type="http://schemas.openxmlformats.org/officeDocument/2006/relationships/hyperlink" Target="https://b2beez.ru/images/detailed/167/6224627748.jpg" TargetMode="External"/><Relationship Id="rId_hyperlink_4816" Type="http://schemas.openxmlformats.org/officeDocument/2006/relationships/hyperlink" Target="https://b2beez.ru/images/detailed/167/6226082541.jpg" TargetMode="External"/><Relationship Id="rId_hyperlink_4817" Type="http://schemas.openxmlformats.org/officeDocument/2006/relationships/hyperlink" Target="https://b2beez.ru/images/detailed/167/6287756980.jpg" TargetMode="External"/><Relationship Id="rId_hyperlink_4818" Type="http://schemas.openxmlformats.org/officeDocument/2006/relationships/hyperlink" Target="https://b2beez.ru/images/detailed/167/6242641372.jpg" TargetMode="External"/><Relationship Id="rId_hyperlink_4819" Type="http://schemas.openxmlformats.org/officeDocument/2006/relationships/hyperlink" Target="https://b2beez.ru/images/detailed/167/6224782061.jpg" TargetMode="External"/><Relationship Id="rId_hyperlink_4820" Type="http://schemas.openxmlformats.org/officeDocument/2006/relationships/hyperlink" Target="https://b2beez.ru/images/detailed/167/orig_te6v-dn.jpg" TargetMode="External"/><Relationship Id="rId_hyperlink_4821" Type="http://schemas.openxmlformats.org/officeDocument/2006/relationships/hyperlink" Target="https://b2beez.ru/images/detailed/167/orig_ujn2-l1.jpg" TargetMode="External"/><Relationship Id="rId_hyperlink_4822" Type="http://schemas.openxmlformats.org/officeDocument/2006/relationships/hyperlink" Target="https://b2beez.ru/images/detailed/167/6224627696_lcmc-dl.jpg" TargetMode="External"/><Relationship Id="rId_hyperlink_4823" Type="http://schemas.openxmlformats.org/officeDocument/2006/relationships/hyperlink" Target="https://b2beez.ru/images/detailed/167/6224627696_ie8q-i6.jpg" TargetMode="External"/><Relationship Id="rId_hyperlink_4824" Type="http://schemas.openxmlformats.org/officeDocument/2006/relationships/hyperlink" Target="https://b2beez.ru/images/detailed/167/6224627696_4h16-5f.jpg" TargetMode="External"/><Relationship Id="rId_hyperlink_4825" Type="http://schemas.openxmlformats.org/officeDocument/2006/relationships/hyperlink" Target="https://b2beez.ru/images/detailed/167/6224627696_rsw6-rk.jpg" TargetMode="External"/><Relationship Id="rId_hyperlink_4826" Type="http://schemas.openxmlformats.org/officeDocument/2006/relationships/hyperlink" Target="https://b2beez.ru/images/detailed/167/6224627696_vu47-lb.jpg" TargetMode="External"/><Relationship Id="rId_hyperlink_4827" Type="http://schemas.openxmlformats.org/officeDocument/2006/relationships/hyperlink" Target="https://b2beez.ru/images/detailed/167/6224627696_meor-zb.jpg" TargetMode="External"/><Relationship Id="rId_hyperlink_4828" Type="http://schemas.openxmlformats.org/officeDocument/2006/relationships/hyperlink" Target="https://b2beez.ru/images/detailed/167/6224627696_vsbn-6s.jpg" TargetMode="External"/><Relationship Id="rId_hyperlink_4829" Type="http://schemas.openxmlformats.org/officeDocument/2006/relationships/hyperlink" Target="https://b2beez.ru/images/detailed/167/6224627696_vxv5-v3.jpg" TargetMode="External"/><Relationship Id="rId_hyperlink_4830" Type="http://schemas.openxmlformats.org/officeDocument/2006/relationships/hyperlink" Target="https://b2beez.ru/images/detailed/167/6224627832_b7h2-2i.jpg" TargetMode="External"/><Relationship Id="rId_hyperlink_4831" Type="http://schemas.openxmlformats.org/officeDocument/2006/relationships/hyperlink" Target="https://b2beez.ru/images/detailed/167/6224627832_6hpm-hf.jpg" TargetMode="External"/><Relationship Id="rId_hyperlink_4832" Type="http://schemas.openxmlformats.org/officeDocument/2006/relationships/hyperlink" Target="https://b2beez.ru/images/detailed/167/6224627832_t03t-vu.jpg" TargetMode="External"/><Relationship Id="rId_hyperlink_4833" Type="http://schemas.openxmlformats.org/officeDocument/2006/relationships/hyperlink" Target="https://b2beez.ru/images/detailed/167/orig_nsza-nc.jpg" TargetMode="External"/><Relationship Id="rId_hyperlink_4834" Type="http://schemas.openxmlformats.org/officeDocument/2006/relationships/hyperlink" Target="https://b2beez.ru/images/detailed/167/orig_u912-jx.jpg" TargetMode="External"/><Relationship Id="rId_hyperlink_4835" Type="http://schemas.openxmlformats.org/officeDocument/2006/relationships/hyperlink" Target="https://b2beez.ru/images/detailed/167/orig_kx94-vi.jpg" TargetMode="External"/><Relationship Id="rId_hyperlink_4836" Type="http://schemas.openxmlformats.org/officeDocument/2006/relationships/hyperlink" Target="https://b2beez.ru/images/detailed/167/orig_1j8o-th.jpg" TargetMode="External"/><Relationship Id="rId_hyperlink_4837" Type="http://schemas.openxmlformats.org/officeDocument/2006/relationships/hyperlink" Target="https://b2beez.ru/images/detailed/167/6224627748_kq26-25.jpg" TargetMode="External"/><Relationship Id="rId_hyperlink_4838" Type="http://schemas.openxmlformats.org/officeDocument/2006/relationships/hyperlink" Target="https://b2beez.ru/images/detailed/167/6224627748_njtl-3g.jpg" TargetMode="External"/><Relationship Id="rId_hyperlink_4839" Type="http://schemas.openxmlformats.org/officeDocument/2006/relationships/hyperlink" Target="https://b2beez.ru/images/detailed/167/6224627720.jpg" TargetMode="External"/><Relationship Id="rId_hyperlink_4840" Type="http://schemas.openxmlformats.org/officeDocument/2006/relationships/hyperlink" Target="https://b2beez.ru/images/detailed/167/6224627720_r32v-m1.jpg" TargetMode="External"/><Relationship Id="rId_hyperlink_4841" Type="http://schemas.openxmlformats.org/officeDocument/2006/relationships/hyperlink" Target="https://b2beez.ru/images/detailed/167/6224627720_i9w1-tx.jpg" TargetMode="External"/><Relationship Id="rId_hyperlink_4842" Type="http://schemas.openxmlformats.org/officeDocument/2006/relationships/hyperlink" Target="https://b2beez.ru/images/detailed/167/6224627720_g57r-le.jpg" TargetMode="External"/><Relationship Id="rId_hyperlink_4843" Type="http://schemas.openxmlformats.org/officeDocument/2006/relationships/hyperlink" Target="https://b2beez.ru/images/detailed/167/6224627720_0grc-wo.jpg" TargetMode="External"/><Relationship Id="rId_hyperlink_4844" Type="http://schemas.openxmlformats.org/officeDocument/2006/relationships/hyperlink" Target="https://b2beez.ru/images/detailed/167/6224627720_47f5-6v.jpg" TargetMode="External"/><Relationship Id="rId_hyperlink_4845" Type="http://schemas.openxmlformats.org/officeDocument/2006/relationships/hyperlink" Target="https://b2beez.ru/images/detailed/167/6224627720_frxq-jh.jpg" TargetMode="External"/><Relationship Id="rId_hyperlink_4846" Type="http://schemas.openxmlformats.org/officeDocument/2006/relationships/hyperlink" Target="https://b2beez.ru/images/detailed/167/6224627720_r6bt-s5.jpg" TargetMode="External"/><Relationship Id="rId_hyperlink_4847" Type="http://schemas.openxmlformats.org/officeDocument/2006/relationships/hyperlink" Target="https://b2beez.ru/images/detailed/167/6224627720_dvqt-cf.jpg" TargetMode="External"/><Relationship Id="rId_hyperlink_4848" Type="http://schemas.openxmlformats.org/officeDocument/2006/relationships/hyperlink" Target="https://b2beez.ru/images/detailed/167/6224627720_qhv3-o2.jpg" TargetMode="External"/><Relationship Id="rId_hyperlink_4849" Type="http://schemas.openxmlformats.org/officeDocument/2006/relationships/hyperlink" Target="https://b2beez.ru/images/detailed/167/6224627720_eq8i-ki.jpg" TargetMode="External"/><Relationship Id="rId_hyperlink_4850" Type="http://schemas.openxmlformats.org/officeDocument/2006/relationships/hyperlink" Target="https://b2beez.ru/images/detailed/167/6224627720_cbt1-7i.jpg" TargetMode="External"/><Relationship Id="rId_hyperlink_4851" Type="http://schemas.openxmlformats.org/officeDocument/2006/relationships/hyperlink" Target="https://b2beez.ru/images/detailed/167/6224627720_aopp-xu.jpg" TargetMode="External"/><Relationship Id="rId_hyperlink_4852" Type="http://schemas.openxmlformats.org/officeDocument/2006/relationships/hyperlink" Target="https://b2beez.ru/images/detailed/167/6224627720_jfad-wx.jpg" TargetMode="External"/><Relationship Id="rId_hyperlink_4853" Type="http://schemas.openxmlformats.org/officeDocument/2006/relationships/hyperlink" Target="https://b2beez.ru/images/detailed/167/6224627748_3wct-53.jpg" TargetMode="External"/><Relationship Id="rId_hyperlink_4854" Type="http://schemas.openxmlformats.org/officeDocument/2006/relationships/hyperlink" Target="https://b2beez.ru/images/detailed/167/6224627962.jpg" TargetMode="External"/><Relationship Id="rId_hyperlink_4855" Type="http://schemas.openxmlformats.org/officeDocument/2006/relationships/hyperlink" Target="https://b2beez.ru/images/detailed/167/6224627926.jpg" TargetMode="External"/><Relationship Id="rId_hyperlink_4856" Type="http://schemas.openxmlformats.org/officeDocument/2006/relationships/hyperlink" Target="https://b2beez.ru/images/detailed/167/6224627796_zs5r-gu.jpg" TargetMode="External"/><Relationship Id="rId_hyperlink_4857" Type="http://schemas.openxmlformats.org/officeDocument/2006/relationships/hyperlink" Target="https://b2beez.ru/images/detailed/167/6224627796_7tlf-it.jpg" TargetMode="External"/><Relationship Id="rId_hyperlink_4858" Type="http://schemas.openxmlformats.org/officeDocument/2006/relationships/hyperlink" Target="https://b2beez.ru/images/detailed/167/6224627796_apt0-2m.jpg" TargetMode="External"/><Relationship Id="rId_hyperlink_4859" Type="http://schemas.openxmlformats.org/officeDocument/2006/relationships/hyperlink" Target="https://b2beez.ru/images/detailed/167/6224627796_7yyc-h7.jpg" TargetMode="External"/><Relationship Id="rId_hyperlink_4860" Type="http://schemas.openxmlformats.org/officeDocument/2006/relationships/hyperlink" Target="https://b2beez.ru/images/detailed/167/6224627796_izsl-47.jpg" TargetMode="External"/><Relationship Id="rId_hyperlink_4861" Type="http://schemas.openxmlformats.org/officeDocument/2006/relationships/hyperlink" Target="https://b2beez.ru/images/detailed/167/6224627796_e2gh-fh.jpg" TargetMode="External"/><Relationship Id="rId_hyperlink_4862" Type="http://schemas.openxmlformats.org/officeDocument/2006/relationships/hyperlink" Target="https://b2beez.ru/images/detailed/167/6224627796_doc1-yp.jpg" TargetMode="External"/><Relationship Id="rId_hyperlink_4863" Type="http://schemas.openxmlformats.org/officeDocument/2006/relationships/hyperlink" Target="https://b2beez.ru/images/detailed/167/6224627796_fxls-1o.jpg" TargetMode="External"/><Relationship Id="rId_hyperlink_4864" Type="http://schemas.openxmlformats.org/officeDocument/2006/relationships/hyperlink" Target="https://b2beez.ru/images/detailed/167/6224627796_k6cd-y5.jpg" TargetMode="External"/><Relationship Id="rId_hyperlink_4865" Type="http://schemas.openxmlformats.org/officeDocument/2006/relationships/hyperlink" Target="https://b2beez.ru/images/detailed/167/6224627796_l2vq-x3.jpg" TargetMode="External"/><Relationship Id="rId_hyperlink_4866" Type="http://schemas.openxmlformats.org/officeDocument/2006/relationships/hyperlink" Target="https://b2beez.ru/images/detailed/167/6224628049_8p6p-ht.jpg" TargetMode="External"/><Relationship Id="rId_hyperlink_4867" Type="http://schemas.openxmlformats.org/officeDocument/2006/relationships/hyperlink" Target="https://b2beez.ru/images/detailed/168/6224627748.jpg" TargetMode="External"/><Relationship Id="rId_hyperlink_4868" Type="http://schemas.openxmlformats.org/officeDocument/2006/relationships/hyperlink" Target="https://b2beez.ru/images/detailed/168/orig_h526-mj.jpg" TargetMode="External"/><Relationship Id="rId_hyperlink_4869" Type="http://schemas.openxmlformats.org/officeDocument/2006/relationships/hyperlink" Target="https://b2beez.ru/images/detailed/168/6224627810.jpg" TargetMode="External"/><Relationship Id="rId_hyperlink_4870" Type="http://schemas.openxmlformats.org/officeDocument/2006/relationships/hyperlink" Target="https://b2beez.ru/images/detailed/168/6224628197.jpg" TargetMode="External"/><Relationship Id="rId_hyperlink_4871" Type="http://schemas.openxmlformats.org/officeDocument/2006/relationships/hyperlink" Target="https://b2beez.ru/images/detailed/168/6224627810_fq6r-gj.jpg" TargetMode="External"/><Relationship Id="rId_hyperlink_4872" Type="http://schemas.openxmlformats.org/officeDocument/2006/relationships/hyperlink" Target="https://b2beez.ru/images/detailed/168/6224627698_yx0u-1k.jpg" TargetMode="External"/><Relationship Id="rId_hyperlink_4873" Type="http://schemas.openxmlformats.org/officeDocument/2006/relationships/hyperlink" Target="https://b2beez.ru/images/detailed/168/6224627698_c1vz-kk.jpg" TargetMode="External"/><Relationship Id="rId_hyperlink_4874" Type="http://schemas.openxmlformats.org/officeDocument/2006/relationships/hyperlink" Target="https://b2beez.ru/images/detailed/168/6224627750_k4mq-bf.jpg" TargetMode="External"/><Relationship Id="rId_hyperlink_4875" Type="http://schemas.openxmlformats.org/officeDocument/2006/relationships/hyperlink" Target="https://b2beez.ru/images/detailed/168/6224628489_koro-n7.jpg" TargetMode="External"/><Relationship Id="rId_hyperlink_4876" Type="http://schemas.openxmlformats.org/officeDocument/2006/relationships/hyperlink" Target="https://b2beez.ru/images/detailed/168/6224628517.jpg" TargetMode="External"/><Relationship Id="rId_hyperlink_4877" Type="http://schemas.openxmlformats.org/officeDocument/2006/relationships/hyperlink" Target="https://b2beez.ru/images/detailed/168/6224627750_g2kl-lr.jpg" TargetMode="External"/><Relationship Id="rId_hyperlink_4878" Type="http://schemas.openxmlformats.org/officeDocument/2006/relationships/hyperlink" Target="https://b2beez.ru/images/detailed/168/6224627676_zzyj-ay.jpg" TargetMode="External"/><Relationship Id="rId_hyperlink_4879" Type="http://schemas.openxmlformats.org/officeDocument/2006/relationships/hyperlink" Target="https://b2beez.ru/images/detailed/168/6224627698_ly5c-zv.jpg" TargetMode="External"/><Relationship Id="rId_hyperlink_4880" Type="http://schemas.openxmlformats.org/officeDocument/2006/relationships/hyperlink" Target="https://b2beez.ru/images/detailed/168/6224627676_r0xf-cf.jpg" TargetMode="External"/><Relationship Id="rId_hyperlink_4881" Type="http://schemas.openxmlformats.org/officeDocument/2006/relationships/hyperlink" Target="https://b2beez.ru/images/detailed/168/orig_5l4c-t5.jpg" TargetMode="External"/><Relationship Id="rId_hyperlink_4882" Type="http://schemas.openxmlformats.org/officeDocument/2006/relationships/hyperlink" Target="https://b2beez.ru/images/detailed/168/6224628342.jpg" TargetMode="External"/><Relationship Id="rId_hyperlink_4883" Type="http://schemas.openxmlformats.org/officeDocument/2006/relationships/hyperlink" Target="https://b2beez.ru/images/detailed/168/6224628517_w9q2-ax.jpg" TargetMode="External"/><Relationship Id="rId_hyperlink_4884" Type="http://schemas.openxmlformats.org/officeDocument/2006/relationships/hyperlink" Target="https://b2beez.ru/images/detailed/168/6224627810_za2k-jq.jpg" TargetMode="External"/><Relationship Id="rId_hyperlink_4885" Type="http://schemas.openxmlformats.org/officeDocument/2006/relationships/hyperlink" Target="https://b2beez.ru/images/detailed/168/6224627676_pkcw-h4.jpg" TargetMode="External"/><Relationship Id="rId_hyperlink_4886" Type="http://schemas.openxmlformats.org/officeDocument/2006/relationships/hyperlink" Target="https://b2beez.ru/images/detailed/168/6224627698_01yo-4d.jpg" TargetMode="External"/><Relationship Id="rId_hyperlink_4887" Type="http://schemas.openxmlformats.org/officeDocument/2006/relationships/hyperlink" Target="https://b2beez.ru/images/detailed/168/6224628197_zw8x-em.jpg" TargetMode="External"/><Relationship Id="rId_hyperlink_4888" Type="http://schemas.openxmlformats.org/officeDocument/2006/relationships/hyperlink" Target="https://b2beez.ru/images/detailed/168/6224627676_xk0l-pu.jpg" TargetMode="External"/><Relationship Id="rId_hyperlink_4889" Type="http://schemas.openxmlformats.org/officeDocument/2006/relationships/hyperlink" Target="https://b2beez.ru/images/detailed/168/6224627676_8quj-r2.jpg" TargetMode="External"/><Relationship Id="rId_hyperlink_4890" Type="http://schemas.openxmlformats.org/officeDocument/2006/relationships/hyperlink" Target="https://b2beez.ru/images/detailed/168/6224627676_gmd5-vq.jpg" TargetMode="External"/><Relationship Id="rId_hyperlink_4891" Type="http://schemas.openxmlformats.org/officeDocument/2006/relationships/hyperlink" Target="https://b2beez.ru/images/detailed/168/6224627698_tc6s-n0.jpg" TargetMode="External"/><Relationship Id="rId_hyperlink_4892" Type="http://schemas.openxmlformats.org/officeDocument/2006/relationships/hyperlink" Target="https://b2beez.ru/images/detailed/168/6224627698_2hu3-ym.jpg" TargetMode="External"/><Relationship Id="rId_hyperlink_4893" Type="http://schemas.openxmlformats.org/officeDocument/2006/relationships/hyperlink" Target="https://b2beez.ru/images/detailed/168/6224627676_al07-he.jpg" TargetMode="External"/><Relationship Id="rId_hyperlink_4894" Type="http://schemas.openxmlformats.org/officeDocument/2006/relationships/hyperlink" Target="https://b2beez.ru/images/detailed/168/6224627676_svhc-r8.jpg" TargetMode="External"/><Relationship Id="rId_hyperlink_4895" Type="http://schemas.openxmlformats.org/officeDocument/2006/relationships/hyperlink" Target="https://b2beez.ru/images/detailed/168/6224627676_144d-3s.jpg" TargetMode="External"/><Relationship Id="rId_hyperlink_4896" Type="http://schemas.openxmlformats.org/officeDocument/2006/relationships/hyperlink" Target="https://b2beez.ru/images/detailed/168/6224628261_jnud-lj.jpg" TargetMode="External"/><Relationship Id="rId_hyperlink_4897" Type="http://schemas.openxmlformats.org/officeDocument/2006/relationships/hyperlink" Target="https://b2beez.ru/images/detailed/168/6224627698_1m6u-8p.jpg" TargetMode="External"/><Relationship Id="rId_hyperlink_4898" Type="http://schemas.openxmlformats.org/officeDocument/2006/relationships/hyperlink" Target="https://b2beez.ru/images/detailed/168/6224627698_fbyd-pt.jpg" TargetMode="External"/><Relationship Id="rId_hyperlink_4899" Type="http://schemas.openxmlformats.org/officeDocument/2006/relationships/hyperlink" Target="https://b2beez.ru/images/detailed/168/6224627676_o3la-4a.jpg" TargetMode="External"/><Relationship Id="rId_hyperlink_4900" Type="http://schemas.openxmlformats.org/officeDocument/2006/relationships/hyperlink" Target="https://b2beez.ru/images/detailed/168/6224627698_f822-37.jpg" TargetMode="External"/><Relationship Id="rId_hyperlink_4901" Type="http://schemas.openxmlformats.org/officeDocument/2006/relationships/hyperlink" Target="https://b2beez.ru/images/detailed/168/6224627698_y52o-1u.jpg" TargetMode="External"/><Relationship Id="rId_hyperlink_4902" Type="http://schemas.openxmlformats.org/officeDocument/2006/relationships/hyperlink" Target="https://b2beez.ru/images/detailed/168/6224628342_ctq9-rn.jpg" TargetMode="External"/><Relationship Id="rId_hyperlink_4903" Type="http://schemas.openxmlformats.org/officeDocument/2006/relationships/hyperlink" Target="https://b2beez.ru/images/detailed/204/K-59.jpg" TargetMode="External"/><Relationship Id="rId_hyperlink_4904" Type="http://schemas.openxmlformats.org/officeDocument/2006/relationships/hyperlink" Target="https://b2beez.ru/images/detailed/168/6741711466.jpg" TargetMode="External"/><Relationship Id="rId_hyperlink_4905" Type="http://schemas.openxmlformats.org/officeDocument/2006/relationships/hyperlink" Target="https://b2beez.ru/images/detailed/168/6224627810_x0sp-ce.jpg" TargetMode="External"/><Relationship Id="rId_hyperlink_4906" Type="http://schemas.openxmlformats.org/officeDocument/2006/relationships/hyperlink" Target="https://b2beez.ru/images/detailed/168/6224627810_h7wq-hu.jpg" TargetMode="External"/><Relationship Id="rId_hyperlink_4907" Type="http://schemas.openxmlformats.org/officeDocument/2006/relationships/hyperlink" Target="https://b2beez.ru/images/detailed/168/6224627905.jpg" TargetMode="External"/><Relationship Id="rId_hyperlink_4908" Type="http://schemas.openxmlformats.org/officeDocument/2006/relationships/hyperlink" Target="https://b2beez.ru/images/detailed/168/orig_9z0v-wh.jpg" TargetMode="External"/><Relationship Id="rId_hyperlink_4909" Type="http://schemas.openxmlformats.org/officeDocument/2006/relationships/hyperlink" Target="https://b2beez.ru/images/detailed/168/6224628015.jpg" TargetMode="External"/><Relationship Id="rId_hyperlink_4910" Type="http://schemas.openxmlformats.org/officeDocument/2006/relationships/hyperlink" Target="https://b2beez.ru/images/detailed/168/6224627783.jpg" TargetMode="External"/><Relationship Id="rId_hyperlink_4911" Type="http://schemas.openxmlformats.org/officeDocument/2006/relationships/hyperlink" Target="https://b2beez.ru/images/detailed/168/6224628231.jpg" TargetMode="External"/><Relationship Id="rId_hyperlink_4912" Type="http://schemas.openxmlformats.org/officeDocument/2006/relationships/hyperlink" Target="https://b2beez.ru/images/detailed/168/6224627864.jpg" TargetMode="External"/><Relationship Id="rId_hyperlink_4913" Type="http://schemas.openxmlformats.org/officeDocument/2006/relationships/hyperlink" Target="https://b2beez.ru/images/detailed/168/6224627686.jpg" TargetMode="External"/><Relationship Id="rId_hyperlink_4914" Type="http://schemas.openxmlformats.org/officeDocument/2006/relationships/hyperlink" Target="https://b2beez.ru/images/detailed/168/6224627843.jpg" TargetMode="External"/><Relationship Id="rId_hyperlink_4915" Type="http://schemas.openxmlformats.org/officeDocument/2006/relationships/hyperlink" Target="https://b2beez.ru/images/detailed/168/6224627925.jpg" TargetMode="External"/><Relationship Id="rId_hyperlink_4916" Type="http://schemas.openxmlformats.org/officeDocument/2006/relationships/hyperlink" Target="https://b2beez.ru/images/detailed/168/6224627896.jpg" TargetMode="External"/><Relationship Id="rId_hyperlink_4917" Type="http://schemas.openxmlformats.org/officeDocument/2006/relationships/hyperlink" Target="https://b2beez.ru/images/detailed/168/6224628213.jpg" TargetMode="External"/><Relationship Id="rId_hyperlink_4918" Type="http://schemas.openxmlformats.org/officeDocument/2006/relationships/hyperlink" Target="https://b2beez.ru/images/detailed/168/6224627786.jpg" TargetMode="External"/><Relationship Id="rId_hyperlink_4919" Type="http://schemas.openxmlformats.org/officeDocument/2006/relationships/hyperlink" Target="https://b2beez.ru/images/detailed/168/6224627934.jpg" TargetMode="External"/><Relationship Id="rId_hyperlink_4920" Type="http://schemas.openxmlformats.org/officeDocument/2006/relationships/hyperlink" Target="https://b2beez.ru/images/detailed/168/6224627862.jpg" TargetMode="External"/><Relationship Id="rId_hyperlink_4921" Type="http://schemas.openxmlformats.org/officeDocument/2006/relationships/hyperlink" Target="https://b2beez.ru/images/detailed/168/orig_b94u-9j.jpg" TargetMode="External"/><Relationship Id="rId_hyperlink_4922" Type="http://schemas.openxmlformats.org/officeDocument/2006/relationships/hyperlink" Target="https://b2beez.ru/images/detailed/168/6224628112.jpg" TargetMode="External"/><Relationship Id="rId_hyperlink_4923" Type="http://schemas.openxmlformats.org/officeDocument/2006/relationships/hyperlink" Target="https://b2beez.ru/images/detailed/168/6224627845.jpg" TargetMode="External"/><Relationship Id="rId_hyperlink_4924" Type="http://schemas.openxmlformats.org/officeDocument/2006/relationships/hyperlink" Target="https://b2beez.ru/images/detailed/168/6224628103.jpg" TargetMode="External"/><Relationship Id="rId_hyperlink_4925" Type="http://schemas.openxmlformats.org/officeDocument/2006/relationships/hyperlink" Target="https://b2beez.ru/images/detailed/168/6224627810_ldqk-cu.jpg" TargetMode="External"/><Relationship Id="rId_hyperlink_4926" Type="http://schemas.openxmlformats.org/officeDocument/2006/relationships/hyperlink" Target="https://b2beez.ru/images/detailed/168/6224628358.jpg" TargetMode="External"/><Relationship Id="rId_hyperlink_4927" Type="http://schemas.openxmlformats.org/officeDocument/2006/relationships/hyperlink" Target="https://b2beez.ru/images/detailed/169/6224628339.jpg" TargetMode="External"/><Relationship Id="rId_hyperlink_4928" Type="http://schemas.openxmlformats.org/officeDocument/2006/relationships/hyperlink" Target="https://b2beez.ru/images/detailed/169/6224628432.jpg" TargetMode="External"/><Relationship Id="rId_hyperlink_4929" Type="http://schemas.openxmlformats.org/officeDocument/2006/relationships/hyperlink" Target="https://b2beez.ru/images/detailed/169/orig.jpg" TargetMode="External"/><Relationship Id="rId_hyperlink_4930" Type="http://schemas.openxmlformats.org/officeDocument/2006/relationships/hyperlink" Target="https://b2beez.ru/images/detailed/169/6224628425.jpg" TargetMode="External"/><Relationship Id="rId_hyperlink_4931" Type="http://schemas.openxmlformats.org/officeDocument/2006/relationships/hyperlink" Target="https://b2beez.ru/images/detailed/169/6224628575.jpg" TargetMode="External"/><Relationship Id="rId_hyperlink_4932" Type="http://schemas.openxmlformats.org/officeDocument/2006/relationships/hyperlink" Target="https://b2beez.ru/images/detailed/169/6224628527.jpg" TargetMode="External"/><Relationship Id="rId_hyperlink_4933" Type="http://schemas.openxmlformats.org/officeDocument/2006/relationships/hyperlink" Target="https://b2beez.ru/images/detailed/169/6224628610.jpg" TargetMode="External"/><Relationship Id="rId_hyperlink_4934" Type="http://schemas.openxmlformats.org/officeDocument/2006/relationships/hyperlink" Target="https://b2beez.ru/images/detailed/169/6224628467.jpg" TargetMode="External"/><Relationship Id="rId_hyperlink_4935" Type="http://schemas.openxmlformats.org/officeDocument/2006/relationships/hyperlink" Target="https://b2beez.ru/images/detailed/169/6224627810.jpg" TargetMode="External"/><Relationship Id="rId_hyperlink_4936" Type="http://schemas.openxmlformats.org/officeDocument/2006/relationships/hyperlink" Target="https://b2beez.ru/images/detailed/169/6224628508.jpg" TargetMode="External"/><Relationship Id="rId_hyperlink_4937" Type="http://schemas.openxmlformats.org/officeDocument/2006/relationships/hyperlink" Target="https://b2beez.ru/images/detailed/169/6224628656.jpg" TargetMode="External"/><Relationship Id="rId_hyperlink_4938" Type="http://schemas.openxmlformats.org/officeDocument/2006/relationships/hyperlink" Target="https://b2beez.ru/images/detailed/169/6224628709.jpg" TargetMode="External"/><Relationship Id="rId_hyperlink_4939" Type="http://schemas.openxmlformats.org/officeDocument/2006/relationships/hyperlink" Target="https://b2beez.ru/images/detailed/169/6224628722.jpg" TargetMode="External"/><Relationship Id="rId_hyperlink_4940" Type="http://schemas.openxmlformats.org/officeDocument/2006/relationships/hyperlink" Target="https://b2beez.ru/images/detailed/169/6224628751.jpg" TargetMode="External"/><Relationship Id="rId_hyperlink_4941" Type="http://schemas.openxmlformats.org/officeDocument/2006/relationships/hyperlink" Target="https://b2beez.ru/images/detailed/169/6224628760.jpg" TargetMode="External"/><Relationship Id="rId_hyperlink_4942" Type="http://schemas.openxmlformats.org/officeDocument/2006/relationships/hyperlink" Target="https://b2beez.ru/images/detailed/169/6224628736.jpg" TargetMode="External"/><Relationship Id="rId_hyperlink_4943" Type="http://schemas.openxmlformats.org/officeDocument/2006/relationships/hyperlink" Target="https://b2beez.ru/images/detailed/169/6224628689.jpg" TargetMode="External"/><Relationship Id="rId_hyperlink_4944" Type="http://schemas.openxmlformats.org/officeDocument/2006/relationships/hyperlink" Target="https://b2beez.ru/images/detailed/169/6224628934.jpg" TargetMode="External"/><Relationship Id="rId_hyperlink_4945" Type="http://schemas.openxmlformats.org/officeDocument/2006/relationships/hyperlink" Target="https://b2beez.ru/images/detailed/169/6224628845.jpg" TargetMode="External"/><Relationship Id="rId_hyperlink_4946" Type="http://schemas.openxmlformats.org/officeDocument/2006/relationships/hyperlink" Target="https://b2beez.ru/images/detailed/169/6224628814.jpg" TargetMode="External"/><Relationship Id="rId_hyperlink_4947" Type="http://schemas.openxmlformats.org/officeDocument/2006/relationships/hyperlink" Target="https://b2beez.ru/images/detailed/169/6224628732.jpg" TargetMode="External"/><Relationship Id="rId_hyperlink_4948" Type="http://schemas.openxmlformats.org/officeDocument/2006/relationships/hyperlink" Target="https://b2beez.ru/images/detailed/169/6224628693.jpg" TargetMode="External"/><Relationship Id="rId_hyperlink_4949" Type="http://schemas.openxmlformats.org/officeDocument/2006/relationships/hyperlink" Target="https://b2beez.ru/images/detailed/169/6224628627.jpg" TargetMode="External"/><Relationship Id="rId_hyperlink_4950" Type="http://schemas.openxmlformats.org/officeDocument/2006/relationships/hyperlink" Target="https://b2beez.ru/images/detailed/169/6224628734_ttf8-a3.jpg" TargetMode="External"/><Relationship Id="rId_hyperlink_4951" Type="http://schemas.openxmlformats.org/officeDocument/2006/relationships/hyperlink" Target="https://b2beez.ru/images/detailed/169/6224628972.jpg" TargetMode="External"/><Relationship Id="rId_hyperlink_4952" Type="http://schemas.openxmlformats.org/officeDocument/2006/relationships/hyperlink" Target="https://b2beez.ru/images/detailed/169/orig_fr0i-rt.jpg" TargetMode="External"/><Relationship Id="rId_hyperlink_4953" Type="http://schemas.openxmlformats.org/officeDocument/2006/relationships/hyperlink" Target="https://b2beez.ru/images/detailed/169/6224628203.jpg" TargetMode="External"/><Relationship Id="rId_hyperlink_4954" Type="http://schemas.openxmlformats.org/officeDocument/2006/relationships/hyperlink" Target="https://b2beez.ru/images/detailed/169/6224628136.jpg" TargetMode="External"/><Relationship Id="rId_hyperlink_4955" Type="http://schemas.openxmlformats.org/officeDocument/2006/relationships/hyperlink" Target="https://b2beez.ru/images/detailed/169/6224627748_dbk1-tq.jpg" TargetMode="External"/><Relationship Id="rId_hyperlink_4956" Type="http://schemas.openxmlformats.org/officeDocument/2006/relationships/hyperlink" Target="https://b2beez.ru/images/detailed/169/6224627748_l3rj-6d.jpg" TargetMode="External"/><Relationship Id="rId_hyperlink_4957" Type="http://schemas.openxmlformats.org/officeDocument/2006/relationships/hyperlink" Target="https://b2beez.ru/images/detailed/169/6224627748_cq2j-hd.jpg" TargetMode="External"/><Relationship Id="rId_hyperlink_4958" Type="http://schemas.openxmlformats.org/officeDocument/2006/relationships/hyperlink" Target="https://b2beez.ru/images/detailed/169/6224627748_ffb6-f3.jpg" TargetMode="External"/><Relationship Id="rId_hyperlink_4959" Type="http://schemas.openxmlformats.org/officeDocument/2006/relationships/hyperlink" Target="https://b2beez.ru/images/detailed/169/6204106180.jpg" TargetMode="External"/><Relationship Id="rId_hyperlink_4960" Type="http://schemas.openxmlformats.org/officeDocument/2006/relationships/hyperlink" Target="https://b2beez.ru/images/detailed/169/6241082449.jpg" TargetMode="External"/><Relationship Id="rId_hyperlink_4961" Type="http://schemas.openxmlformats.org/officeDocument/2006/relationships/hyperlink" Target="https://b2beez.ru/images/detailed/169/orig_4w3z-06.jpg" TargetMode="External"/><Relationship Id="rId_hyperlink_4962" Type="http://schemas.openxmlformats.org/officeDocument/2006/relationships/hyperlink" Target="https://b2beez.ru/images/detailed/170/orig_cf6j-nm.jpg" TargetMode="External"/><Relationship Id="rId_hyperlink_4963" Type="http://schemas.openxmlformats.org/officeDocument/2006/relationships/hyperlink" Target="https://b2beez.ru/images/detailed/172/6230191956.jpg" TargetMode="External"/><Relationship Id="rId_hyperlink_4964" Type="http://schemas.openxmlformats.org/officeDocument/2006/relationships/hyperlink" Target="https://b2beez.ru/images/detailed/172/orig_ewmh-cr.jpg" TargetMode="External"/><Relationship Id="rId_hyperlink_4965" Type="http://schemas.openxmlformats.org/officeDocument/2006/relationships/hyperlink" Target="https://b2beez.ru/images/detailed/172/6241082489.jpg" TargetMode="External"/><Relationship Id="rId_hyperlink_4966" Type="http://schemas.openxmlformats.org/officeDocument/2006/relationships/hyperlink" Target="https://b2beez.ru/images/detailed/172/6287756924_0x3b-ro.jpg" TargetMode="External"/><Relationship Id="rId_hyperlink_4967" Type="http://schemas.openxmlformats.org/officeDocument/2006/relationships/hyperlink" Target="https://b2beez.ru/images/detailed/172/orig_7e48-1u.jpg" TargetMode="External"/><Relationship Id="rId_hyperlink_4968" Type="http://schemas.openxmlformats.org/officeDocument/2006/relationships/hyperlink" Target="https://b2beez.ru/images/detailed/172/orig_0b10-an.jpg" TargetMode="External"/><Relationship Id="rId_hyperlink_4969" Type="http://schemas.openxmlformats.org/officeDocument/2006/relationships/hyperlink" Target="https://b2beez.ru/images/detailed/172/orig_k804-o3.jpg" TargetMode="External"/><Relationship Id="rId_hyperlink_4970" Type="http://schemas.openxmlformats.org/officeDocument/2006/relationships/hyperlink" Target="https://b2beez.ru/images/detailed/172/orig_3pk5-f4.jpg" TargetMode="External"/><Relationship Id="rId_hyperlink_4971" Type="http://schemas.openxmlformats.org/officeDocument/2006/relationships/hyperlink" Target="https://b2beez.ru/images/detailed/172/6228734362_az8j-3b.jpg" TargetMode="External"/><Relationship Id="rId_hyperlink_4972" Type="http://schemas.openxmlformats.org/officeDocument/2006/relationships/hyperlink" Target="https://b2beez.ru/images/detailed/172/6228542149.jpg" TargetMode="External"/><Relationship Id="rId_hyperlink_4973" Type="http://schemas.openxmlformats.org/officeDocument/2006/relationships/hyperlink" Target="https://b2beez.ru/images/detailed/172/6224689384.jpg" TargetMode="External"/><Relationship Id="rId_hyperlink_4974" Type="http://schemas.openxmlformats.org/officeDocument/2006/relationships/hyperlink" Target="https://b2beez.ru/images/detailed/172/6224689390.jpg" TargetMode="External"/><Relationship Id="rId_hyperlink_4975" Type="http://schemas.openxmlformats.org/officeDocument/2006/relationships/hyperlink" Target="https://b2beez.ru/images/detailed/173/6224689294.jpg" TargetMode="External"/><Relationship Id="rId_hyperlink_4976" Type="http://schemas.openxmlformats.org/officeDocument/2006/relationships/hyperlink" Target="https://b2beez.ru/images/detailed/173/6224689294_nngs-tk.jpg" TargetMode="External"/><Relationship Id="rId_hyperlink_4977" Type="http://schemas.openxmlformats.org/officeDocument/2006/relationships/hyperlink" Target="https://b2beez.ru/images/detailed/173/7171626659.jpg" TargetMode="External"/><Relationship Id="rId_hyperlink_4978" Type="http://schemas.openxmlformats.org/officeDocument/2006/relationships/hyperlink" Target="https://b2beez.ru/images/detailed/173/orig_a84s-8x.jpg" TargetMode="External"/><Relationship Id="rId_hyperlink_4979" Type="http://schemas.openxmlformats.org/officeDocument/2006/relationships/hyperlink" Target="https://b2beez.ru/images/detailed/173/orig_xpol-ur.jpg" TargetMode="External"/><Relationship Id="rId_hyperlink_4980" Type="http://schemas.openxmlformats.org/officeDocument/2006/relationships/hyperlink" Target="https://b2beez.ru/images/detailed/173/6224781883.jpg" TargetMode="External"/><Relationship Id="rId_hyperlink_4981" Type="http://schemas.openxmlformats.org/officeDocument/2006/relationships/hyperlink" Target="https://b2beez.ru/images/detailed/173/6224782212.jpg" TargetMode="External"/><Relationship Id="rId_hyperlink_4982" Type="http://schemas.openxmlformats.org/officeDocument/2006/relationships/hyperlink" Target="https://b2beez.ru/images/detailed/173/6224782690.jpg" TargetMode="External"/><Relationship Id="rId_hyperlink_4983" Type="http://schemas.openxmlformats.org/officeDocument/2006/relationships/hyperlink" Target="https://b2beez.ru/images/detailed/173/orig_l6vl-za.jpg" TargetMode="External"/><Relationship Id="rId_hyperlink_4984" Type="http://schemas.openxmlformats.org/officeDocument/2006/relationships/hyperlink" Target="https://b2beez.ru/images/detailed/173/6224689314.jpg" TargetMode="External"/><Relationship Id="rId_hyperlink_4985" Type="http://schemas.openxmlformats.org/officeDocument/2006/relationships/hyperlink" Target="https://b2beez.ru/images/detailed/173/6224689400.jpg" TargetMode="External"/><Relationship Id="rId_hyperlink_4986" Type="http://schemas.openxmlformats.org/officeDocument/2006/relationships/hyperlink" Target="https://b2beez.ru/images/detailed/173/6224689314_x1dh-bi.jpg" TargetMode="External"/><Relationship Id="rId_hyperlink_4987" Type="http://schemas.openxmlformats.org/officeDocument/2006/relationships/hyperlink" Target="https://b2beez.ru/images/detailed/173/6224689314_vh42-l4.jpg" TargetMode="External"/><Relationship Id="rId_hyperlink_4988" Type="http://schemas.openxmlformats.org/officeDocument/2006/relationships/hyperlink" Target="https://b2beez.ru/images/detailed/173/6224689314_9fza-wy.jpg" TargetMode="External"/><Relationship Id="rId_hyperlink_4989" Type="http://schemas.openxmlformats.org/officeDocument/2006/relationships/hyperlink" Target="https://b2beez.ru/images/detailed/173/6224689324_7n4l-k8.jpg" TargetMode="External"/><Relationship Id="rId_hyperlink_4990" Type="http://schemas.openxmlformats.org/officeDocument/2006/relationships/hyperlink" Target="https://b2beez.ru/images/detailed/173/orig_ns0n-hh.jpg" TargetMode="External"/><Relationship Id="rId_hyperlink_4991" Type="http://schemas.openxmlformats.org/officeDocument/2006/relationships/hyperlink" Target="https://b2beez.ru/images/detailed/173/6224689674.jpg" TargetMode="External"/><Relationship Id="rId_hyperlink_4992" Type="http://schemas.openxmlformats.org/officeDocument/2006/relationships/hyperlink" Target="https://b2beez.ru/images/detailed/173/6224689680_vd8d-kq.jpg" TargetMode="External"/><Relationship Id="rId_hyperlink_4993" Type="http://schemas.openxmlformats.org/officeDocument/2006/relationships/hyperlink" Target="https://b2beez.ru/images/detailed/173/6224689397.jpg" TargetMode="External"/><Relationship Id="rId_hyperlink_4994" Type="http://schemas.openxmlformats.org/officeDocument/2006/relationships/hyperlink" Target="https://b2beez.ru/images/detailed/173/7160329664.jpg" TargetMode="External"/><Relationship Id="rId_hyperlink_4995" Type="http://schemas.openxmlformats.org/officeDocument/2006/relationships/hyperlink" Target="https://b2beez.ru/images/detailed/173/6923372922.jpg" TargetMode="External"/><Relationship Id="rId_hyperlink_4996" Type="http://schemas.openxmlformats.org/officeDocument/2006/relationships/hyperlink" Target="https://b2beez.ru/images/detailed/173/orig_wpg9-nh.jpg" TargetMode="External"/><Relationship Id="rId_hyperlink_4997" Type="http://schemas.openxmlformats.org/officeDocument/2006/relationships/hyperlink" Target="https://b2beez.ru/images/detailed/173/6224689479_je1j-bd.jpg" TargetMode="External"/><Relationship Id="rId_hyperlink_4998" Type="http://schemas.openxmlformats.org/officeDocument/2006/relationships/hyperlink" Target="https://b2beez.ru/images/detailed/173/orig_1a26-bu.jpg" TargetMode="External"/><Relationship Id="rId_hyperlink_4999" Type="http://schemas.openxmlformats.org/officeDocument/2006/relationships/hyperlink" Target="https://b2beez.ru/images/detailed/173/6224689691_zlp2-ga.jpg" TargetMode="External"/><Relationship Id="rId_hyperlink_5000" Type="http://schemas.openxmlformats.org/officeDocument/2006/relationships/hyperlink" Target="https://b2beez.ru/images/detailed/173/orig_58vc-nm.jpg" TargetMode="External"/><Relationship Id="rId_hyperlink_5001" Type="http://schemas.openxmlformats.org/officeDocument/2006/relationships/hyperlink" Target="https://b2beez.ru/images/detailed/173/6242641592.jpg" TargetMode="External"/><Relationship Id="rId_hyperlink_5002" Type="http://schemas.openxmlformats.org/officeDocument/2006/relationships/hyperlink" Target="https://b2beez.ru/images/detailed/173/6241082529.jpg" TargetMode="External"/><Relationship Id="rId_hyperlink_5003" Type="http://schemas.openxmlformats.org/officeDocument/2006/relationships/hyperlink" Target="https://b2beez.ru/images/detailed/174/orig_f4jq-a6.jpg" TargetMode="External"/><Relationship Id="rId_hyperlink_5004" Type="http://schemas.openxmlformats.org/officeDocument/2006/relationships/hyperlink" Target="https://b2beez.ru/images/detailed/174/6242640613.jpg" TargetMode="External"/><Relationship Id="rId_hyperlink_5005" Type="http://schemas.openxmlformats.org/officeDocument/2006/relationships/hyperlink" Target="https://b2beez.ru/images/detailed/174/6228542374.jpg" TargetMode="External"/><Relationship Id="rId_hyperlink_5006" Type="http://schemas.openxmlformats.org/officeDocument/2006/relationships/hyperlink" Target="https://b2beez.ru/images/detailed/174/6224689452.jpg" TargetMode="External"/><Relationship Id="rId_hyperlink_5007" Type="http://schemas.openxmlformats.org/officeDocument/2006/relationships/hyperlink" Target="https://b2beez.ru/images/detailed/174/6224689451.jpg" TargetMode="External"/><Relationship Id="rId_hyperlink_5008" Type="http://schemas.openxmlformats.org/officeDocument/2006/relationships/hyperlink" Target="https://b2beez.ru/images/detailed/174/6224689451_38zw-gh.jpg" TargetMode="External"/><Relationship Id="rId_hyperlink_5009" Type="http://schemas.openxmlformats.org/officeDocument/2006/relationships/hyperlink" Target="https://b2beez.ru/images/detailed/174/6224689554.jpg" TargetMode="External"/><Relationship Id="rId_hyperlink_5010" Type="http://schemas.openxmlformats.org/officeDocument/2006/relationships/hyperlink" Target="https://b2beez.ru/images/detailed/174/orig_0v9l-kd.jpg" TargetMode="External"/><Relationship Id="rId_hyperlink_5011" Type="http://schemas.openxmlformats.org/officeDocument/2006/relationships/hyperlink" Target="https://b2beez.ru/images/detailed/174/6224689679.jpg" TargetMode="External"/><Relationship Id="rId_hyperlink_5012" Type="http://schemas.openxmlformats.org/officeDocument/2006/relationships/hyperlink" Target="https://b2beez.ru/images/detailed/174/6224689849.jpg" TargetMode="External"/><Relationship Id="rId_hyperlink_5013" Type="http://schemas.openxmlformats.org/officeDocument/2006/relationships/hyperlink" Target="https://b2beez.ru/images/detailed/174/6224689595.jpg" TargetMode="External"/><Relationship Id="rId_hyperlink_5014" Type="http://schemas.openxmlformats.org/officeDocument/2006/relationships/hyperlink" Target="https://b2beez.ru/images/detailed/174/6224689507_g1un-q2.jpg" TargetMode="External"/><Relationship Id="rId_hyperlink_5015" Type="http://schemas.openxmlformats.org/officeDocument/2006/relationships/hyperlink" Target="https://b2beez.ru/images/detailed/174/orig_bd0t-qf.jpg" TargetMode="External"/><Relationship Id="rId_hyperlink_5016" Type="http://schemas.openxmlformats.org/officeDocument/2006/relationships/hyperlink" Target="https://b2beez.ru/images/detailed/174/6224689302.jpg" TargetMode="External"/><Relationship Id="rId_hyperlink_5017" Type="http://schemas.openxmlformats.org/officeDocument/2006/relationships/hyperlink" Target="https://b2beez.ru/images/detailed/174/6224689669.jpg" TargetMode="External"/><Relationship Id="rId_hyperlink_5018" Type="http://schemas.openxmlformats.org/officeDocument/2006/relationships/hyperlink" Target="https://b2beez.ru/images/detailed/174/6224689685.jpg" TargetMode="External"/><Relationship Id="rId_hyperlink_5019" Type="http://schemas.openxmlformats.org/officeDocument/2006/relationships/hyperlink" Target="https://b2beez.ru/images/detailed/174/6226098970_c4cu-78.jpg" TargetMode="External"/><Relationship Id="rId_hyperlink_5020" Type="http://schemas.openxmlformats.org/officeDocument/2006/relationships/hyperlink" Target="https://b2beez.ru/images/detailed/174/orig_g984-q1.jpg" TargetMode="External"/><Relationship Id="rId_hyperlink_5021" Type="http://schemas.openxmlformats.org/officeDocument/2006/relationships/hyperlink" Target="https://b2beez.ru/images/detailed/174/6224689359.jpg" TargetMode="External"/><Relationship Id="rId_hyperlink_5022" Type="http://schemas.openxmlformats.org/officeDocument/2006/relationships/hyperlink" Target="https://b2beez.ru/images/detailed/174/6224689567_jkgh-0x.jpg" TargetMode="External"/><Relationship Id="rId_hyperlink_5023" Type="http://schemas.openxmlformats.org/officeDocument/2006/relationships/hyperlink" Target="https://b2beez.ru/images/detailed/174/6224689587.jpg" TargetMode="External"/><Relationship Id="rId_hyperlink_5024" Type="http://schemas.openxmlformats.org/officeDocument/2006/relationships/hyperlink" Target="https://b2beez.ru/images/detailed/174/6224689845.jpg" TargetMode="External"/><Relationship Id="rId_hyperlink_5025" Type="http://schemas.openxmlformats.org/officeDocument/2006/relationships/hyperlink" Target="https://b2beez.ru/images/detailed/174/6224689341_fxhc-ik.jpg" TargetMode="External"/><Relationship Id="rId_hyperlink_5026" Type="http://schemas.openxmlformats.org/officeDocument/2006/relationships/hyperlink" Target="https://b2beez.ru/images/detailed/174/6224689341_zye6-3l.jpg" TargetMode="External"/><Relationship Id="rId_hyperlink_5027" Type="http://schemas.openxmlformats.org/officeDocument/2006/relationships/hyperlink" Target="https://b2beez.ru/images/detailed/174/6224689341_chyk-0t.jpg" TargetMode="External"/><Relationship Id="rId_hyperlink_5028" Type="http://schemas.openxmlformats.org/officeDocument/2006/relationships/hyperlink" Target="https://b2beez.ru/images/detailed/174/6224689341_adcl-88.jpg" TargetMode="External"/><Relationship Id="rId_hyperlink_5029" Type="http://schemas.openxmlformats.org/officeDocument/2006/relationships/hyperlink" Target="https://b2beez.ru/images/detailed/174/6224689711_yro4-kz.jpg" TargetMode="External"/><Relationship Id="rId_hyperlink_5030" Type="http://schemas.openxmlformats.org/officeDocument/2006/relationships/hyperlink" Target="https://b2beez.ru/images/detailed/174/6224689722.jpg" TargetMode="External"/><Relationship Id="rId_hyperlink_5031" Type="http://schemas.openxmlformats.org/officeDocument/2006/relationships/hyperlink" Target="https://b2beez.ru/images/detailed/174/6224689810.jpg" TargetMode="External"/><Relationship Id="rId_hyperlink_5032" Type="http://schemas.openxmlformats.org/officeDocument/2006/relationships/hyperlink" Target="https://b2beez.ru/images/detailed/174/6224782130.jpg" TargetMode="External"/><Relationship Id="rId_hyperlink_5033" Type="http://schemas.openxmlformats.org/officeDocument/2006/relationships/hyperlink" Target="https://b2beez.ru/images/detailed/174/6224782307.jpg" TargetMode="External"/><Relationship Id="rId_hyperlink_5034" Type="http://schemas.openxmlformats.org/officeDocument/2006/relationships/hyperlink" Target="https://b2beez.ru/images/detailed/174/orig_q9sg-2o.jpg" TargetMode="External"/><Relationship Id="rId_hyperlink_5035" Type="http://schemas.openxmlformats.org/officeDocument/2006/relationships/hyperlink" Target="https://b2beez.ru/images/detailed/174/6232057781_3wuf-9a.jpg" TargetMode="External"/><Relationship Id="rId_hyperlink_5036" Type="http://schemas.openxmlformats.org/officeDocument/2006/relationships/hyperlink" Target="https://b2beez.ru/images/detailed/174/6228542636.jpg" TargetMode="External"/><Relationship Id="rId_hyperlink_5037" Type="http://schemas.openxmlformats.org/officeDocument/2006/relationships/hyperlink" Target="https://b2beez.ru/images/detailed/175/orig.jpg" TargetMode="External"/><Relationship Id="rId_hyperlink_5038" Type="http://schemas.openxmlformats.org/officeDocument/2006/relationships/hyperlink" Target="https://b2beez.ru/images/detailed/175/7095593960.jpg" TargetMode="External"/><Relationship Id="rId_hyperlink_5039" Type="http://schemas.openxmlformats.org/officeDocument/2006/relationships/hyperlink" Target="https://b2beez.ru/images/detailed/175/6224689354.jpg" TargetMode="External"/><Relationship Id="rId_hyperlink_5040" Type="http://schemas.openxmlformats.org/officeDocument/2006/relationships/hyperlink" Target="https://b2beez.ru/images/detailed/175/6224689345.jpg" TargetMode="External"/><Relationship Id="rId_hyperlink_5041" Type="http://schemas.openxmlformats.org/officeDocument/2006/relationships/hyperlink" Target="https://b2beez.ru/images/detailed/175/orig_6tay-68.jpg" TargetMode="External"/><Relationship Id="rId_hyperlink_5042" Type="http://schemas.openxmlformats.org/officeDocument/2006/relationships/hyperlink" Target="https://b2beez.ru/images/detailed/175/6241082565.jpg" TargetMode="External"/><Relationship Id="rId_hyperlink_5043" Type="http://schemas.openxmlformats.org/officeDocument/2006/relationships/hyperlink" Target="https://b2beez.ru/images/detailed/176/6191946915.jpg" TargetMode="External"/><Relationship Id="rId_hyperlink_5044" Type="http://schemas.openxmlformats.org/officeDocument/2006/relationships/hyperlink" Target="https://b2beez.ru/images/detailed/176/6189883670.jpg" TargetMode="External"/><Relationship Id="rId_hyperlink_5045" Type="http://schemas.openxmlformats.org/officeDocument/2006/relationships/hyperlink" Target="https://b2beez.ru/images/detailed/176/6228542180.jpg" TargetMode="External"/><Relationship Id="rId_hyperlink_5046" Type="http://schemas.openxmlformats.org/officeDocument/2006/relationships/hyperlink" Target="https://b2beez.ru/images/detailed/176/6228542568.jpg" TargetMode="External"/><Relationship Id="rId_hyperlink_5047" Type="http://schemas.openxmlformats.org/officeDocument/2006/relationships/hyperlink" Target="https://b2beez.ru/images/detailed/176/6830329292.jpg" TargetMode="External"/><Relationship Id="rId_hyperlink_5048" Type="http://schemas.openxmlformats.org/officeDocument/2006/relationships/hyperlink" Target="https://b2beez.ru/images/detailed/176/6228542539.jpg" TargetMode="External"/><Relationship Id="rId_hyperlink_5049" Type="http://schemas.openxmlformats.org/officeDocument/2006/relationships/hyperlink" Target="https://b2beez.ru/images/detailed/176/6241082418.jpg" TargetMode="External"/><Relationship Id="rId_hyperlink_5050" Type="http://schemas.openxmlformats.org/officeDocument/2006/relationships/hyperlink" Target="https://b2beez.ru/images/detailed/176/6545700430.jpg" TargetMode="External"/><Relationship Id="rId_hyperlink_5051" Type="http://schemas.openxmlformats.org/officeDocument/2006/relationships/hyperlink" Target="https://b2beez.ru/images/detailed/176/6228542180_zxla-jc.jpg" TargetMode="External"/><Relationship Id="rId_hyperlink_5052" Type="http://schemas.openxmlformats.org/officeDocument/2006/relationships/hyperlink" Target="https://b2beez.ru/images/detailed/176/6187548983.jpg" TargetMode="External"/><Relationship Id="rId_hyperlink_5053" Type="http://schemas.openxmlformats.org/officeDocument/2006/relationships/hyperlink" Target="https://b2beez.ru/images/detailed/176/orig_nqw0-fh.jpg" TargetMode="External"/><Relationship Id="rId_hyperlink_5054" Type="http://schemas.openxmlformats.org/officeDocument/2006/relationships/hyperlink" Target="https://b2beez.ru/images/detailed/176/7065664262.jpg" TargetMode="External"/><Relationship Id="rId_hyperlink_5055" Type="http://schemas.openxmlformats.org/officeDocument/2006/relationships/hyperlink" Target="https://b2beez.ru/images/detailed/176/7095573244.jpg" TargetMode="External"/><Relationship Id="rId_hyperlink_5056" Type="http://schemas.openxmlformats.org/officeDocument/2006/relationships/hyperlink" Target="https://b2beez.ru/images/detailed/176/orig_1f5j-wk.jpg" TargetMode="External"/><Relationship Id="rId_hyperlink_5057" Type="http://schemas.openxmlformats.org/officeDocument/2006/relationships/hyperlink" Target="https://b2beez.ru/images/detailed/176/orig_24sn-uf.jpg" TargetMode="External"/><Relationship Id="rId_hyperlink_5058" Type="http://schemas.openxmlformats.org/officeDocument/2006/relationships/hyperlink" Target="https://b2beez.ru/images/detailed/176/orig_687p-cb.jpg" TargetMode="External"/><Relationship Id="rId_hyperlink_5059" Type="http://schemas.openxmlformats.org/officeDocument/2006/relationships/hyperlink" Target="https://b2beez.ru/images/detailed/176/orig_ea4o-lz.jpg" TargetMode="External"/><Relationship Id="rId_hyperlink_5060" Type="http://schemas.openxmlformats.org/officeDocument/2006/relationships/hyperlink" Target="https://b2beez.ru/images/detailed/176/orig_em4h-b7.jpg" TargetMode="External"/><Relationship Id="rId_hyperlink_5061" Type="http://schemas.openxmlformats.org/officeDocument/2006/relationships/hyperlink" Target="https://b2beez.ru/images/detailed/176/6228542150.jpg" TargetMode="External"/><Relationship Id="rId_hyperlink_5062" Type="http://schemas.openxmlformats.org/officeDocument/2006/relationships/hyperlink" Target="https://b2beez.ru/images/detailed/176/6228542236.jpg" TargetMode="External"/><Relationship Id="rId_hyperlink_5063" Type="http://schemas.openxmlformats.org/officeDocument/2006/relationships/hyperlink" Target="https://b2beez.ru/images/detailed/204/R-2593-2_7ori-xl.jpg" TargetMode="External"/><Relationship Id="rId_hyperlink_5064" Type="http://schemas.openxmlformats.org/officeDocument/2006/relationships/hyperlink" Target="https://b2beez.ru/images/detailed/177/6228542228.jpg" TargetMode="External"/><Relationship Id="rId_hyperlink_5065" Type="http://schemas.openxmlformats.org/officeDocument/2006/relationships/hyperlink" Target="https://b2beez.ru/images/detailed/177/6228542034.jpg" TargetMode="External"/><Relationship Id="rId_hyperlink_5066" Type="http://schemas.openxmlformats.org/officeDocument/2006/relationships/hyperlink" Target="https://b2beez.ru/images/detailed/177/6228541968.jpg" TargetMode="External"/><Relationship Id="rId_hyperlink_5067" Type="http://schemas.openxmlformats.org/officeDocument/2006/relationships/hyperlink" Target="https://b2beez.ru/images/detailed/177/orig_62i1-gu.jpg" TargetMode="External"/><Relationship Id="rId_hyperlink_5068" Type="http://schemas.openxmlformats.org/officeDocument/2006/relationships/hyperlink" Target="https://b2beez.ru/images/detailed/177/orig_swzn-bj.jpg" TargetMode="External"/><Relationship Id="rId_hyperlink_5069" Type="http://schemas.openxmlformats.org/officeDocument/2006/relationships/hyperlink" Target="https://b2beez.ru/images/detailed/177/orig_5q1q-ho.jpg" TargetMode="External"/><Relationship Id="rId_hyperlink_5070" Type="http://schemas.openxmlformats.org/officeDocument/2006/relationships/hyperlink" Target="https://b2beez.ru/images/detailed/177/6228542125.jpg" TargetMode="External"/><Relationship Id="rId_hyperlink_5071" Type="http://schemas.openxmlformats.org/officeDocument/2006/relationships/hyperlink" Target="https://b2beez.ru/images/detailed/177/6228542107.jpg" TargetMode="External"/><Relationship Id="rId_hyperlink_5072" Type="http://schemas.openxmlformats.org/officeDocument/2006/relationships/hyperlink" Target="https://b2beez.ru/images/detailed/177/6228542504.jpg" TargetMode="External"/><Relationship Id="rId_hyperlink_5073" Type="http://schemas.openxmlformats.org/officeDocument/2006/relationships/hyperlink" Target="https://b2beez.ru/images/detailed/178/6986147182.jpg" TargetMode="External"/><Relationship Id="rId_hyperlink_5074" Type="http://schemas.openxmlformats.org/officeDocument/2006/relationships/hyperlink" Target="https://b2beez.ru/images/detailed/178/6228542359.jpg" TargetMode="External"/><Relationship Id="rId_hyperlink_5075" Type="http://schemas.openxmlformats.org/officeDocument/2006/relationships/hyperlink" Target="https://b2beez.ru/images/detailed/178/orig_yggg-65.jpg" TargetMode="External"/><Relationship Id="rId_hyperlink_5076" Type="http://schemas.openxmlformats.org/officeDocument/2006/relationships/hyperlink" Target="https://b2beez.ru/images/detailed/178/6228296141.jpg" TargetMode="External"/><Relationship Id="rId_hyperlink_5077" Type="http://schemas.openxmlformats.org/officeDocument/2006/relationships/hyperlink" Target="https://b2beez.ru/images/detailed/178/6228296220.jpg" TargetMode="External"/><Relationship Id="rId_hyperlink_5078" Type="http://schemas.openxmlformats.org/officeDocument/2006/relationships/hyperlink" Target="https://b2beez.ru/images/detailed/179/6228296187.jpg" TargetMode="External"/><Relationship Id="rId_hyperlink_5079" Type="http://schemas.openxmlformats.org/officeDocument/2006/relationships/hyperlink" Target="https://b2beez.ru/images/detailed/179/6458496850.jpg" TargetMode="External"/><Relationship Id="rId_hyperlink_5080" Type="http://schemas.openxmlformats.org/officeDocument/2006/relationships/hyperlink" Target="https://b2beez.ru/images/detailed/180/6242640837.jpg" TargetMode="External"/><Relationship Id="rId_hyperlink_5081" Type="http://schemas.openxmlformats.org/officeDocument/2006/relationships/hyperlink" Target="https://b2beez.ru/images/detailed/181/6228542363.jpg" TargetMode="External"/><Relationship Id="rId_hyperlink_5082" Type="http://schemas.openxmlformats.org/officeDocument/2006/relationships/hyperlink" Target="https://b2beez.ru/images/detailed/182/6226566805.jpg" TargetMode="External"/><Relationship Id="rId_hyperlink_5083" Type="http://schemas.openxmlformats.org/officeDocument/2006/relationships/hyperlink" Target="https://b2beez.ru/images/detailed/182/7132434313.jpg" TargetMode="External"/><Relationship Id="rId_hyperlink_5084" Type="http://schemas.openxmlformats.org/officeDocument/2006/relationships/hyperlink" Target="https://b2beez.ru/images/detailed/183/orig_0zm9-2t.jpg" TargetMode="External"/><Relationship Id="rId_hyperlink_5085" Type="http://schemas.openxmlformats.org/officeDocument/2006/relationships/hyperlink" Target="https://b2beez.ru/images/detailed/183/6226567065.jpg" TargetMode="External"/><Relationship Id="rId_hyperlink_5086" Type="http://schemas.openxmlformats.org/officeDocument/2006/relationships/hyperlink" Target="https://b2beez.ru/images/detailed/184/orig_9ahe-dq.jpg" TargetMode="External"/><Relationship Id="rId_hyperlink_5087" Type="http://schemas.openxmlformats.org/officeDocument/2006/relationships/hyperlink" Target="https://b2beez.ru/images/detailed/184/orig_k1p0-br.jpg" TargetMode="External"/><Relationship Id="rId_hyperlink_5088" Type="http://schemas.openxmlformats.org/officeDocument/2006/relationships/hyperlink" Target="https://b2beez.ru/images/detailed/184/orig_1auh-uo.jpg" TargetMode="External"/><Relationship Id="rId_hyperlink_5089" Type="http://schemas.openxmlformats.org/officeDocument/2006/relationships/hyperlink" Target="https://b2beez.ru/images/detailed/184/orig_n9ux-m6.jpg" TargetMode="External"/><Relationship Id="rId_hyperlink_5090" Type="http://schemas.openxmlformats.org/officeDocument/2006/relationships/hyperlink" Target="https://b2beez.ru/images/detailed/185/orig_i581-yx.jpg" TargetMode="External"/><Relationship Id="rId_hyperlink_5091" Type="http://schemas.openxmlformats.org/officeDocument/2006/relationships/hyperlink" Target="https://b2beez.ru/images/detailed/185/orig_npiv-4n.jpg" TargetMode="External"/><Relationship Id="rId_hyperlink_5092" Type="http://schemas.openxmlformats.org/officeDocument/2006/relationships/hyperlink" Target="https://b2beez.ru/images/detailed/185/orig_iu4a-8x.jpg" TargetMode="External"/><Relationship Id="rId_hyperlink_5093" Type="http://schemas.openxmlformats.org/officeDocument/2006/relationships/hyperlink" Target="https://b2beez.ru/images/detailed/185/orig_l619-xx.jpg" TargetMode="External"/><Relationship Id="rId_hyperlink_5094" Type="http://schemas.openxmlformats.org/officeDocument/2006/relationships/hyperlink" Target="https://b2beez.ru/images/detailed/185/7160350129.jpg" TargetMode="External"/><Relationship Id="rId_hyperlink_5095" Type="http://schemas.openxmlformats.org/officeDocument/2006/relationships/hyperlink" Target="https://b2beez.ru/images/detailed/185/orig_zk2o-we.jpg" TargetMode="External"/><Relationship Id="rId_hyperlink_5096" Type="http://schemas.openxmlformats.org/officeDocument/2006/relationships/hyperlink" Target="https://b2beez.ru/images/detailed/186/7160347785.jpg" TargetMode="External"/><Relationship Id="rId_hyperlink_5097" Type="http://schemas.openxmlformats.org/officeDocument/2006/relationships/hyperlink" Target="https://b2beez.ru/images/detailed/186/orig_t80w-tk.jpg" TargetMode="External"/><Relationship Id="rId_hyperlink_5098" Type="http://schemas.openxmlformats.org/officeDocument/2006/relationships/hyperlink" Target="https://b2beez.ru/images/detailed/186/orig_2nok-t3.jpg" TargetMode="External"/><Relationship Id="rId_hyperlink_5099" Type="http://schemas.openxmlformats.org/officeDocument/2006/relationships/hyperlink" Target="https://b2beez.ru/images/detailed/186/orig_mrb8-as.jpg" TargetMode="External"/><Relationship Id="rId_hyperlink_5100" Type="http://schemas.openxmlformats.org/officeDocument/2006/relationships/hyperlink" Target="https://b2beez.ru/images/detailed/186/7065658654.jpg" TargetMode="External"/><Relationship Id="rId_hyperlink_5101" Type="http://schemas.openxmlformats.org/officeDocument/2006/relationships/hyperlink" Target="https://b2beez.ru/images/detailed/186/orig_it5t-dm.jpg" TargetMode="External"/><Relationship Id="rId_hyperlink_5102" Type="http://schemas.openxmlformats.org/officeDocument/2006/relationships/hyperlink" Target="https://b2beez.ru/images/detailed/186/orig_7jw6-ph.jpg" TargetMode="External"/><Relationship Id="rId_hyperlink_5103" Type="http://schemas.openxmlformats.org/officeDocument/2006/relationships/hyperlink" Target="https://b2beez.ru/images/detailed/186/orig_s63o-az.jpg" TargetMode="External"/><Relationship Id="rId_hyperlink_5104" Type="http://schemas.openxmlformats.org/officeDocument/2006/relationships/hyperlink" Target="https://b2beez.ru/images/detailed/186/orig_tbj3-ap.jpg" TargetMode="External"/><Relationship Id="rId_hyperlink_5105" Type="http://schemas.openxmlformats.org/officeDocument/2006/relationships/hyperlink" Target="https://b2beez.ru/images/detailed/187/orig_tzhm-pa.jpg" TargetMode="External"/><Relationship Id="rId_hyperlink_5106" Type="http://schemas.openxmlformats.org/officeDocument/2006/relationships/hyperlink" Target="https://b2beez.ru/images/detailed/187/orig_qxil-i5.jpg" TargetMode="External"/><Relationship Id="rId_hyperlink_5107" Type="http://schemas.openxmlformats.org/officeDocument/2006/relationships/hyperlink" Target="https://b2beez.ru/images/detailed/187/orig_6i64-t1.jpg" TargetMode="External"/><Relationship Id="rId_hyperlink_5108" Type="http://schemas.openxmlformats.org/officeDocument/2006/relationships/hyperlink" Target="https://b2beez.ru/images/detailed/187/orig_lofe-73.png" TargetMode="External"/><Relationship Id="rId_hyperlink_5109" Type="http://schemas.openxmlformats.org/officeDocument/2006/relationships/hyperlink" Target="https://b2beez.ru/images/detailed/187/6224782555.jpg" TargetMode="External"/><Relationship Id="rId_hyperlink_5110" Type="http://schemas.openxmlformats.org/officeDocument/2006/relationships/hyperlink" Target="https://b2beez.ru/images/detailed/188/6203577218.jpg" TargetMode="External"/><Relationship Id="rId_hyperlink_5111" Type="http://schemas.openxmlformats.org/officeDocument/2006/relationships/hyperlink" Target="https://b2beez.ru/images/detailed/204/Z-433-2.jpg" TargetMode="External"/><Relationship Id="rId_hyperlink_5112" Type="http://schemas.openxmlformats.org/officeDocument/2006/relationships/hyperlink" Target="https://b2beez.ru/images/detailed/155/6228542570.jpg" TargetMode="External"/><Relationship Id="rId_hyperlink_5113" Type="http://schemas.openxmlformats.org/officeDocument/2006/relationships/hyperlink" Target="https://b2beez.ru/images/detailed/174/6224782096.jpg" TargetMode="External"/><Relationship Id="rId_hyperlink_5114" Type="http://schemas.openxmlformats.org/officeDocument/2006/relationships/hyperlink" Target="https://b2beez.ru/images/detailed/176/orig_h5z6-3c.jpg" TargetMode="External"/><Relationship Id="rId_hyperlink_5115" Type="http://schemas.openxmlformats.org/officeDocument/2006/relationships/hyperlink" Target="https://b2beez.ru/images/detailed/179/6224781790_7fqg-1k.jpg" TargetMode="External"/><Relationship Id="rId_hyperlink_5116" Type="http://schemas.openxmlformats.org/officeDocument/2006/relationships/hyperlink" Target="https://b2beez.ru/images/detailed/179/6224781790_lzhu-yg.jpg" TargetMode="External"/><Relationship Id="rId_hyperlink_5117" Type="http://schemas.openxmlformats.org/officeDocument/2006/relationships/hyperlink" Target="https://b2beez.ru/images/detailed/0/" TargetMode="External"/><Relationship Id="rId_hyperlink_5118" Type="http://schemas.openxmlformats.org/officeDocument/2006/relationships/hyperlink" Target="https://b2beez.ru/images/detailed/155/6228542324.jpg" TargetMode="External"/><Relationship Id="rId_hyperlink_5119" Type="http://schemas.openxmlformats.org/officeDocument/2006/relationships/hyperlink" Target="https://b2beez.ru/images/detailed/164/6228426516.jpg" TargetMode="External"/><Relationship Id="rId_hyperlink_5120" Type="http://schemas.openxmlformats.org/officeDocument/2006/relationships/hyperlink" Target="https://b2beez.ru/images/detailed/172/6202821382.jpg" TargetMode="External"/><Relationship Id="rId_hyperlink_5121" Type="http://schemas.openxmlformats.org/officeDocument/2006/relationships/hyperlink" Target="https://b2beez.ru/images/detailed/179/6224781790_5qo7-6n.jpg" TargetMode="External"/><Relationship Id="rId_hyperlink_5122" Type="http://schemas.openxmlformats.org/officeDocument/2006/relationships/hyperlink" Target="https://b2beez.ru/images/detailed/179/6224781892.jpg" TargetMode="External"/><Relationship Id="rId_hyperlink_5123" Type="http://schemas.openxmlformats.org/officeDocument/2006/relationships/hyperlink" Target="https://b2beez.ru/images/detailed/179/6224781821.jpg" TargetMode="External"/><Relationship Id="rId_hyperlink_5124" Type="http://schemas.openxmlformats.org/officeDocument/2006/relationships/hyperlink" Target="https://b2beez.ru/images/detailed/179/6224781798.jpg" TargetMode="External"/><Relationship Id="rId_hyperlink_5125" Type="http://schemas.openxmlformats.org/officeDocument/2006/relationships/hyperlink" Target="https://b2beez.ru/images/detailed/180/6144150793_ga4c-4n.jpg" TargetMode="External"/><Relationship Id="rId_hyperlink_5126" Type="http://schemas.openxmlformats.org/officeDocument/2006/relationships/hyperlink" Target="https://b2beez.ru/images/detailed/175/7171590234.jpg" TargetMode="External"/><Relationship Id="rId_hyperlink_5127" Type="http://schemas.openxmlformats.org/officeDocument/2006/relationships/hyperlink" Target="https://b2beez.ru/images/detailed/47/orig_wxgz-fm.jpg" TargetMode="External"/><Relationship Id="rId_hyperlink_5128" Type="http://schemas.openxmlformats.org/officeDocument/2006/relationships/hyperlink" Target="https://b2beez.ru/images/detailed/160/orig_vtj7-to.jpg" TargetMode="External"/><Relationship Id="rId_hyperlink_5129" Type="http://schemas.openxmlformats.org/officeDocument/2006/relationships/hyperlink" Target="https://b2beez.ru/images/detailed/166/orig_jwh4-eh.jpg" TargetMode="External"/><Relationship Id="rId_hyperlink_5130" Type="http://schemas.openxmlformats.org/officeDocument/2006/relationships/hyperlink" Target="https://b2beez.ru/images/detailed/166/orig_1yzx-4z.jpg" TargetMode="External"/><Relationship Id="rId_hyperlink_5131" Type="http://schemas.openxmlformats.org/officeDocument/2006/relationships/hyperlink" Target="https://b2beez.ru/images/detailed/187/orig_wbyx-sy.jpg" TargetMode="External"/><Relationship Id="rId_hyperlink_5132" Type="http://schemas.openxmlformats.org/officeDocument/2006/relationships/hyperlink" Target="https://b2beez.ru/images/detailed/162/orig_6hpj-sd.jpg" TargetMode="External"/><Relationship Id="rId_hyperlink_5133" Type="http://schemas.openxmlformats.org/officeDocument/2006/relationships/hyperlink" Target="https://b2beez.ru/images/detailed/48/orig_8g9w-cv.jpg" TargetMode="External"/><Relationship Id="rId_hyperlink_5134" Type="http://schemas.openxmlformats.org/officeDocument/2006/relationships/hyperlink" Target="https://b2beez.ru/images/detailed/48/orig_vkjk-zb.jpg" TargetMode="External"/><Relationship Id="rId_hyperlink_5135" Type="http://schemas.openxmlformats.org/officeDocument/2006/relationships/hyperlink" Target="https://b2beez.ru/images/detailed/168/orig_6k1u-6g.jpg" TargetMode="External"/><Relationship Id="rId_hyperlink_5136" Type="http://schemas.openxmlformats.org/officeDocument/2006/relationships/hyperlink" Target="https://b2beez.ru/images/detailed/169/6809245164.jpg" TargetMode="External"/><Relationship Id="rId_hyperlink_5137" Type="http://schemas.openxmlformats.org/officeDocument/2006/relationships/hyperlink" Target="https://b2beez.ru/images/detailed/169/6808398875.jpg" TargetMode="External"/><Relationship Id="rId_hyperlink_5138" Type="http://schemas.openxmlformats.org/officeDocument/2006/relationships/hyperlink" Target="https://b2beez.ru/images/detailed/172/orig_63si-mf.jpg" TargetMode="External"/><Relationship Id="rId_hyperlink_5139" Type="http://schemas.openxmlformats.org/officeDocument/2006/relationships/hyperlink" Target="https://b2beez.ru/images/detailed/47/6324923653.jpg" TargetMode="External"/><Relationship Id="rId_hyperlink_5140" Type="http://schemas.openxmlformats.org/officeDocument/2006/relationships/hyperlink" Target="https://b2beez.ru/images/detailed/169/6741714793.jpg" TargetMode="External"/><Relationship Id="rId_hyperlink_5141" Type="http://schemas.openxmlformats.org/officeDocument/2006/relationships/hyperlink" Target="https://b2beez.ru/images/detailed/172/6224689394.jpg" TargetMode="External"/><Relationship Id="rId_hyperlink_5142" Type="http://schemas.openxmlformats.org/officeDocument/2006/relationships/hyperlink" Target="https://b2beez.ru/images/detailed/187/orig_x9m0-fm.jpg" TargetMode="External"/><Relationship Id="rId_hyperlink_5143" Type="http://schemas.openxmlformats.org/officeDocument/2006/relationships/hyperlink" Target="https://b2beez.ru/images/detailed/156/orig_5wps-uy.jpg" TargetMode="External"/><Relationship Id="rId_hyperlink_5144" Type="http://schemas.openxmlformats.org/officeDocument/2006/relationships/hyperlink" Target="https://b2beez.ru/images/detailed/156/orig_4j3w-pe.jpg" TargetMode="External"/><Relationship Id="rId_hyperlink_5145" Type="http://schemas.openxmlformats.org/officeDocument/2006/relationships/hyperlink" Target="https://b2beez.ru/images/detailed/156/orig_j3u7-1c.jpg" TargetMode="External"/><Relationship Id="rId_hyperlink_5146" Type="http://schemas.openxmlformats.org/officeDocument/2006/relationships/hyperlink" Target="https://b2beez.ru/images/detailed/156/orig_jl0s-np.jpg" TargetMode="External"/><Relationship Id="rId_hyperlink_5147" Type="http://schemas.openxmlformats.org/officeDocument/2006/relationships/hyperlink" Target="https://b2beez.ru/images/detailed/156/6417447775.jpg" TargetMode="External"/><Relationship Id="rId_hyperlink_5148" Type="http://schemas.openxmlformats.org/officeDocument/2006/relationships/hyperlink" Target="https://b2beez.ru/images/detailed/156/6528795756.jpg" TargetMode="External"/><Relationship Id="rId_hyperlink_5149" Type="http://schemas.openxmlformats.org/officeDocument/2006/relationships/hyperlink" Target="https://b2beez.ru/images/detailed/0/" TargetMode="External"/><Relationship Id="rId_hyperlink_5150" Type="http://schemas.openxmlformats.org/officeDocument/2006/relationships/hyperlink" Target="https://b2beez.ru/images/detailed/156/orig_clbe-4q.jpg" TargetMode="External"/><Relationship Id="rId_hyperlink_5151" Type="http://schemas.openxmlformats.org/officeDocument/2006/relationships/hyperlink" Target="https://b2beez.ru/images/detailed/157/6228542268.jpg" TargetMode="External"/><Relationship Id="rId_hyperlink_5152" Type="http://schemas.openxmlformats.org/officeDocument/2006/relationships/hyperlink" Target="https://b2beez.ru/images/detailed/157/6228542083.jpg" TargetMode="External"/><Relationship Id="rId_hyperlink_5153" Type="http://schemas.openxmlformats.org/officeDocument/2006/relationships/hyperlink" Target="https://b2beez.ru/images/detailed/166/orig_nu3o-or.jpg" TargetMode="External"/><Relationship Id="rId_hyperlink_5154" Type="http://schemas.openxmlformats.org/officeDocument/2006/relationships/hyperlink" Target="https://b2beez.ru/images/detailed/169/6400429193.jpg" TargetMode="External"/><Relationship Id="rId_hyperlink_5155" Type="http://schemas.openxmlformats.org/officeDocument/2006/relationships/hyperlink" Target="https://b2beez.ru/images/detailed/166/7080875000.jpg" TargetMode="External"/><Relationship Id="rId_hyperlink_5156" Type="http://schemas.openxmlformats.org/officeDocument/2006/relationships/hyperlink" Target="https://b2beez.ru/images/detailed/187/6843701912.jpg" TargetMode="External"/><Relationship Id="rId_hyperlink_5157" Type="http://schemas.openxmlformats.org/officeDocument/2006/relationships/hyperlink" Target="https://b2beez.ru/images/detailed/0/" TargetMode="External"/><Relationship Id="rId_hyperlink_5158" Type="http://schemas.openxmlformats.org/officeDocument/2006/relationships/hyperlink" Target="https://b2beez.ru/images/detailed/173/6923922804.jpg" TargetMode="External"/><Relationship Id="rId_hyperlink_5159" Type="http://schemas.openxmlformats.org/officeDocument/2006/relationships/hyperlink" Target="https://b2beez.ru/images/detailed/161/orig_kx2a-z3.jpg" TargetMode="External"/><Relationship Id="rId_hyperlink_5160" Type="http://schemas.openxmlformats.org/officeDocument/2006/relationships/hyperlink" Target="https://b2beez.ru/images/detailed/153/orig_wlff-od.jpg" TargetMode="External"/><Relationship Id="rId_hyperlink_5161" Type="http://schemas.openxmlformats.org/officeDocument/2006/relationships/hyperlink" Target="https://b2beez.ru/images/detailed/153/orig_1tvd-qk.jpg" TargetMode="External"/><Relationship Id="rId_hyperlink_5162" Type="http://schemas.openxmlformats.org/officeDocument/2006/relationships/hyperlink" Target="https://b2beez.ru/images/detailed/172/7160584488.jpg" TargetMode="External"/><Relationship Id="rId_hyperlink_5163" Type="http://schemas.openxmlformats.org/officeDocument/2006/relationships/hyperlink" Target="https://b2beez.ru/images/detailed/174/6241082499.jpg" TargetMode="External"/><Relationship Id="rId_hyperlink_5164" Type="http://schemas.openxmlformats.org/officeDocument/2006/relationships/hyperlink" Target="https://b2beez.ru/images/detailed/156/orig_m99t-i9.jpg" TargetMode="External"/><Relationship Id="rId_hyperlink_5165" Type="http://schemas.openxmlformats.org/officeDocument/2006/relationships/hyperlink" Target="https://b2beez.ru/images/detailed/168/orig_yxjp-t1.jpg" TargetMode="External"/><Relationship Id="rId_hyperlink_5166" Type="http://schemas.openxmlformats.org/officeDocument/2006/relationships/hyperlink" Target="https://b2beez.ru/images/detailed/0/" TargetMode="External"/><Relationship Id="rId_hyperlink_5167" Type="http://schemas.openxmlformats.org/officeDocument/2006/relationships/hyperlink" Target="https://b2beez.ru/images/detailed/187/orig_o1pm-bf.jpg" TargetMode="External"/><Relationship Id="rId_hyperlink_5168" Type="http://schemas.openxmlformats.org/officeDocument/2006/relationships/hyperlink" Target="https://b2beez.ru/images/detailed/172/orig_m31q-3a.jpg" TargetMode="External"/><Relationship Id="rId_hyperlink_5169" Type="http://schemas.openxmlformats.org/officeDocument/2006/relationships/hyperlink" Target="https://b2beez.ru/images/detailed/156/6189884132.jpg" TargetMode="External"/><Relationship Id="rId_hyperlink_5170" Type="http://schemas.openxmlformats.org/officeDocument/2006/relationships/hyperlink" Target="https://b2beez.ru/images/detailed/184/orig_m0oo-yh.jpg" TargetMode="External"/><Relationship Id="rId_hyperlink_5171" Type="http://schemas.openxmlformats.org/officeDocument/2006/relationships/hyperlink" Target="https://b2beez.ru/images/detailed/168/orig_xika-k3.jpg" TargetMode="External"/><Relationship Id="rId_hyperlink_5172" Type="http://schemas.openxmlformats.org/officeDocument/2006/relationships/hyperlink" Target="https://b2beez.ru/images/detailed/166/orig.jpg" TargetMode="External"/><Relationship Id="rId_hyperlink_5173" Type="http://schemas.openxmlformats.org/officeDocument/2006/relationships/hyperlink" Target="https://b2beez.ru/images/detailed/204/1_orhy-9q.jpg" TargetMode="External"/><Relationship Id="rId_hyperlink_5174" Type="http://schemas.openxmlformats.org/officeDocument/2006/relationships/hyperlink" Target="https://b2beez.ru/images/detailed/178/orig_slrr-2r.jpg" TargetMode="External"/><Relationship Id="rId_hyperlink_5175" Type="http://schemas.openxmlformats.org/officeDocument/2006/relationships/hyperlink" Target="https://b2beez.ru/images/detailed/178/orig_o8sw-r1.jpg" TargetMode="External"/><Relationship Id="rId_hyperlink_5176" Type="http://schemas.openxmlformats.org/officeDocument/2006/relationships/hyperlink" Target="https://b2beez.ru/images/detailed/185/6830331936.jpg" TargetMode="External"/><Relationship Id="rId_hyperlink_5177" Type="http://schemas.openxmlformats.org/officeDocument/2006/relationships/hyperlink" Target="https://b2beez.ru/images/detailed/167/6241082468.jpg" TargetMode="External"/><Relationship Id="rId_hyperlink_5178" Type="http://schemas.openxmlformats.org/officeDocument/2006/relationships/hyperlink" Target="https://b2beez.ru/images/detailed/166/7050404812.jpg" TargetMode="External"/><Relationship Id="rId_hyperlink_5179" Type="http://schemas.openxmlformats.org/officeDocument/2006/relationships/hyperlink" Target="https://b2beez.ru/images/detailed/179/orig_7chm-3a.jpg" TargetMode="External"/><Relationship Id="rId_hyperlink_5180" Type="http://schemas.openxmlformats.org/officeDocument/2006/relationships/hyperlink" Target="https://b2beez.ru/images/detailed/166/orig_z4ej-p4.jpg" TargetMode="External"/><Relationship Id="rId_hyperlink_5181" Type="http://schemas.openxmlformats.org/officeDocument/2006/relationships/hyperlink" Target="https://b2beez.ru/images/detailed/168/orig_ja3x-wj.jpg" TargetMode="External"/><Relationship Id="rId_hyperlink_5182" Type="http://schemas.openxmlformats.org/officeDocument/2006/relationships/hyperlink" Target="https://b2beez.ru/images/detailed/168/6224627919.jpg" TargetMode="External"/><Relationship Id="rId_hyperlink_5183" Type="http://schemas.openxmlformats.org/officeDocument/2006/relationships/hyperlink" Target="https://b2beez.ru/images/detailed/168/6224627884.jpg" TargetMode="External"/><Relationship Id="rId_hyperlink_5184" Type="http://schemas.openxmlformats.org/officeDocument/2006/relationships/hyperlink" Target="https://b2beez.ru/images/detailed/169/orig_ht9x-91.jpg" TargetMode="External"/><Relationship Id="rId_hyperlink_5185" Type="http://schemas.openxmlformats.org/officeDocument/2006/relationships/hyperlink" Target="https://b2beez.ru/images/detailed/176/7095613799.jpg" TargetMode="External"/><Relationship Id="rId_hyperlink_5186" Type="http://schemas.openxmlformats.org/officeDocument/2006/relationships/hyperlink" Target="https://b2beez.ru/images/detailed/172/orig_ppws-lz.jpg" TargetMode="External"/><Relationship Id="rId_hyperlink_5187" Type="http://schemas.openxmlformats.org/officeDocument/2006/relationships/hyperlink" Target="https://b2beez.ru/images/detailed/172/orig_y2xo-fq.jpg" TargetMode="External"/><Relationship Id="rId_hyperlink_5188" Type="http://schemas.openxmlformats.org/officeDocument/2006/relationships/hyperlink" Target="https://b2beez.ru/images/detailed/169/orig_31en-sr.jpg" TargetMode="External"/><Relationship Id="rId_hyperlink_5189" Type="http://schemas.openxmlformats.org/officeDocument/2006/relationships/hyperlink" Target="https://b2beez.ru/images/detailed/178/orig_zdme-0j.jpg" TargetMode="External"/><Relationship Id="rId_hyperlink_5190" Type="http://schemas.openxmlformats.org/officeDocument/2006/relationships/hyperlink" Target="https://b2beez.ru/images/detailed/157/orig_kof6-u8.jpg" TargetMode="External"/><Relationship Id="rId_hyperlink_5191" Type="http://schemas.openxmlformats.org/officeDocument/2006/relationships/hyperlink" Target="https://b2beez.ru/images/detailed/157/6321462067.jpg" TargetMode="External"/><Relationship Id="rId_hyperlink_5192" Type="http://schemas.openxmlformats.org/officeDocument/2006/relationships/hyperlink" Target="https://b2beez.ru/images/detailed/157/6321460897.jpg" TargetMode="External"/><Relationship Id="rId_hyperlink_5193" Type="http://schemas.openxmlformats.org/officeDocument/2006/relationships/hyperlink" Target="https://b2beez.ru/images/detailed/157/6265640368.jpg" TargetMode="External"/><Relationship Id="rId_hyperlink_5194" Type="http://schemas.openxmlformats.org/officeDocument/2006/relationships/hyperlink" Target="https://b2beez.ru/images/detailed/157/6321463644.jpg" TargetMode="External"/><Relationship Id="rId_hyperlink_5195" Type="http://schemas.openxmlformats.org/officeDocument/2006/relationships/hyperlink" Target="https://b2beez.ru/images/detailed/157/6265643600.jpg" TargetMode="External"/><Relationship Id="rId_hyperlink_5196" Type="http://schemas.openxmlformats.org/officeDocument/2006/relationships/hyperlink" Target="https://b2beez.ru/images/detailed/157/6265641949.jpg" TargetMode="External"/><Relationship Id="rId_hyperlink_5197" Type="http://schemas.openxmlformats.org/officeDocument/2006/relationships/hyperlink" Target="https://b2beez.ru/images/detailed/169/orig_szxn-z2.jpg" TargetMode="External"/><Relationship Id="rId_hyperlink_5198" Type="http://schemas.openxmlformats.org/officeDocument/2006/relationships/hyperlink" Target="https://b2beez.ru/images/detailed/167/6981918348.jpg" TargetMode="External"/><Relationship Id="rId_hyperlink_5199" Type="http://schemas.openxmlformats.org/officeDocument/2006/relationships/hyperlink" Target="https://b2beez.ru/images/detailed/166/6981861642.jpg" TargetMode="External"/><Relationship Id="rId_hyperlink_5200" Type="http://schemas.openxmlformats.org/officeDocument/2006/relationships/hyperlink" Target="https://b2beez.ru/images/detailed/166/6981860669.jpg" TargetMode="External"/><Relationship Id="rId_hyperlink_5201" Type="http://schemas.openxmlformats.org/officeDocument/2006/relationships/hyperlink" Target="https://b2beez.ru/images/detailed/166/orig_nnx7-ib.jpg" TargetMode="External"/><Relationship Id="rId_hyperlink_5202" Type="http://schemas.openxmlformats.org/officeDocument/2006/relationships/hyperlink" Target="https://b2beez.ru/images/detailed/166/6981876437.jpg" TargetMode="External"/><Relationship Id="rId_hyperlink_5203" Type="http://schemas.openxmlformats.org/officeDocument/2006/relationships/hyperlink" Target="https://b2beez.ru/images/detailed/173/orig_h9lm-xb.jpg" TargetMode="External"/><Relationship Id="rId_hyperlink_5204" Type="http://schemas.openxmlformats.org/officeDocument/2006/relationships/hyperlink" Target="https://b2beez.ru/images/detailed/204/1_uhcq-dp.jpg" TargetMode="External"/><Relationship Id="rId_hyperlink_5205" Type="http://schemas.openxmlformats.org/officeDocument/2006/relationships/hyperlink" Target="https://b2beez.ru/images/detailed/173/orig_r8z3-kh.jpg" TargetMode="External"/><Relationship Id="rId_hyperlink_5206" Type="http://schemas.openxmlformats.org/officeDocument/2006/relationships/hyperlink" Target="https://b2beez.ru/images/detailed/173/orig_2xmt-vx.jpg" TargetMode="External"/><Relationship Id="rId_hyperlink_5207" Type="http://schemas.openxmlformats.org/officeDocument/2006/relationships/hyperlink" Target="https://b2beez.ru/images/detailed/173/orig_0n35-lo.jpg" TargetMode="External"/><Relationship Id="rId_hyperlink_5208" Type="http://schemas.openxmlformats.org/officeDocument/2006/relationships/hyperlink" Target="https://b2beez.ru/images/detailed/174/orig_nua6-rp.jpg" TargetMode="External"/><Relationship Id="rId_hyperlink_5209" Type="http://schemas.openxmlformats.org/officeDocument/2006/relationships/hyperlink" Target="https://b2beez.ru/images/detailed/175/orig_qv4w-xs.jpg" TargetMode="External"/><Relationship Id="rId_hyperlink_5210" Type="http://schemas.openxmlformats.org/officeDocument/2006/relationships/hyperlink" Target="https://b2beez.ru/images/detailed/175/orig_d6th-ty.jpg" TargetMode="External"/><Relationship Id="rId_hyperlink_5211" Type="http://schemas.openxmlformats.org/officeDocument/2006/relationships/hyperlink" Target="https://b2beez.ru/images/detailed/172/orig_iott-p8.jpg" TargetMode="External"/><Relationship Id="rId_hyperlink_5212" Type="http://schemas.openxmlformats.org/officeDocument/2006/relationships/hyperlink" Target="https://b2beez.ru/images/detailed/168/orig_oq2g-op.jpg" TargetMode="External"/><Relationship Id="rId_hyperlink_5213" Type="http://schemas.openxmlformats.org/officeDocument/2006/relationships/hyperlink" Target="https://b2beez.ru/images/detailed/204/Z-4644.jpg" TargetMode="External"/><Relationship Id="rId_hyperlink_5214" Type="http://schemas.openxmlformats.org/officeDocument/2006/relationships/hyperlink" Target="https://b2beez.ru/images/detailed/188/6981915642.jpg" TargetMode="External"/><Relationship Id="rId_hyperlink_5215" Type="http://schemas.openxmlformats.org/officeDocument/2006/relationships/hyperlink" Target="https://b2beez.ru/images/detailed/154/6981855106.jpg" TargetMode="External"/><Relationship Id="rId_hyperlink_5216" Type="http://schemas.openxmlformats.org/officeDocument/2006/relationships/hyperlink" Target="https://b2beez.ru/images/detailed/154/6982105803.jpg" TargetMode="External"/><Relationship Id="rId_hyperlink_5217" Type="http://schemas.openxmlformats.org/officeDocument/2006/relationships/hyperlink" Target="https://b2beez.ru/images/detailed/204/Z-7473.jpg" TargetMode="External"/><Relationship Id="rId_hyperlink_5218" Type="http://schemas.openxmlformats.org/officeDocument/2006/relationships/hyperlink" Target="https://b2beez.ru/images/detailed/174/orig_mjqy-yp.jpg" TargetMode="External"/><Relationship Id="rId_hyperlink_5219" Type="http://schemas.openxmlformats.org/officeDocument/2006/relationships/hyperlink" Target="https://b2beez.ru/images/detailed/175/orig_vple-28.jpg" TargetMode="External"/><Relationship Id="rId_hyperlink_5220" Type="http://schemas.openxmlformats.org/officeDocument/2006/relationships/hyperlink" Target="https://b2beez.ru/images/detailed/169/orig_lcw9-lz.jpg" TargetMode="External"/><Relationship Id="rId_hyperlink_5221" Type="http://schemas.openxmlformats.org/officeDocument/2006/relationships/hyperlink" Target="https://b2beez.ru/images/detailed/175/orig_np4o-sy.jpg" TargetMode="External"/><Relationship Id="rId_hyperlink_5222" Type="http://schemas.openxmlformats.org/officeDocument/2006/relationships/hyperlink" Target="https://b2beez.ru/images/detailed/175/6981892581.jpg" TargetMode="External"/><Relationship Id="rId_hyperlink_5223" Type="http://schemas.openxmlformats.org/officeDocument/2006/relationships/hyperlink" Target="https://b2beez.ru/images/detailed/175/orig_aeac-5r.jpg" TargetMode="External"/><Relationship Id="rId_hyperlink_5224" Type="http://schemas.openxmlformats.org/officeDocument/2006/relationships/hyperlink" Target="https://b2beez.ru/images/detailed/172/6983060255.jpg" TargetMode="External"/><Relationship Id="rId_hyperlink_5225" Type="http://schemas.openxmlformats.org/officeDocument/2006/relationships/hyperlink" Target="https://b2beez.ru/images/detailed/157/orig_3dj6-n2.jpg" TargetMode="External"/><Relationship Id="rId_hyperlink_5226" Type="http://schemas.openxmlformats.org/officeDocument/2006/relationships/hyperlink" Target="https://b2beez.ru/images/detailed/154/orig_f253-b9.jpg" TargetMode="External"/><Relationship Id="rId_hyperlink_5227" Type="http://schemas.openxmlformats.org/officeDocument/2006/relationships/hyperlink" Target="https://b2beez.ru/images/detailed/154/6981855535.jpg" TargetMode="External"/><Relationship Id="rId_hyperlink_5228" Type="http://schemas.openxmlformats.org/officeDocument/2006/relationships/hyperlink" Target="https://b2beez.ru/images/detailed/162/orig_j9ck-34.jpg" TargetMode="External"/><Relationship Id="rId_hyperlink_5229" Type="http://schemas.openxmlformats.org/officeDocument/2006/relationships/hyperlink" Target="https://b2beez.ru/images/detailed/162/orig_tqbo-ys.jpg" TargetMode="External"/><Relationship Id="rId_hyperlink_5230" Type="http://schemas.openxmlformats.org/officeDocument/2006/relationships/hyperlink" Target="https://b2beez.ru/images/detailed/162/orig_8nrm-w2.jpg" TargetMode="External"/><Relationship Id="rId_hyperlink_5231" Type="http://schemas.openxmlformats.org/officeDocument/2006/relationships/hyperlink" Target="https://b2beez.ru/images/detailed/162/6981860258.jpg" TargetMode="External"/><Relationship Id="rId_hyperlink_5232" Type="http://schemas.openxmlformats.org/officeDocument/2006/relationships/hyperlink" Target="https://b2beez.ru/images/detailed/172/orig_jird-x9.jpg" TargetMode="External"/><Relationship Id="rId_hyperlink_5233" Type="http://schemas.openxmlformats.org/officeDocument/2006/relationships/hyperlink" Target="https://b2beez.ru/images/detailed/178/orig_byqu-9n.jpg" TargetMode="External"/><Relationship Id="rId_hyperlink_5234" Type="http://schemas.openxmlformats.org/officeDocument/2006/relationships/hyperlink" Target="https://b2beez.ru/images/detailed/183/orig_okq7-x8.jpg" TargetMode="External"/><Relationship Id="rId_hyperlink_5235" Type="http://schemas.openxmlformats.org/officeDocument/2006/relationships/hyperlink" Target="https://b2beez.ru/images/detailed/183/orig_stta-t9.jpg" TargetMode="External"/><Relationship Id="rId_hyperlink_5236" Type="http://schemas.openxmlformats.org/officeDocument/2006/relationships/hyperlink" Target="https://b2beez.ru/images/detailed/167/orig_1fb9-dl.jpg" TargetMode="External"/><Relationship Id="rId_hyperlink_5237" Type="http://schemas.openxmlformats.org/officeDocument/2006/relationships/hyperlink" Target="https://b2beez.ru/images/detailed/166/6979032085.jpg" TargetMode="External"/><Relationship Id="rId_hyperlink_5238" Type="http://schemas.openxmlformats.org/officeDocument/2006/relationships/hyperlink" Target="https://b2beez.ru/images/detailed/183/orig_kzb8-au.jpg" TargetMode="External"/><Relationship Id="rId_hyperlink_5239" Type="http://schemas.openxmlformats.org/officeDocument/2006/relationships/hyperlink" Target="https://b2beez.ru/images/detailed/183/orig_5wvp-io.jpg" TargetMode="External"/><Relationship Id="rId_hyperlink_5240" Type="http://schemas.openxmlformats.org/officeDocument/2006/relationships/hyperlink" Target="https://b2beez.ru/images/detailed/159/orig_i8n5-76.jpg" TargetMode="External"/><Relationship Id="rId_hyperlink_5241" Type="http://schemas.openxmlformats.org/officeDocument/2006/relationships/hyperlink" Target="https://b2beez.ru/images/detailed/166/orig_mupi-7r.jpg" TargetMode="External"/><Relationship Id="rId_hyperlink_5242" Type="http://schemas.openxmlformats.org/officeDocument/2006/relationships/hyperlink" Target="https://b2beez.ru/images/detailed/167/orig_zyju-8c.jpg" TargetMode="External"/><Relationship Id="rId_hyperlink_5243" Type="http://schemas.openxmlformats.org/officeDocument/2006/relationships/hyperlink" Target="https://b2beez.ru/images/detailed/169/orig_6yii-vx.jpg" TargetMode="External"/><Relationship Id="rId_hyperlink_5244" Type="http://schemas.openxmlformats.org/officeDocument/2006/relationships/hyperlink" Target="https://b2beez.ru/images/detailed/176/6981872904.jpg" TargetMode="External"/><Relationship Id="rId_hyperlink_5245" Type="http://schemas.openxmlformats.org/officeDocument/2006/relationships/hyperlink" Target="https://b2beez.ru/images/detailed/178/orig_7vnk-6h.jpg" TargetMode="External"/><Relationship Id="rId_hyperlink_5246" Type="http://schemas.openxmlformats.org/officeDocument/2006/relationships/hyperlink" Target="https://b2beez.ru/images/detailed/169/6981870035.jpg" TargetMode="External"/><Relationship Id="rId_hyperlink_5247" Type="http://schemas.openxmlformats.org/officeDocument/2006/relationships/hyperlink" Target="https://b2beez.ru/images/detailed/177/orig_f1m4-9o.jpg" TargetMode="External"/><Relationship Id="rId_hyperlink_5248" Type="http://schemas.openxmlformats.org/officeDocument/2006/relationships/hyperlink" Target="https://b2beez.ru/images/detailed/186/orig_sz06-5x.jpg" TargetMode="External"/><Relationship Id="rId_hyperlink_5249" Type="http://schemas.openxmlformats.org/officeDocument/2006/relationships/hyperlink" Target="https://b2beez.ru/images/detailed/187/orig_a5xt-5d.jpg" TargetMode="External"/><Relationship Id="rId_hyperlink_5250" Type="http://schemas.openxmlformats.org/officeDocument/2006/relationships/hyperlink" Target="https://b2beez.ru/images/detailed/182/orig_a7db-cp.jpg" TargetMode="External"/><Relationship Id="rId_hyperlink_5251" Type="http://schemas.openxmlformats.org/officeDocument/2006/relationships/hyperlink" Target="https://b2beez.ru/images/detailed/188/orig_gk1k-df.jpg" TargetMode="External"/><Relationship Id="rId_hyperlink_5252" Type="http://schemas.openxmlformats.org/officeDocument/2006/relationships/hyperlink" Target="https://b2beez.ru/images/detailed/160/orig_4fls-i8.jpg" TargetMode="External"/><Relationship Id="rId_hyperlink_5253" Type="http://schemas.openxmlformats.org/officeDocument/2006/relationships/hyperlink" Target="https://b2beez.ru/images/detailed/177/orig_n1px-o1.jpg" TargetMode="External"/><Relationship Id="rId_hyperlink_5254" Type="http://schemas.openxmlformats.org/officeDocument/2006/relationships/hyperlink" Target="https://b2beez.ru/images/detailed/161/6981834491.jpg" TargetMode="External"/><Relationship Id="rId_hyperlink_5255" Type="http://schemas.openxmlformats.org/officeDocument/2006/relationships/hyperlink" Target="https://b2beez.ru/images/detailed/162/orig_zpi8-jd.jpg" TargetMode="External"/><Relationship Id="rId_hyperlink_5256" Type="http://schemas.openxmlformats.org/officeDocument/2006/relationships/hyperlink" Target="https://b2beez.ru/images/detailed/177/orig_ysu1-un.jpg" TargetMode="External"/><Relationship Id="rId_hyperlink_5257" Type="http://schemas.openxmlformats.org/officeDocument/2006/relationships/hyperlink" Target="https://b2beez.ru/images/detailed/162/6981749531.jpg" TargetMode="External"/><Relationship Id="rId_hyperlink_5258" Type="http://schemas.openxmlformats.org/officeDocument/2006/relationships/hyperlink" Target="https://b2beez.ru/images/detailed/178/orig_68vh-kp.jpg" TargetMode="External"/><Relationship Id="rId_hyperlink_5259" Type="http://schemas.openxmlformats.org/officeDocument/2006/relationships/hyperlink" Target="https://b2beez.ru/images/detailed/173/orig_kv32-ff.jpg" TargetMode="External"/><Relationship Id="rId_hyperlink_5260" Type="http://schemas.openxmlformats.org/officeDocument/2006/relationships/hyperlink" Target="https://b2beez.ru/images/detailed/173/orig.jpg" TargetMode="External"/><Relationship Id="rId_hyperlink_5261" Type="http://schemas.openxmlformats.org/officeDocument/2006/relationships/hyperlink" Target="https://b2beez.ru/images/detailed/166/orig_dj8f-ot.jpg" TargetMode="External"/><Relationship Id="rId_hyperlink_5262" Type="http://schemas.openxmlformats.org/officeDocument/2006/relationships/hyperlink" Target="https://b2beez.ru/images/detailed/178/orig_vt2m-w1.jpg" TargetMode="External"/><Relationship Id="rId_hyperlink_5263" Type="http://schemas.openxmlformats.org/officeDocument/2006/relationships/hyperlink" Target="https://b2beez.ru/images/detailed/182/orig_2xj8-b6.jpg" TargetMode="External"/><Relationship Id="rId_hyperlink_5264" Type="http://schemas.openxmlformats.org/officeDocument/2006/relationships/hyperlink" Target="https://b2beez.ru/images/detailed/154/6981747870.jpg" TargetMode="External"/><Relationship Id="rId_hyperlink_5265" Type="http://schemas.openxmlformats.org/officeDocument/2006/relationships/hyperlink" Target="https://b2beez.ru/images/detailed/171/orig_ulns-mf.jpg" TargetMode="External"/><Relationship Id="rId_hyperlink_5266" Type="http://schemas.openxmlformats.org/officeDocument/2006/relationships/hyperlink" Target="https://b2beez.ru/images/detailed/171/orig_bwf8-pr.jpg" TargetMode="External"/><Relationship Id="rId_hyperlink_5267" Type="http://schemas.openxmlformats.org/officeDocument/2006/relationships/hyperlink" Target="https://b2beez.ru/images/detailed/172/6981992114.jpg" TargetMode="External"/><Relationship Id="rId_hyperlink_5268" Type="http://schemas.openxmlformats.org/officeDocument/2006/relationships/hyperlink" Target="https://b2beez.ru/images/detailed/171/6981758806.jpg" TargetMode="External"/><Relationship Id="rId_hyperlink_5269" Type="http://schemas.openxmlformats.org/officeDocument/2006/relationships/hyperlink" Target="https://b2beez.ru/images/detailed/172/6981728424.jpg" TargetMode="External"/><Relationship Id="rId_hyperlink_5270" Type="http://schemas.openxmlformats.org/officeDocument/2006/relationships/hyperlink" Target="https://b2beez.ru/images/detailed/172/6981723117.jpg" TargetMode="External"/><Relationship Id="rId_hyperlink_5271" Type="http://schemas.openxmlformats.org/officeDocument/2006/relationships/hyperlink" Target="https://b2beez.ru/images/detailed/169/orig_x5o7-bl.jpg" TargetMode="External"/><Relationship Id="rId_hyperlink_5272" Type="http://schemas.openxmlformats.org/officeDocument/2006/relationships/hyperlink" Target="https://b2beez.ru/images/detailed/170/orig_pv10-48.jpg" TargetMode="External"/><Relationship Id="rId_hyperlink_5273" Type="http://schemas.openxmlformats.org/officeDocument/2006/relationships/hyperlink" Target="https://b2beez.ru/images/detailed/175/6981870491.jpg" TargetMode="External"/><Relationship Id="rId_hyperlink_5274" Type="http://schemas.openxmlformats.org/officeDocument/2006/relationships/hyperlink" Target="https://b2beez.ru/images/detailed/183/7096450580.jpg" TargetMode="External"/><Relationship Id="rId_hyperlink_5275" Type="http://schemas.openxmlformats.org/officeDocument/2006/relationships/hyperlink" Target="https://b2beez.ru/images/detailed/166/7036811872.jpg" TargetMode="External"/><Relationship Id="rId_hyperlink_5276" Type="http://schemas.openxmlformats.org/officeDocument/2006/relationships/hyperlink" Target="https://b2beez.ru/images/detailed/204/N-2927.jpg" TargetMode="External"/><Relationship Id="rId_hyperlink_5277" Type="http://schemas.openxmlformats.org/officeDocument/2006/relationships/hyperlink" Target="https://b2beez.ru/images/detailed/0/" TargetMode="External"/><Relationship Id="rId_hyperlink_5278" Type="http://schemas.openxmlformats.org/officeDocument/2006/relationships/hyperlink" Target="https://b2beez.ru/images/detailed/204/N-2929.jpg" TargetMode="External"/><Relationship Id="rId_hyperlink_5279" Type="http://schemas.openxmlformats.org/officeDocument/2006/relationships/hyperlink" Target="https://b2beez.ru/images/detailed/161/orig_j8hb-w9.jpg" TargetMode="External"/><Relationship Id="rId_hyperlink_5280" Type="http://schemas.openxmlformats.org/officeDocument/2006/relationships/hyperlink" Target="https://b2beez.ru/images/detailed/160/orig_rb1l-1u.jpg" TargetMode="External"/><Relationship Id="rId_hyperlink_5281" Type="http://schemas.openxmlformats.org/officeDocument/2006/relationships/hyperlink" Target="https://b2beez.ru/images/detailed/160/orig_by5s-pk.jpg" TargetMode="External"/><Relationship Id="rId_hyperlink_5282" Type="http://schemas.openxmlformats.org/officeDocument/2006/relationships/hyperlink" Target="https://b2beez.ru/images/detailed/0/" TargetMode="External"/><Relationship Id="rId_hyperlink_5283" Type="http://schemas.openxmlformats.org/officeDocument/2006/relationships/hyperlink" Target="https://b2beez.ru/images/detailed/160/7066524721.jpg" TargetMode="External"/><Relationship Id="rId_hyperlink_5284" Type="http://schemas.openxmlformats.org/officeDocument/2006/relationships/hyperlink" Target="https://b2beez.ru/images/detailed/160/7066540358.jpg" TargetMode="External"/><Relationship Id="rId_hyperlink_5285" Type="http://schemas.openxmlformats.org/officeDocument/2006/relationships/hyperlink" Target="https://b2beez.ru/images/detailed/161/orig_9cj3-h0.jpg" TargetMode="External"/><Relationship Id="rId_hyperlink_5286" Type="http://schemas.openxmlformats.org/officeDocument/2006/relationships/hyperlink" Target="https://b2beez.ru/images/detailed/161/orig_0frj-yn.jpg" TargetMode="External"/><Relationship Id="rId_hyperlink_5287" Type="http://schemas.openxmlformats.org/officeDocument/2006/relationships/hyperlink" Target="https://b2beez.ru/images/detailed/161/orig_dcjp-la.jpg" TargetMode="External"/><Relationship Id="rId_hyperlink_5288" Type="http://schemas.openxmlformats.org/officeDocument/2006/relationships/hyperlink" Target="https://b2beez.ru/images/detailed/204/2_g6yv-z8.jpg" TargetMode="External"/><Relationship Id="rId_hyperlink_5289" Type="http://schemas.openxmlformats.org/officeDocument/2006/relationships/hyperlink" Target="https://b2beez.ru/images/detailed/161/orig_tqzq-hk.jpg" TargetMode="External"/><Relationship Id="rId_hyperlink_5290" Type="http://schemas.openxmlformats.org/officeDocument/2006/relationships/hyperlink" Target="https://b2beez.ru/images/detailed/161/orig_al0d-r1.jpg" TargetMode="External"/><Relationship Id="rId_hyperlink_5291" Type="http://schemas.openxmlformats.org/officeDocument/2006/relationships/hyperlink" Target="https://b2beez.ru/images/detailed/170/orig_39sj-sd.jpg" TargetMode="External"/><Relationship Id="rId_hyperlink_5292" Type="http://schemas.openxmlformats.org/officeDocument/2006/relationships/hyperlink" Target="https://b2beez.ru/images/detailed/161/orig.jpg" TargetMode="External"/><Relationship Id="rId_hyperlink_5293" Type="http://schemas.openxmlformats.org/officeDocument/2006/relationships/hyperlink" Target="https://b2beez.ru/images/detailed/161/orig_ptlt-0w.jpg" TargetMode="External"/><Relationship Id="rId_hyperlink_5294" Type="http://schemas.openxmlformats.org/officeDocument/2006/relationships/hyperlink" Target="https://b2beez.ru/images/detailed/161/6953988324.jpg" TargetMode="External"/><Relationship Id="rId_hyperlink_5295" Type="http://schemas.openxmlformats.org/officeDocument/2006/relationships/hyperlink" Target="https://b2beez.ru/images/detailed/161/orig_ztkj-nb.jpg" TargetMode="External"/><Relationship Id="rId_hyperlink_5296" Type="http://schemas.openxmlformats.org/officeDocument/2006/relationships/hyperlink" Target="https://b2beez.ru/images/detailed/161/orig_36uj-fg.jpg" TargetMode="External"/><Relationship Id="rId_hyperlink_5297" Type="http://schemas.openxmlformats.org/officeDocument/2006/relationships/hyperlink" Target="https://b2beez.ru/images/detailed/160/orig_qqiq-1o.jpg" TargetMode="External"/><Relationship Id="rId_hyperlink_5298" Type="http://schemas.openxmlformats.org/officeDocument/2006/relationships/hyperlink" Target="https://b2beez.ru/images/detailed/160/6352314275.jpg" TargetMode="External"/><Relationship Id="rId_hyperlink_5299" Type="http://schemas.openxmlformats.org/officeDocument/2006/relationships/hyperlink" Target="https://b2beez.ru/images/detailed/160/orig_atxb-fw.jpg" TargetMode="External"/><Relationship Id="rId_hyperlink_5300" Type="http://schemas.openxmlformats.org/officeDocument/2006/relationships/hyperlink" Target="https://b2beez.ru/images/detailed/161/orig_dfti-ek.jpg" TargetMode="External"/><Relationship Id="rId_hyperlink_5301" Type="http://schemas.openxmlformats.org/officeDocument/2006/relationships/hyperlink" Target="https://b2beez.ru/images/detailed/160/orig_jjvt-qu.png" TargetMode="External"/><Relationship Id="rId_hyperlink_5302" Type="http://schemas.openxmlformats.org/officeDocument/2006/relationships/hyperlink" Target="https://b2beez.ru/images/detailed/161/orig_fwke-z5.jpg" TargetMode="External"/><Relationship Id="rId_hyperlink_5303" Type="http://schemas.openxmlformats.org/officeDocument/2006/relationships/hyperlink" Target="https://b2beez.ru/images/detailed/160/orig_r6f9-r7.jpg" TargetMode="External"/><Relationship Id="rId_hyperlink_5304" Type="http://schemas.openxmlformats.org/officeDocument/2006/relationships/hyperlink" Target="https://b2beez.ru/images/detailed/160/orig_6hyo-ge.jpg" TargetMode="External"/><Relationship Id="rId_hyperlink_5305" Type="http://schemas.openxmlformats.org/officeDocument/2006/relationships/hyperlink" Target="https://b2beez.ru/images/detailed/160/orig_wtb9-d0.jpg" TargetMode="External"/><Relationship Id="rId_hyperlink_5306" Type="http://schemas.openxmlformats.org/officeDocument/2006/relationships/hyperlink" Target="https://b2beez.ru/images/detailed/160/orig_tw4t-iw.jpg" TargetMode="External"/><Relationship Id="rId_hyperlink_5307" Type="http://schemas.openxmlformats.org/officeDocument/2006/relationships/hyperlink" Target="https://b2beez.ru/images/detailed/160/orig.png" TargetMode="External"/><Relationship Id="rId_hyperlink_5308" Type="http://schemas.openxmlformats.org/officeDocument/2006/relationships/hyperlink" Target="https://b2beez.ru/images/detailed/160/orig_qfs0-ze.jpg" TargetMode="External"/><Relationship Id="rId_hyperlink_5309" Type="http://schemas.openxmlformats.org/officeDocument/2006/relationships/hyperlink" Target="https://b2beez.ru/images/detailed/160/orig_ijlv-a8.jpg" TargetMode="External"/><Relationship Id="rId_hyperlink_5310" Type="http://schemas.openxmlformats.org/officeDocument/2006/relationships/hyperlink" Target="https://b2beez.ru/images/detailed/160/orig_7jf1-yg.png" TargetMode="External"/><Relationship Id="rId_hyperlink_5311" Type="http://schemas.openxmlformats.org/officeDocument/2006/relationships/hyperlink" Target="https://b2beez.ru/images/detailed/160/6422146304.jpg" TargetMode="External"/><Relationship Id="rId_hyperlink_5312" Type="http://schemas.openxmlformats.org/officeDocument/2006/relationships/hyperlink" Target="https://b2beez.ru/images/detailed/160/orig_tw5j-2a.png" TargetMode="External"/><Relationship Id="rId_hyperlink_5313" Type="http://schemas.openxmlformats.org/officeDocument/2006/relationships/hyperlink" Target="https://b2beez.ru/images/detailed/160/orig_loci-b5.jpg" TargetMode="External"/><Relationship Id="rId_hyperlink_5314" Type="http://schemas.openxmlformats.org/officeDocument/2006/relationships/hyperlink" Target="https://b2beez.ru/images/detailed/160/orig_ng6r-vh.jpg" TargetMode="External"/><Relationship Id="rId_hyperlink_5315" Type="http://schemas.openxmlformats.org/officeDocument/2006/relationships/hyperlink" Target="https://b2beez.ru/images/detailed/178/6949572873.jpg" TargetMode="External"/><Relationship Id="rId_hyperlink_5316" Type="http://schemas.openxmlformats.org/officeDocument/2006/relationships/hyperlink" Target="https://b2beez.ru/images/detailed/178/6949649934.jpg" TargetMode="External"/><Relationship Id="rId_hyperlink_5317" Type="http://schemas.openxmlformats.org/officeDocument/2006/relationships/hyperlink" Target="https://b2beez.ru/images/detailed/178/6949647987.jpg" TargetMode="External"/><Relationship Id="rId_hyperlink_5318" Type="http://schemas.openxmlformats.org/officeDocument/2006/relationships/hyperlink" Target="https://b2beez.ru/images/detailed/178/6949647554.jpg" TargetMode="External"/><Relationship Id="rId_hyperlink_5319" Type="http://schemas.openxmlformats.org/officeDocument/2006/relationships/hyperlink" Target="https://b2beez.ru/images/detailed/178/6949649078.jpg" TargetMode="External"/><Relationship Id="rId_hyperlink_5320" Type="http://schemas.openxmlformats.org/officeDocument/2006/relationships/hyperlink" Target="https://b2beez.ru/images/detailed/178/orig_su8u-jf.jpg" TargetMode="External"/><Relationship Id="rId_hyperlink_5321" Type="http://schemas.openxmlformats.org/officeDocument/2006/relationships/hyperlink" Target="https://b2beez.ru/images/detailed/178/6949646052.jpg" TargetMode="External"/><Relationship Id="rId_hyperlink_5322" Type="http://schemas.openxmlformats.org/officeDocument/2006/relationships/hyperlink" Target="https://b2beez.ru/images/detailed/178/6949645218.jpg" TargetMode="External"/><Relationship Id="rId_hyperlink_5323" Type="http://schemas.openxmlformats.org/officeDocument/2006/relationships/hyperlink" Target="https://b2beez.ru/images/detailed/178/orig_09oe-uo.jpg" TargetMode="External"/><Relationship Id="rId_hyperlink_5324" Type="http://schemas.openxmlformats.org/officeDocument/2006/relationships/hyperlink" Target="https://b2beez.ru/images/detailed/178/6949643923.jpg" TargetMode="External"/><Relationship Id="rId_hyperlink_5325" Type="http://schemas.openxmlformats.org/officeDocument/2006/relationships/hyperlink" Target="https://b2beez.ru/images/detailed/178/6949646419.jpg" TargetMode="External"/><Relationship Id="rId_hyperlink_5326" Type="http://schemas.openxmlformats.org/officeDocument/2006/relationships/hyperlink" Target="https://b2beez.ru/images/detailed/160/orig_8gkb-13.jpg" TargetMode="External"/><Relationship Id="rId_hyperlink_5327" Type="http://schemas.openxmlformats.org/officeDocument/2006/relationships/hyperlink" Target="https://b2beez.ru/images/detailed/160/orig_5lzo-57.png" TargetMode="External"/><Relationship Id="rId_hyperlink_5328" Type="http://schemas.openxmlformats.org/officeDocument/2006/relationships/hyperlink" Target="https://b2beez.ru/images/detailed/182/orig_8fni-ir.jpg" TargetMode="External"/><Relationship Id="rId_hyperlink_5329" Type="http://schemas.openxmlformats.org/officeDocument/2006/relationships/hyperlink" Target="https://b2beez.ru/images/detailed/182/orig_8isk-0z.jpg" TargetMode="External"/><Relationship Id="rId_hyperlink_5330" Type="http://schemas.openxmlformats.org/officeDocument/2006/relationships/hyperlink" Target="https://b2beez.ru/images/detailed/161/orig.png" TargetMode="External"/><Relationship Id="rId_hyperlink_5331" Type="http://schemas.openxmlformats.org/officeDocument/2006/relationships/hyperlink" Target="https://b2beez.ru/images/detailed/160/orig_xrfm-yn.jpg" TargetMode="External"/><Relationship Id="rId_hyperlink_5332" Type="http://schemas.openxmlformats.org/officeDocument/2006/relationships/hyperlink" Target="https://b2beez.ru/images/detailed/161/orig_o0zz-6x.jpg" TargetMode="External"/><Relationship Id="rId_hyperlink_5333" Type="http://schemas.openxmlformats.org/officeDocument/2006/relationships/hyperlink" Target="https://b2beez.ru/images/detailed/160/orig_0vta-jz.jpg" TargetMode="External"/><Relationship Id="rId_hyperlink_5334" Type="http://schemas.openxmlformats.org/officeDocument/2006/relationships/hyperlink" Target="https://b2beez.ru/images/detailed/160/6481959457.jpg" TargetMode="External"/><Relationship Id="rId_hyperlink_5335" Type="http://schemas.openxmlformats.org/officeDocument/2006/relationships/hyperlink" Target="https://b2beez.ru/images/detailed/160/orig_rg3h-iq.jpg" TargetMode="External"/><Relationship Id="rId_hyperlink_5336" Type="http://schemas.openxmlformats.org/officeDocument/2006/relationships/hyperlink" Target="https://b2beez.ru/images/detailed/160/6417212337.jpg" TargetMode="External"/><Relationship Id="rId_hyperlink_5337" Type="http://schemas.openxmlformats.org/officeDocument/2006/relationships/hyperlink" Target="https://b2beez.ru/images/detailed/160/6417447368.jpg" TargetMode="External"/><Relationship Id="rId_hyperlink_5338" Type="http://schemas.openxmlformats.org/officeDocument/2006/relationships/hyperlink" Target="https://b2beez.ru/images/detailed/177/6185362240.jpg" TargetMode="External"/><Relationship Id="rId_hyperlink_5339" Type="http://schemas.openxmlformats.org/officeDocument/2006/relationships/hyperlink" Target="https://b2beez.ru/images/detailed/176/orig_4ndw-n6.jpg" TargetMode="External"/><Relationship Id="rId_hyperlink_5340" Type="http://schemas.openxmlformats.org/officeDocument/2006/relationships/hyperlink" Target="https://b2beez.ru/images/detailed/176/orig_viel-7e.jpg" TargetMode="External"/><Relationship Id="rId_hyperlink_5341" Type="http://schemas.openxmlformats.org/officeDocument/2006/relationships/hyperlink" Target="https://b2beez.ru/images/detailed/176/orig_6hqa-w0.jpg" TargetMode="External"/><Relationship Id="rId_hyperlink_5342" Type="http://schemas.openxmlformats.org/officeDocument/2006/relationships/hyperlink" Target="https://b2beez.ru/images/detailed/176/orig_l6ym-ts.jpg" TargetMode="External"/><Relationship Id="rId_hyperlink_5343" Type="http://schemas.openxmlformats.org/officeDocument/2006/relationships/hyperlink" Target="https://b2beez.ru/images/detailed/176/orig_c87k-ni.jpg" TargetMode="External"/><Relationship Id="rId_hyperlink_5344" Type="http://schemas.openxmlformats.org/officeDocument/2006/relationships/hyperlink" Target="https://b2beez.ru/images/detailed/176/orig_o7wl-fr.jpg" TargetMode="External"/><Relationship Id="rId_hyperlink_5345" Type="http://schemas.openxmlformats.org/officeDocument/2006/relationships/hyperlink" Target="https://b2beez.ru/images/detailed/160/orig_dq1f-rr.jpg" TargetMode="External"/><Relationship Id="rId_hyperlink_5346" Type="http://schemas.openxmlformats.org/officeDocument/2006/relationships/hyperlink" Target="https://b2beez.ru/images/detailed/160/6309788192.jpg" TargetMode="External"/><Relationship Id="rId_hyperlink_5347" Type="http://schemas.openxmlformats.org/officeDocument/2006/relationships/hyperlink" Target="https://b2beez.ru/images/detailed/188/orig_2c51-y2.jpg" TargetMode="External"/><Relationship Id="rId_hyperlink_5348" Type="http://schemas.openxmlformats.org/officeDocument/2006/relationships/hyperlink" Target="https://b2beez.ru/images/detailed/48/orig_3eeh-d5.jpg" TargetMode="External"/><Relationship Id="rId_hyperlink_5349" Type="http://schemas.openxmlformats.org/officeDocument/2006/relationships/hyperlink" Target="https://b2beez.ru/images/detailed/188/orig_0rhh-ql.jpg" TargetMode="External"/><Relationship Id="rId_hyperlink_5350" Type="http://schemas.openxmlformats.org/officeDocument/2006/relationships/hyperlink" Target="https://b2beez.ru/images/detailed/188/orig_de0o-3k.jpg" TargetMode="External"/><Relationship Id="rId_hyperlink_5351" Type="http://schemas.openxmlformats.org/officeDocument/2006/relationships/hyperlink" Target="https://b2beez.ru/images/detailed/204/Z-353-2_o1ut-9a.jpg" TargetMode="External"/><Relationship Id="rId_hyperlink_5352" Type="http://schemas.openxmlformats.org/officeDocument/2006/relationships/hyperlink" Target="https://b2beez.ru/images/detailed/204/Z-6564.jpg" TargetMode="External"/><Relationship Id="rId_hyperlink_5353" Type="http://schemas.openxmlformats.org/officeDocument/2006/relationships/hyperlink" Target="https://b2beez.ru/images/detailed/204/Z-931-2_i7vj-y9.jpg" TargetMode="External"/><Relationship Id="rId_hyperlink_5354" Type="http://schemas.openxmlformats.org/officeDocument/2006/relationships/hyperlink" Target="https://b2beez.ru/images/detailed/168/orig_3nds-no.png" TargetMode="External"/><Relationship Id="rId_hyperlink_5355" Type="http://schemas.openxmlformats.org/officeDocument/2006/relationships/hyperlink" Target="https://b2beez.ru/images/detailed/169/6495818398.jpg" TargetMode="External"/><Relationship Id="rId_hyperlink_5356" Type="http://schemas.openxmlformats.org/officeDocument/2006/relationships/hyperlink" Target="https://b2beez.ru/images/detailed/175/orig.png" TargetMode="External"/><Relationship Id="rId_hyperlink_5357" Type="http://schemas.openxmlformats.org/officeDocument/2006/relationships/hyperlink" Target="https://b2beez.ru/images/detailed/171/6459634834.jpg" TargetMode="External"/><Relationship Id="rId_hyperlink_5358" Type="http://schemas.openxmlformats.org/officeDocument/2006/relationships/hyperlink" Target="https://b2beez.ru/images/detailed/171/6459631904.jpg" TargetMode="External"/><Relationship Id="rId_hyperlink_5359" Type="http://schemas.openxmlformats.org/officeDocument/2006/relationships/hyperlink" Target="https://b2beez.ru/images/detailed/169/orig_rfx8-lb.jpg" TargetMode="External"/><Relationship Id="rId_hyperlink_5360" Type="http://schemas.openxmlformats.org/officeDocument/2006/relationships/hyperlink" Target="https://b2beez.ru/images/detailed/167/7056539246.jpg" TargetMode="External"/><Relationship Id="rId_hyperlink_5361" Type="http://schemas.openxmlformats.org/officeDocument/2006/relationships/hyperlink" Target="https://b2beez.ru/images/detailed/167/6323778150.jpg" TargetMode="External"/><Relationship Id="rId_hyperlink_5362" Type="http://schemas.openxmlformats.org/officeDocument/2006/relationships/hyperlink" Target="https://b2beez.ru/images/detailed/167/6323778152.jpg" TargetMode="External"/><Relationship Id="rId_hyperlink_5363" Type="http://schemas.openxmlformats.org/officeDocument/2006/relationships/hyperlink" Target="https://b2beez.ru/images/detailed/166/6495817250.jpg" TargetMode="External"/><Relationship Id="rId_hyperlink_5364" Type="http://schemas.openxmlformats.org/officeDocument/2006/relationships/hyperlink" Target="https://b2beez.ru/images/detailed/166/6323778258.jpg" TargetMode="External"/><Relationship Id="rId_hyperlink_5365" Type="http://schemas.openxmlformats.org/officeDocument/2006/relationships/hyperlink" Target="https://b2beez.ru/images/detailed/166/6323778269.jpg" TargetMode="External"/><Relationship Id="rId_hyperlink_5366" Type="http://schemas.openxmlformats.org/officeDocument/2006/relationships/hyperlink" Target="https://b2beez.ru/images/detailed/167/6323778181.jpg" TargetMode="External"/><Relationship Id="rId_hyperlink_5367" Type="http://schemas.openxmlformats.org/officeDocument/2006/relationships/hyperlink" Target="https://b2beez.ru/images/detailed/167/6323778186.jpg" TargetMode="External"/><Relationship Id="rId_hyperlink_5368" Type="http://schemas.openxmlformats.org/officeDocument/2006/relationships/hyperlink" Target="https://b2beez.ru/images/detailed/167/6323778188.jpg" TargetMode="External"/><Relationship Id="rId_hyperlink_5369" Type="http://schemas.openxmlformats.org/officeDocument/2006/relationships/hyperlink" Target="https://b2beez.ru/images/detailed/167/6323778525.jpg" TargetMode="External"/><Relationship Id="rId_hyperlink_5370" Type="http://schemas.openxmlformats.org/officeDocument/2006/relationships/hyperlink" Target="https://b2beez.ru/images/detailed/167/6323778217.jpg" TargetMode="External"/><Relationship Id="rId_hyperlink_5371" Type="http://schemas.openxmlformats.org/officeDocument/2006/relationships/hyperlink" Target="https://b2beez.ru/images/detailed/167/6323778178.jpg" TargetMode="External"/><Relationship Id="rId_hyperlink_5372" Type="http://schemas.openxmlformats.org/officeDocument/2006/relationships/hyperlink" Target="https://b2beez.ru/images/detailed/167/6323778522.jpg" TargetMode="External"/><Relationship Id="rId_hyperlink_5373" Type="http://schemas.openxmlformats.org/officeDocument/2006/relationships/hyperlink" Target="https://b2beez.ru/images/detailed/161/orig_qq16-lh.jpg" TargetMode="External"/><Relationship Id="rId_hyperlink_5374" Type="http://schemas.openxmlformats.org/officeDocument/2006/relationships/hyperlink" Target="https://b2beez.ru/images/detailed/170/6448348196.jpg" TargetMode="External"/><Relationship Id="rId_hyperlink_5375" Type="http://schemas.openxmlformats.org/officeDocument/2006/relationships/hyperlink" Target="https://b2beez.ru/images/detailed/170/6731209049.jpg" TargetMode="External"/><Relationship Id="rId_hyperlink_5376" Type="http://schemas.openxmlformats.org/officeDocument/2006/relationships/hyperlink" Target="https://b2beez.ru/images/detailed/171/6120807417.jpg" TargetMode="External"/><Relationship Id="rId_hyperlink_5377" Type="http://schemas.openxmlformats.org/officeDocument/2006/relationships/hyperlink" Target="https://b2beez.ru/images/detailed/170/6731208534.jpg" TargetMode="External"/><Relationship Id="rId_hyperlink_5378" Type="http://schemas.openxmlformats.org/officeDocument/2006/relationships/hyperlink" Target="https://b2beez.ru/images/detailed/177/6459641434.jpg" TargetMode="External"/><Relationship Id="rId_hyperlink_5379" Type="http://schemas.openxmlformats.org/officeDocument/2006/relationships/hyperlink" Target="https://b2beez.ru/images/detailed/171/orig_f98g-15.jpg" TargetMode="External"/><Relationship Id="rId_hyperlink_5380" Type="http://schemas.openxmlformats.org/officeDocument/2006/relationships/hyperlink" Target="https://b2beez.ru/images/detailed/48/orig_9ukz-10.jpg" TargetMode="External"/><Relationship Id="rId_hyperlink_5381" Type="http://schemas.openxmlformats.org/officeDocument/2006/relationships/hyperlink" Target="https://b2beez.ru/images/detailed/172/orig_ey0a-gv.jpg" TargetMode="External"/><Relationship Id="rId_hyperlink_5382" Type="http://schemas.openxmlformats.org/officeDocument/2006/relationships/hyperlink" Target="https://b2beez.ru/images/detailed/172/orig_24g3-yv.jpg" TargetMode="External"/><Relationship Id="rId_hyperlink_5383" Type="http://schemas.openxmlformats.org/officeDocument/2006/relationships/hyperlink" Target="https://b2beez.ru/images/detailed/48/6949706082.jpg" TargetMode="External"/><Relationship Id="rId_hyperlink_5384" Type="http://schemas.openxmlformats.org/officeDocument/2006/relationships/hyperlink" Target="https://b2beez.ru/images/detailed/182/6248109304.jpg" TargetMode="External"/><Relationship Id="rId_hyperlink_5385" Type="http://schemas.openxmlformats.org/officeDocument/2006/relationships/hyperlink" Target="https://b2beez.ru/images/detailed/171/orig_f9y4-ry.jpg" TargetMode="External"/><Relationship Id="rId_hyperlink_5386" Type="http://schemas.openxmlformats.org/officeDocument/2006/relationships/hyperlink" Target="https://b2beez.ru/images/detailed/171/6459638559.jpg" TargetMode="External"/><Relationship Id="rId_hyperlink_5387" Type="http://schemas.openxmlformats.org/officeDocument/2006/relationships/hyperlink" Target="https://b2beez.ru/images/detailed/171/6459637613.jpg" TargetMode="External"/><Relationship Id="rId_hyperlink_5388" Type="http://schemas.openxmlformats.org/officeDocument/2006/relationships/hyperlink" Target="https://b2beez.ru/images/detailed/175/orig_yu0u-qx.jpg" TargetMode="External"/><Relationship Id="rId_hyperlink_5389" Type="http://schemas.openxmlformats.org/officeDocument/2006/relationships/hyperlink" Target="https://b2beez.ru/images/detailed/165/orig_hted-81.jpg" TargetMode="External"/><Relationship Id="rId_hyperlink_5390" Type="http://schemas.openxmlformats.org/officeDocument/2006/relationships/hyperlink" Target="https://b2beez.ru/images/detailed/165/orig_ots9-05.jpg" TargetMode="External"/><Relationship Id="rId_hyperlink_5391" Type="http://schemas.openxmlformats.org/officeDocument/2006/relationships/hyperlink" Target="https://b2beez.ru/images/detailed/179/orig_4dpr-tn.jpg" TargetMode="External"/><Relationship Id="rId_hyperlink_5392" Type="http://schemas.openxmlformats.org/officeDocument/2006/relationships/hyperlink" Target="https://b2beez.ru/images/detailed/173/6334997843.jpg" TargetMode="External"/><Relationship Id="rId_hyperlink_5393" Type="http://schemas.openxmlformats.org/officeDocument/2006/relationships/hyperlink" Target="https://b2beez.ru/images/detailed/172/orig_jf8g-r4.jpg" TargetMode="External"/><Relationship Id="rId_hyperlink_5394" Type="http://schemas.openxmlformats.org/officeDocument/2006/relationships/hyperlink" Target="https://b2beez.ru/images/detailed/178/6949832215.jpg" TargetMode="External"/><Relationship Id="rId_hyperlink_5395" Type="http://schemas.openxmlformats.org/officeDocument/2006/relationships/hyperlink" Target="https://b2beez.ru/images/detailed/178/6981789786.jpg" TargetMode="External"/><Relationship Id="rId_hyperlink_5396" Type="http://schemas.openxmlformats.org/officeDocument/2006/relationships/hyperlink" Target="https://b2beez.ru/images/detailed/178/orig_7bm0-5t.jpg" TargetMode="External"/><Relationship Id="rId_hyperlink_5397" Type="http://schemas.openxmlformats.org/officeDocument/2006/relationships/hyperlink" Target="https://b2beez.ru/images/detailed/178/orig_jjzo-bu.jpg" TargetMode="External"/><Relationship Id="rId_hyperlink_5398" Type="http://schemas.openxmlformats.org/officeDocument/2006/relationships/hyperlink" Target="https://b2beez.ru/images/detailed/173/6121536942.jpg" TargetMode="External"/><Relationship Id="rId_hyperlink_5399" Type="http://schemas.openxmlformats.org/officeDocument/2006/relationships/hyperlink" Target="https://b2beez.ru/images/detailed/173/6121581037.jpg" TargetMode="External"/><Relationship Id="rId_hyperlink_5400" Type="http://schemas.openxmlformats.org/officeDocument/2006/relationships/hyperlink" Target="https://b2beez.ru/images/detailed/173/6652376223.jpg" TargetMode="External"/><Relationship Id="rId_hyperlink_5401" Type="http://schemas.openxmlformats.org/officeDocument/2006/relationships/hyperlink" Target="https://b2beez.ru/images/detailed/173/orig_2agv-8d.jpg" TargetMode="External"/><Relationship Id="rId_hyperlink_5402" Type="http://schemas.openxmlformats.org/officeDocument/2006/relationships/hyperlink" Target="https://b2beez.ru/images/detailed/173/orig_h4e5-2j.jpg" TargetMode="External"/><Relationship Id="rId_hyperlink_5403" Type="http://schemas.openxmlformats.org/officeDocument/2006/relationships/hyperlink" Target="https://b2beez.ru/images/detailed/173/6121508534.jpg" TargetMode="External"/><Relationship Id="rId_hyperlink_5404" Type="http://schemas.openxmlformats.org/officeDocument/2006/relationships/hyperlink" Target="https://b2beez.ru/images/detailed/173/6121524865.jpg" TargetMode="External"/><Relationship Id="rId_hyperlink_5405" Type="http://schemas.openxmlformats.org/officeDocument/2006/relationships/hyperlink" Target="https://b2beez.ru/images/detailed/173/6118907230.jpg" TargetMode="External"/><Relationship Id="rId_hyperlink_5406" Type="http://schemas.openxmlformats.org/officeDocument/2006/relationships/hyperlink" Target="https://b2beez.ru/images/detailed/173/orig_tc1m-jx.jpg" TargetMode="External"/><Relationship Id="rId_hyperlink_5407" Type="http://schemas.openxmlformats.org/officeDocument/2006/relationships/hyperlink" Target="https://b2beez.ru/images/detailed/173/orig_uaiv-nc.jpg" TargetMode="External"/><Relationship Id="rId_hyperlink_5408" Type="http://schemas.openxmlformats.org/officeDocument/2006/relationships/hyperlink" Target="https://b2beez.ru/images/detailed/179/orig_qmmr-5c.jpg" TargetMode="External"/><Relationship Id="rId_hyperlink_5409" Type="http://schemas.openxmlformats.org/officeDocument/2006/relationships/hyperlink" Target="https://b2beez.ru/images/detailed/182/7180883963.jpg" TargetMode="External"/><Relationship Id="rId_hyperlink_5410" Type="http://schemas.openxmlformats.org/officeDocument/2006/relationships/hyperlink" Target="https://b2beez.ru/images/detailed/170/orig_l2ei-mp.jpg" TargetMode="External"/><Relationship Id="rId_hyperlink_5411" Type="http://schemas.openxmlformats.org/officeDocument/2006/relationships/hyperlink" Target="https://b2beez.ru/images/detailed/182/7180881350.jpg" TargetMode="External"/><Relationship Id="rId_hyperlink_5412" Type="http://schemas.openxmlformats.org/officeDocument/2006/relationships/hyperlink" Target="https://b2beez.ru/images/detailed/169/orig_ukhz-6a.jpg" TargetMode="External"/><Relationship Id="rId_hyperlink_5413" Type="http://schemas.openxmlformats.org/officeDocument/2006/relationships/hyperlink" Target="https://b2beez.ru/images/detailed/183/orig_1p1m-if.jpg" TargetMode="External"/><Relationship Id="rId_hyperlink_5414" Type="http://schemas.openxmlformats.org/officeDocument/2006/relationships/hyperlink" Target="https://b2beez.ru/images/detailed/183/orig_0nyo-wv.jpg" TargetMode="External"/><Relationship Id="rId_hyperlink_5415" Type="http://schemas.openxmlformats.org/officeDocument/2006/relationships/hyperlink" Target="https://b2beez.ru/images/detailed/183/orig_d3cx-p9.jpg" TargetMode="External"/><Relationship Id="rId_hyperlink_5416" Type="http://schemas.openxmlformats.org/officeDocument/2006/relationships/hyperlink" Target="https://b2beez.ru/images/detailed/180/7180922212.jpg" TargetMode="External"/><Relationship Id="rId_hyperlink_5417" Type="http://schemas.openxmlformats.org/officeDocument/2006/relationships/hyperlink" Target="https://b2beez.ru/images/detailed/181/7181018239.jpg" TargetMode="External"/><Relationship Id="rId_hyperlink_5418" Type="http://schemas.openxmlformats.org/officeDocument/2006/relationships/hyperlink" Target="https://b2beez.ru/images/detailed/179/7181094383.jpg" TargetMode="External"/><Relationship Id="rId_hyperlink_5419" Type="http://schemas.openxmlformats.org/officeDocument/2006/relationships/hyperlink" Target="https://b2beez.ru/images/detailed/180/7181433031.jpg" TargetMode="External"/><Relationship Id="rId_hyperlink_5420" Type="http://schemas.openxmlformats.org/officeDocument/2006/relationships/hyperlink" Target="https://b2beez.ru/images/detailed/165/7181098483.jpg" TargetMode="External"/><Relationship Id="rId_hyperlink_5421" Type="http://schemas.openxmlformats.org/officeDocument/2006/relationships/hyperlink" Target="https://b2beez.ru/images/detailed/180/orig_odhc-nw.jpg" TargetMode="External"/><Relationship Id="rId_hyperlink_5422" Type="http://schemas.openxmlformats.org/officeDocument/2006/relationships/hyperlink" Target="https://b2beez.ru/images/detailed/179/orig_si4v-xn.jpg" TargetMode="External"/><Relationship Id="rId_hyperlink_5423" Type="http://schemas.openxmlformats.org/officeDocument/2006/relationships/hyperlink" Target="https://b2beez.ru/images/detailed/179/orig_wmw8-zy.jpg" TargetMode="External"/><Relationship Id="rId_hyperlink_5424" Type="http://schemas.openxmlformats.org/officeDocument/2006/relationships/hyperlink" Target="https://b2beez.ru/images/detailed/179/orig_owst-ys.jpg" TargetMode="External"/><Relationship Id="rId_hyperlink_5425" Type="http://schemas.openxmlformats.org/officeDocument/2006/relationships/hyperlink" Target="https://b2beez.ru/images/detailed/179/orig_91gd-c6.jpg" TargetMode="External"/><Relationship Id="rId_hyperlink_5426" Type="http://schemas.openxmlformats.org/officeDocument/2006/relationships/hyperlink" Target="https://b2beez.ru/images/detailed/179/6459282375.jpg" TargetMode="External"/><Relationship Id="rId_hyperlink_5427" Type="http://schemas.openxmlformats.org/officeDocument/2006/relationships/hyperlink" Target="https://b2beez.ru/images/detailed/179/orig_v078-pf.jpg" TargetMode="External"/><Relationship Id="rId_hyperlink_5428" Type="http://schemas.openxmlformats.org/officeDocument/2006/relationships/hyperlink" Target="https://b2beez.ru/images/detailed/179/orig_80th-tb.jpg" TargetMode="External"/><Relationship Id="rId_hyperlink_5429" Type="http://schemas.openxmlformats.org/officeDocument/2006/relationships/hyperlink" Target="https://b2beez.ru/images/detailed/47/6400992266.jpg" TargetMode="External"/><Relationship Id="rId_hyperlink_5430" Type="http://schemas.openxmlformats.org/officeDocument/2006/relationships/hyperlink" Target="https://b2beez.ru/images/detailed/0/" TargetMode="External"/><Relationship Id="rId_hyperlink_5431" Type="http://schemas.openxmlformats.org/officeDocument/2006/relationships/hyperlink" Target="https://b2beez.ru/images/detailed/48/6499895845.jpg" TargetMode="External"/><Relationship Id="rId_hyperlink_5432" Type="http://schemas.openxmlformats.org/officeDocument/2006/relationships/hyperlink" Target="https://b2beez.ru/images/detailed/204/F-143_e0lo-xc.jpg" TargetMode="External"/><Relationship Id="rId_hyperlink_5433" Type="http://schemas.openxmlformats.org/officeDocument/2006/relationships/hyperlink" Target="https://b2beez.ru/images/detailed/0/" TargetMode="External"/><Relationship Id="rId_hyperlink_5434" Type="http://schemas.openxmlformats.org/officeDocument/2006/relationships/hyperlink" Target="https://b2beez.ru/images/detailed/160/6473606486.jpg" TargetMode="External"/><Relationship Id="rId_hyperlink_5435" Type="http://schemas.openxmlformats.org/officeDocument/2006/relationships/hyperlink" Target="https://b2beez.ru/images/detailed/166/6474470516.jpg" TargetMode="External"/><Relationship Id="rId_hyperlink_5436" Type="http://schemas.openxmlformats.org/officeDocument/2006/relationships/hyperlink" Target="https://b2beez.ru/images/detailed/171/orig_kxlb-gl.jpg" TargetMode="External"/><Relationship Id="rId_hyperlink_5437" Type="http://schemas.openxmlformats.org/officeDocument/2006/relationships/hyperlink" Target="https://b2beez.ru/images/detailed/204/N-781.jpg" TargetMode="External"/><Relationship Id="rId_hyperlink_5438" Type="http://schemas.openxmlformats.org/officeDocument/2006/relationships/hyperlink" Target="https://b2beez.ru/images/detailed/170/6136891627.jpg" TargetMode="External"/><Relationship Id="rId_hyperlink_5439" Type="http://schemas.openxmlformats.org/officeDocument/2006/relationships/hyperlink" Target="https://b2beez.ru/images/detailed/171/6136892083.jpg" TargetMode="External"/><Relationship Id="rId_hyperlink_5440" Type="http://schemas.openxmlformats.org/officeDocument/2006/relationships/hyperlink" Target="https://b2beez.ru/images/detailed/171/6136891940.jpg" TargetMode="External"/><Relationship Id="rId_hyperlink_5441" Type="http://schemas.openxmlformats.org/officeDocument/2006/relationships/hyperlink" Target="https://b2beez.ru/images/detailed/170/orig_o0rc-g0.jpg" TargetMode="External"/><Relationship Id="rId_hyperlink_5442" Type="http://schemas.openxmlformats.org/officeDocument/2006/relationships/hyperlink" Target="https://b2beez.ru/images/detailed/171/6491928975.jpg" TargetMode="External"/><Relationship Id="rId_hyperlink_5443" Type="http://schemas.openxmlformats.org/officeDocument/2006/relationships/hyperlink" Target="https://b2beez.ru/images/detailed/170/6136891714.jpg" TargetMode="External"/><Relationship Id="rId_hyperlink_5444" Type="http://schemas.openxmlformats.org/officeDocument/2006/relationships/hyperlink" Target="https://b2beez.ru/images/detailed/171/orig_73y1-9n.jpg" TargetMode="External"/><Relationship Id="rId_hyperlink_5445" Type="http://schemas.openxmlformats.org/officeDocument/2006/relationships/hyperlink" Target="https://b2beez.ru/images/detailed/171/orig_yltl-6f.jpg" TargetMode="External"/><Relationship Id="rId_hyperlink_5446" Type="http://schemas.openxmlformats.org/officeDocument/2006/relationships/hyperlink" Target="https://b2beez.ru/images/detailed/171/orig_x1jk-oe.jpg" TargetMode="External"/><Relationship Id="rId_hyperlink_5447" Type="http://schemas.openxmlformats.org/officeDocument/2006/relationships/hyperlink" Target="https://b2beez.ru/images/detailed/171/6136891852.jpg" TargetMode="External"/><Relationship Id="rId_hyperlink_5448" Type="http://schemas.openxmlformats.org/officeDocument/2006/relationships/hyperlink" Target="https://b2beez.ru/images/detailed/170/orig_a51c-05.jpg" TargetMode="External"/><Relationship Id="rId_hyperlink_5449" Type="http://schemas.openxmlformats.org/officeDocument/2006/relationships/hyperlink" Target="https://b2beez.ru/images/detailed/171/orig_hbsg-xh.jpg" TargetMode="External"/><Relationship Id="rId_hyperlink_5450" Type="http://schemas.openxmlformats.org/officeDocument/2006/relationships/hyperlink" Target="https://b2beez.ru/images/detailed/171/orig_yx0n-cb.jpg" TargetMode="External"/><Relationship Id="rId_hyperlink_5451" Type="http://schemas.openxmlformats.org/officeDocument/2006/relationships/hyperlink" Target="https://b2beez.ru/images/detailed/170/6136891906.jpg" TargetMode="External"/><Relationship Id="rId_hyperlink_5452" Type="http://schemas.openxmlformats.org/officeDocument/2006/relationships/hyperlink" Target="https://b2beez.ru/images/detailed/170/6136891870.jpg" TargetMode="External"/><Relationship Id="rId_hyperlink_5453" Type="http://schemas.openxmlformats.org/officeDocument/2006/relationships/hyperlink" Target="https://b2beez.ru/images/detailed/171/6136891951.jpg" TargetMode="External"/><Relationship Id="rId_hyperlink_5454" Type="http://schemas.openxmlformats.org/officeDocument/2006/relationships/hyperlink" Target="https://b2beez.ru/images/detailed/170/6136891918.jpg" TargetMode="External"/><Relationship Id="rId_hyperlink_5455" Type="http://schemas.openxmlformats.org/officeDocument/2006/relationships/hyperlink" Target="https://b2beez.ru/images/detailed/170/orig_xh9n-2j.jpg" TargetMode="External"/><Relationship Id="rId_hyperlink_5456" Type="http://schemas.openxmlformats.org/officeDocument/2006/relationships/hyperlink" Target="https://b2beez.ru/images/detailed/170/6136891953.jpg" TargetMode="External"/><Relationship Id="rId_hyperlink_5457" Type="http://schemas.openxmlformats.org/officeDocument/2006/relationships/hyperlink" Target="https://b2beez.ru/images/detailed/170/6136891932.jpg" TargetMode="External"/><Relationship Id="rId_hyperlink_5458" Type="http://schemas.openxmlformats.org/officeDocument/2006/relationships/hyperlink" Target="https://b2beez.ru/images/detailed/170/6136891921.jpg" TargetMode="External"/><Relationship Id="rId_hyperlink_5459" Type="http://schemas.openxmlformats.org/officeDocument/2006/relationships/hyperlink" Target="https://b2beez.ru/images/detailed/170/orig_1ts7-gh.jpg" TargetMode="External"/><Relationship Id="rId_hyperlink_5460" Type="http://schemas.openxmlformats.org/officeDocument/2006/relationships/hyperlink" Target="https://b2beez.ru/images/detailed/170/6136891960.jpg" TargetMode="External"/><Relationship Id="rId_hyperlink_5461" Type="http://schemas.openxmlformats.org/officeDocument/2006/relationships/hyperlink" Target="https://b2beez.ru/images/detailed/170/6136891798.jpg" TargetMode="External"/><Relationship Id="rId_hyperlink_5462" Type="http://schemas.openxmlformats.org/officeDocument/2006/relationships/hyperlink" Target="https://b2beez.ru/images/detailed/170/6141765287.jpg" TargetMode="External"/><Relationship Id="rId_hyperlink_5463" Type="http://schemas.openxmlformats.org/officeDocument/2006/relationships/hyperlink" Target="https://b2beez.ru/images/detailed/170/orig_1xdp-dc.jpg" TargetMode="External"/><Relationship Id="rId_hyperlink_5464" Type="http://schemas.openxmlformats.org/officeDocument/2006/relationships/hyperlink" Target="https://b2beez.ru/images/detailed/170/6136891959.jpg" TargetMode="External"/><Relationship Id="rId_hyperlink_5465" Type="http://schemas.openxmlformats.org/officeDocument/2006/relationships/hyperlink" Target="https://b2beez.ru/images/detailed/170/6136892011.jpg" TargetMode="External"/><Relationship Id="rId_hyperlink_5466" Type="http://schemas.openxmlformats.org/officeDocument/2006/relationships/hyperlink" Target="https://b2beez.ru/images/detailed/170/6136891920.jpg" TargetMode="External"/><Relationship Id="rId_hyperlink_5467" Type="http://schemas.openxmlformats.org/officeDocument/2006/relationships/hyperlink" Target="https://b2beez.ru/images/detailed/170/6136891924.jpg" TargetMode="External"/><Relationship Id="rId_hyperlink_5468" Type="http://schemas.openxmlformats.org/officeDocument/2006/relationships/hyperlink" Target="https://b2beez.ru/images/detailed/170/6141752503.jpg" TargetMode="External"/><Relationship Id="rId_hyperlink_5469" Type="http://schemas.openxmlformats.org/officeDocument/2006/relationships/hyperlink" Target="https://b2beez.ru/images/detailed/171/6834575455.jpg" TargetMode="External"/><Relationship Id="rId_hyperlink_5470" Type="http://schemas.openxmlformats.org/officeDocument/2006/relationships/hyperlink" Target="https://b2beez.ru/images/detailed/170/6136892013.jpg" TargetMode="External"/><Relationship Id="rId_hyperlink_5471" Type="http://schemas.openxmlformats.org/officeDocument/2006/relationships/hyperlink" Target="https://b2beez.ru/images/detailed/171/6139314058.jpg" TargetMode="External"/><Relationship Id="rId_hyperlink_5472" Type="http://schemas.openxmlformats.org/officeDocument/2006/relationships/hyperlink" Target="https://b2beez.ru/images/detailed/170/6136892106.jpg" TargetMode="External"/><Relationship Id="rId_hyperlink_5473" Type="http://schemas.openxmlformats.org/officeDocument/2006/relationships/hyperlink" Target="https://b2beez.ru/images/detailed/171/6138530880.jpg" TargetMode="External"/><Relationship Id="rId_hyperlink_5474" Type="http://schemas.openxmlformats.org/officeDocument/2006/relationships/hyperlink" Target="https://b2beez.ru/images/detailed/170/6138323992.jpg" TargetMode="External"/><Relationship Id="rId_hyperlink_5475" Type="http://schemas.openxmlformats.org/officeDocument/2006/relationships/hyperlink" Target="https://b2beez.ru/images/detailed/171/6138584969.jpg" TargetMode="External"/><Relationship Id="rId_hyperlink_5476" Type="http://schemas.openxmlformats.org/officeDocument/2006/relationships/hyperlink" Target="https://b2beez.ru/images/detailed/170/6138112223.jpg" TargetMode="External"/><Relationship Id="rId_hyperlink_5477" Type="http://schemas.openxmlformats.org/officeDocument/2006/relationships/hyperlink" Target="https://b2beez.ru/images/detailed/170/6138105560.jpg" TargetMode="External"/><Relationship Id="rId_hyperlink_5478" Type="http://schemas.openxmlformats.org/officeDocument/2006/relationships/hyperlink" Target="https://b2beez.ru/images/detailed/170/orig_t4ad-ub.jpg" TargetMode="External"/><Relationship Id="rId_hyperlink_5479" Type="http://schemas.openxmlformats.org/officeDocument/2006/relationships/hyperlink" Target="https://b2beez.ru/images/detailed/170/orig_0bgr-t4.jpg" TargetMode="External"/><Relationship Id="rId_hyperlink_5480" Type="http://schemas.openxmlformats.org/officeDocument/2006/relationships/hyperlink" Target="https://b2beez.ru/images/detailed/171/6136892156.jpg" TargetMode="External"/><Relationship Id="rId_hyperlink_5481" Type="http://schemas.openxmlformats.org/officeDocument/2006/relationships/hyperlink" Target="https://b2beez.ru/images/detailed/171/orig_932s-vy.jpg" TargetMode="External"/><Relationship Id="rId_hyperlink_5482" Type="http://schemas.openxmlformats.org/officeDocument/2006/relationships/hyperlink" Target="https://b2beez.ru/images/detailed/171/6136892004.jpg" TargetMode="External"/><Relationship Id="rId_hyperlink_5483" Type="http://schemas.openxmlformats.org/officeDocument/2006/relationships/hyperlink" Target="https://b2beez.ru/images/detailed/171/orig_zgku-n8.jpg" TargetMode="External"/><Relationship Id="rId_hyperlink_5484" Type="http://schemas.openxmlformats.org/officeDocument/2006/relationships/hyperlink" Target="https://b2beez.ru/images/detailed/170/6136892135.jpg" TargetMode="External"/><Relationship Id="rId_hyperlink_5485" Type="http://schemas.openxmlformats.org/officeDocument/2006/relationships/hyperlink" Target="https://b2beez.ru/images/detailed/170/6491928983.jpg" TargetMode="External"/><Relationship Id="rId_hyperlink_5486" Type="http://schemas.openxmlformats.org/officeDocument/2006/relationships/hyperlink" Target="https://b2beez.ru/images/detailed/170/6136892210.jpg" TargetMode="External"/><Relationship Id="rId_hyperlink_5487" Type="http://schemas.openxmlformats.org/officeDocument/2006/relationships/hyperlink" Target="https://b2beez.ru/images/detailed/170/6136891856.jpg" TargetMode="External"/><Relationship Id="rId_hyperlink_5488" Type="http://schemas.openxmlformats.org/officeDocument/2006/relationships/hyperlink" Target="https://b2beez.ru/images/detailed/170/6136892260.jpg" TargetMode="External"/><Relationship Id="rId_hyperlink_5489" Type="http://schemas.openxmlformats.org/officeDocument/2006/relationships/hyperlink" Target="https://b2beez.ru/images/detailed/171/6141587755.jpg" TargetMode="External"/><Relationship Id="rId_hyperlink_5490" Type="http://schemas.openxmlformats.org/officeDocument/2006/relationships/hyperlink" Target="https://b2beez.ru/images/detailed/170/6136891639.jpg" TargetMode="External"/><Relationship Id="rId_hyperlink_5491" Type="http://schemas.openxmlformats.org/officeDocument/2006/relationships/hyperlink" Target="https://b2beez.ru/images/detailed/170/6138089445.jpg" TargetMode="External"/><Relationship Id="rId_hyperlink_5492" Type="http://schemas.openxmlformats.org/officeDocument/2006/relationships/hyperlink" Target="https://b2beez.ru/images/detailed/170/6136892193.jpg" TargetMode="External"/><Relationship Id="rId_hyperlink_5493" Type="http://schemas.openxmlformats.org/officeDocument/2006/relationships/hyperlink" Target="https://b2beez.ru/images/detailed/170/orig_wydg-yw.jpg" TargetMode="External"/><Relationship Id="rId_hyperlink_5494" Type="http://schemas.openxmlformats.org/officeDocument/2006/relationships/hyperlink" Target="https://b2beez.ru/images/detailed/171/6136891988.jpg" TargetMode="External"/><Relationship Id="rId_hyperlink_5495" Type="http://schemas.openxmlformats.org/officeDocument/2006/relationships/hyperlink" Target="https://b2beez.ru/images/detailed/171/6136892219.jpg" TargetMode="External"/><Relationship Id="rId_hyperlink_5496" Type="http://schemas.openxmlformats.org/officeDocument/2006/relationships/hyperlink" Target="https://b2beez.ru/images/detailed/170/6136892158.jpg" TargetMode="External"/><Relationship Id="rId_hyperlink_5497" Type="http://schemas.openxmlformats.org/officeDocument/2006/relationships/hyperlink" Target="https://b2beez.ru/images/detailed/170/6136892181.jpg" TargetMode="External"/><Relationship Id="rId_hyperlink_5498" Type="http://schemas.openxmlformats.org/officeDocument/2006/relationships/hyperlink" Target="https://b2beez.ru/images/detailed/171/6136892123.jpg" TargetMode="External"/><Relationship Id="rId_hyperlink_5499" Type="http://schemas.openxmlformats.org/officeDocument/2006/relationships/hyperlink" Target="https://b2beez.ru/images/detailed/171/6136892154.jpg" TargetMode="External"/><Relationship Id="rId_hyperlink_5500" Type="http://schemas.openxmlformats.org/officeDocument/2006/relationships/hyperlink" Target="https://b2beez.ru/images/detailed/170/orig_i3ic-e2.jpg" TargetMode="External"/><Relationship Id="rId_hyperlink_5501" Type="http://schemas.openxmlformats.org/officeDocument/2006/relationships/hyperlink" Target="https://b2beez.ru/images/detailed/170/6136891296.jpg" TargetMode="External"/><Relationship Id="rId_hyperlink_5502" Type="http://schemas.openxmlformats.org/officeDocument/2006/relationships/hyperlink" Target="https://b2beez.ru/images/detailed/170/6136891458.jpg" TargetMode="External"/><Relationship Id="rId_hyperlink_5503" Type="http://schemas.openxmlformats.org/officeDocument/2006/relationships/hyperlink" Target="https://b2beez.ru/images/detailed/170/orig_90mt-3a.jpg" TargetMode="External"/><Relationship Id="rId_hyperlink_5504" Type="http://schemas.openxmlformats.org/officeDocument/2006/relationships/hyperlink" Target="https://b2beez.ru/images/detailed/170/6136891226.jpg" TargetMode="External"/><Relationship Id="rId_hyperlink_5505" Type="http://schemas.openxmlformats.org/officeDocument/2006/relationships/hyperlink" Target="https://b2beez.ru/images/detailed/170/6136891630.jpg" TargetMode="External"/><Relationship Id="rId_hyperlink_5506" Type="http://schemas.openxmlformats.org/officeDocument/2006/relationships/hyperlink" Target="https://b2beez.ru/images/detailed/170/6136891395.jpg" TargetMode="External"/><Relationship Id="rId_hyperlink_5507" Type="http://schemas.openxmlformats.org/officeDocument/2006/relationships/hyperlink" Target="https://b2beez.ru/images/detailed/170/6136891308.jpg" TargetMode="External"/><Relationship Id="rId_hyperlink_5508" Type="http://schemas.openxmlformats.org/officeDocument/2006/relationships/hyperlink" Target="https://b2beez.ru/images/detailed/170/6136891720.jpg" TargetMode="External"/><Relationship Id="rId_hyperlink_5509" Type="http://schemas.openxmlformats.org/officeDocument/2006/relationships/hyperlink" Target="https://b2beez.ru/images/detailed/170/6491929073.jpg" TargetMode="External"/><Relationship Id="rId_hyperlink_5510" Type="http://schemas.openxmlformats.org/officeDocument/2006/relationships/hyperlink" Target="https://b2beez.ru/images/detailed/170/6136892143.jpg" TargetMode="External"/><Relationship Id="rId_hyperlink_5511" Type="http://schemas.openxmlformats.org/officeDocument/2006/relationships/hyperlink" Target="https://b2beez.ru/images/detailed/170/6136892044.jpg" TargetMode="External"/><Relationship Id="rId_hyperlink_5512" Type="http://schemas.openxmlformats.org/officeDocument/2006/relationships/hyperlink" Target="https://b2beez.ru/images/detailed/170/6136891982.jpg" TargetMode="External"/><Relationship Id="rId_hyperlink_5513" Type="http://schemas.openxmlformats.org/officeDocument/2006/relationships/hyperlink" Target="https://b2beez.ru/images/detailed/170/6136891520.jpg" TargetMode="External"/><Relationship Id="rId_hyperlink_5514" Type="http://schemas.openxmlformats.org/officeDocument/2006/relationships/hyperlink" Target="https://b2beez.ru/images/detailed/170/6136891264.jpg" TargetMode="External"/><Relationship Id="rId_hyperlink_5515" Type="http://schemas.openxmlformats.org/officeDocument/2006/relationships/hyperlink" Target="https://b2beez.ru/images/detailed/170/6474467540.jpg" TargetMode="External"/><Relationship Id="rId_hyperlink_5516" Type="http://schemas.openxmlformats.org/officeDocument/2006/relationships/hyperlink" Target="https://b2beez.ru/images/detailed/170/6136891553.jpg" TargetMode="External"/><Relationship Id="rId_hyperlink_5517" Type="http://schemas.openxmlformats.org/officeDocument/2006/relationships/hyperlink" Target="https://b2beez.ru/images/detailed/170/6136891503.jpg" TargetMode="External"/><Relationship Id="rId_hyperlink_5518" Type="http://schemas.openxmlformats.org/officeDocument/2006/relationships/hyperlink" Target="https://b2beez.ru/images/detailed/170/6136892107.jpg" TargetMode="External"/><Relationship Id="rId_hyperlink_5519" Type="http://schemas.openxmlformats.org/officeDocument/2006/relationships/hyperlink" Target="https://b2beez.ru/images/detailed/170/6138612640.jpg" TargetMode="External"/><Relationship Id="rId_hyperlink_5520" Type="http://schemas.openxmlformats.org/officeDocument/2006/relationships/hyperlink" Target="https://b2beez.ru/images/detailed/170/6136892155.jpg" TargetMode="External"/><Relationship Id="rId_hyperlink_5521" Type="http://schemas.openxmlformats.org/officeDocument/2006/relationships/hyperlink" Target="https://b2beez.ru/images/detailed/170/6136892140.jpg" TargetMode="External"/><Relationship Id="rId_hyperlink_5522" Type="http://schemas.openxmlformats.org/officeDocument/2006/relationships/hyperlink" Target="https://b2beez.ru/images/detailed/170/orig_3wl2-vc.jpg" TargetMode="External"/><Relationship Id="rId_hyperlink_5523" Type="http://schemas.openxmlformats.org/officeDocument/2006/relationships/hyperlink" Target="https://b2beez.ru/images/detailed/170/orig_17wx-r3.jpg" TargetMode="External"/><Relationship Id="rId_hyperlink_5524" Type="http://schemas.openxmlformats.org/officeDocument/2006/relationships/hyperlink" Target="https://b2beez.ru/images/detailed/170/6136892012.jpg" TargetMode="External"/><Relationship Id="rId_hyperlink_5525" Type="http://schemas.openxmlformats.org/officeDocument/2006/relationships/hyperlink" Target="https://b2beez.ru/images/detailed/170/orig_y3rs-hg.jpg" TargetMode="External"/><Relationship Id="rId_hyperlink_5526" Type="http://schemas.openxmlformats.org/officeDocument/2006/relationships/hyperlink" Target="https://b2beez.ru/images/detailed/170/orig_61xs-nh.jpg" TargetMode="External"/><Relationship Id="rId_hyperlink_5527" Type="http://schemas.openxmlformats.org/officeDocument/2006/relationships/hyperlink" Target="https://b2beez.ru/images/detailed/170/6136892211.jpg" TargetMode="External"/><Relationship Id="rId_hyperlink_5528" Type="http://schemas.openxmlformats.org/officeDocument/2006/relationships/hyperlink" Target="https://b2beez.ru/images/detailed/170/6136891581.jpg" TargetMode="External"/><Relationship Id="rId_hyperlink_5529" Type="http://schemas.openxmlformats.org/officeDocument/2006/relationships/hyperlink" Target="https://b2beez.ru/images/detailed/170/6136891286.jpg" TargetMode="External"/><Relationship Id="rId_hyperlink_5530" Type="http://schemas.openxmlformats.org/officeDocument/2006/relationships/hyperlink" Target="https://b2beez.ru/images/detailed/170/6136892009.jpg" TargetMode="External"/><Relationship Id="rId_hyperlink_5531" Type="http://schemas.openxmlformats.org/officeDocument/2006/relationships/hyperlink" Target="https://b2beez.ru/images/detailed/170/6139318105.jpg" TargetMode="External"/><Relationship Id="rId_hyperlink_5532" Type="http://schemas.openxmlformats.org/officeDocument/2006/relationships/hyperlink" Target="https://b2beez.ru/images/detailed/170/6136891552.jpg" TargetMode="External"/><Relationship Id="rId_hyperlink_5533" Type="http://schemas.openxmlformats.org/officeDocument/2006/relationships/hyperlink" Target="https://b2beez.ru/images/detailed/170/orig_uq62-ms.jpg" TargetMode="External"/><Relationship Id="rId_hyperlink_5534" Type="http://schemas.openxmlformats.org/officeDocument/2006/relationships/hyperlink" Target="https://b2beez.ru/images/detailed/170/6136891620.jpg" TargetMode="External"/><Relationship Id="rId_hyperlink_5535" Type="http://schemas.openxmlformats.org/officeDocument/2006/relationships/hyperlink" Target="https://b2beez.ru/images/detailed/170/6136892055.jpg" TargetMode="External"/><Relationship Id="rId_hyperlink_5536" Type="http://schemas.openxmlformats.org/officeDocument/2006/relationships/hyperlink" Target="https://b2beez.ru/images/detailed/170/orig_2yp4-1m.jpg" TargetMode="External"/><Relationship Id="rId_hyperlink_5537" Type="http://schemas.openxmlformats.org/officeDocument/2006/relationships/hyperlink" Target="https://b2beez.ru/images/detailed/170/orig_vz40-3q.jpg" TargetMode="External"/><Relationship Id="rId_hyperlink_5538" Type="http://schemas.openxmlformats.org/officeDocument/2006/relationships/hyperlink" Target="https://b2beez.ru/images/detailed/170/6136891641.jpg" TargetMode="External"/><Relationship Id="rId_hyperlink_5539" Type="http://schemas.openxmlformats.org/officeDocument/2006/relationships/hyperlink" Target="https://b2beez.ru/images/detailed/170/orig_xuuv-cl.jpg" TargetMode="External"/><Relationship Id="rId_hyperlink_5540" Type="http://schemas.openxmlformats.org/officeDocument/2006/relationships/hyperlink" Target="https://b2beez.ru/images/detailed/170/6136213699.jpg" TargetMode="External"/><Relationship Id="rId_hyperlink_5541" Type="http://schemas.openxmlformats.org/officeDocument/2006/relationships/hyperlink" Target="https://b2beez.ru/images/detailed/170/6136891288.jpg" TargetMode="External"/><Relationship Id="rId_hyperlink_5542" Type="http://schemas.openxmlformats.org/officeDocument/2006/relationships/hyperlink" Target="https://b2beez.ru/images/detailed/170/6136892097.jpg" TargetMode="External"/><Relationship Id="rId_hyperlink_5543" Type="http://schemas.openxmlformats.org/officeDocument/2006/relationships/hyperlink" Target="https://b2beez.ru/images/detailed/170/6142653216.jpg" TargetMode="External"/><Relationship Id="rId_hyperlink_5544" Type="http://schemas.openxmlformats.org/officeDocument/2006/relationships/hyperlink" Target="https://b2beez.ru/images/detailed/170/6136891963.jpg" TargetMode="External"/><Relationship Id="rId_hyperlink_5545" Type="http://schemas.openxmlformats.org/officeDocument/2006/relationships/hyperlink" Target="https://b2beez.ru/images/detailed/170/6136891955.jpg" TargetMode="External"/><Relationship Id="rId_hyperlink_5546" Type="http://schemas.openxmlformats.org/officeDocument/2006/relationships/hyperlink" Target="https://b2beez.ru/images/detailed/170/6143007772.jpg" TargetMode="External"/><Relationship Id="rId_hyperlink_5547" Type="http://schemas.openxmlformats.org/officeDocument/2006/relationships/hyperlink" Target="https://b2beez.ru/images/detailed/170/6136891287.jpg" TargetMode="External"/><Relationship Id="rId_hyperlink_5548" Type="http://schemas.openxmlformats.org/officeDocument/2006/relationships/hyperlink" Target="https://b2beez.ru/images/detailed/170/6136891543.jpg" TargetMode="External"/><Relationship Id="rId_hyperlink_5549" Type="http://schemas.openxmlformats.org/officeDocument/2006/relationships/hyperlink" Target="https://b2beez.ru/images/detailed/170/6136891884.jpg" TargetMode="External"/><Relationship Id="rId_hyperlink_5550" Type="http://schemas.openxmlformats.org/officeDocument/2006/relationships/hyperlink" Target="https://b2beez.ru/images/detailed/170/6136891967.jpg" TargetMode="External"/><Relationship Id="rId_hyperlink_5551" Type="http://schemas.openxmlformats.org/officeDocument/2006/relationships/hyperlink" Target="https://b2beez.ru/images/detailed/170/6136891834.jpg" TargetMode="External"/><Relationship Id="rId_hyperlink_5552" Type="http://schemas.openxmlformats.org/officeDocument/2006/relationships/hyperlink" Target="https://b2beez.ru/images/detailed/170/6136892222.jpg" TargetMode="External"/><Relationship Id="rId_hyperlink_5553" Type="http://schemas.openxmlformats.org/officeDocument/2006/relationships/hyperlink" Target="https://b2beez.ru/images/detailed/170/orig_exm8-mf.jpg" TargetMode="External"/><Relationship Id="rId_hyperlink_5554" Type="http://schemas.openxmlformats.org/officeDocument/2006/relationships/hyperlink" Target="https://b2beez.ru/images/detailed/170/orig_l253-ql.jpg" TargetMode="External"/><Relationship Id="rId_hyperlink_5555" Type="http://schemas.openxmlformats.org/officeDocument/2006/relationships/hyperlink" Target="https://b2beez.ru/images/detailed/170/6136891243.jpg" TargetMode="External"/><Relationship Id="rId_hyperlink_5556" Type="http://schemas.openxmlformats.org/officeDocument/2006/relationships/hyperlink" Target="https://b2beez.ru/images/detailed/170/6136892141.jpg" TargetMode="External"/><Relationship Id="rId_hyperlink_5557" Type="http://schemas.openxmlformats.org/officeDocument/2006/relationships/hyperlink" Target="https://b2beez.ru/images/detailed/170/6136891432.jpg" TargetMode="External"/><Relationship Id="rId_hyperlink_5558" Type="http://schemas.openxmlformats.org/officeDocument/2006/relationships/hyperlink" Target="https://b2beez.ru/images/detailed/170/6139306881.jpg" TargetMode="External"/><Relationship Id="rId_hyperlink_5559" Type="http://schemas.openxmlformats.org/officeDocument/2006/relationships/hyperlink" Target="https://b2beez.ru/images/detailed/170/6136891958.jpg" TargetMode="External"/><Relationship Id="rId_hyperlink_5560" Type="http://schemas.openxmlformats.org/officeDocument/2006/relationships/hyperlink" Target="https://b2beez.ru/images/detailed/170/6136891922.jpg" TargetMode="External"/><Relationship Id="rId_hyperlink_5561" Type="http://schemas.openxmlformats.org/officeDocument/2006/relationships/hyperlink" Target="https://b2beez.ru/images/detailed/170/6136891560.jpg" TargetMode="External"/><Relationship Id="rId_hyperlink_5562" Type="http://schemas.openxmlformats.org/officeDocument/2006/relationships/hyperlink" Target="https://b2beez.ru/images/detailed/170/6136892227.jpg" TargetMode="External"/><Relationship Id="rId_hyperlink_5563" Type="http://schemas.openxmlformats.org/officeDocument/2006/relationships/hyperlink" Target="https://b2beez.ru/images/detailed/170/6136892075.jpg" TargetMode="External"/><Relationship Id="rId_hyperlink_5564" Type="http://schemas.openxmlformats.org/officeDocument/2006/relationships/hyperlink" Target="https://b2beez.ru/images/detailed/170/6139255234.jpg" TargetMode="External"/><Relationship Id="rId_hyperlink_5565" Type="http://schemas.openxmlformats.org/officeDocument/2006/relationships/hyperlink" Target="https://b2beez.ru/images/detailed/170/orig_vzxe-xi.jpg" TargetMode="External"/><Relationship Id="rId_hyperlink_5566" Type="http://schemas.openxmlformats.org/officeDocument/2006/relationships/hyperlink" Target="https://b2beez.ru/images/detailed/170/6136892120.jpg" TargetMode="External"/><Relationship Id="rId_hyperlink_5567" Type="http://schemas.openxmlformats.org/officeDocument/2006/relationships/hyperlink" Target="https://b2beez.ru/images/detailed/170/6136892064.jpg" TargetMode="External"/><Relationship Id="rId_hyperlink_5568" Type="http://schemas.openxmlformats.org/officeDocument/2006/relationships/hyperlink" Target="https://b2beez.ru/images/detailed/170/6136892204.jpg" TargetMode="External"/><Relationship Id="rId_hyperlink_5569" Type="http://schemas.openxmlformats.org/officeDocument/2006/relationships/hyperlink" Target="https://b2beez.ru/images/detailed/170/6136892031.jpg" TargetMode="External"/><Relationship Id="rId_hyperlink_5570" Type="http://schemas.openxmlformats.org/officeDocument/2006/relationships/hyperlink" Target="https://b2beez.ru/images/detailed/170/orig_ljr6-3l.jpg" TargetMode="External"/><Relationship Id="rId_hyperlink_5571" Type="http://schemas.openxmlformats.org/officeDocument/2006/relationships/hyperlink" Target="https://b2beez.ru/images/detailed/170/orig_ah6p-ll.jpg" TargetMode="External"/><Relationship Id="rId_hyperlink_5572" Type="http://schemas.openxmlformats.org/officeDocument/2006/relationships/hyperlink" Target="https://b2beez.ru/images/detailed/170/orig_8wu0-ov.jpg" TargetMode="External"/><Relationship Id="rId_hyperlink_5573" Type="http://schemas.openxmlformats.org/officeDocument/2006/relationships/hyperlink" Target="https://b2beez.ru/images/detailed/170/6143140130.jpg" TargetMode="External"/><Relationship Id="rId_hyperlink_5574" Type="http://schemas.openxmlformats.org/officeDocument/2006/relationships/hyperlink" Target="https://b2beez.ru/images/detailed/170/6136892453.jpg" TargetMode="External"/><Relationship Id="rId_hyperlink_5575" Type="http://schemas.openxmlformats.org/officeDocument/2006/relationships/hyperlink" Target="https://b2beez.ru/images/detailed/170/orig_2vzd-xp.jpg" TargetMode="External"/><Relationship Id="rId_hyperlink_5576" Type="http://schemas.openxmlformats.org/officeDocument/2006/relationships/hyperlink" Target="https://b2beez.ru/images/detailed/170/orig_8lmk-e2.jpg" TargetMode="External"/><Relationship Id="rId_hyperlink_5577" Type="http://schemas.openxmlformats.org/officeDocument/2006/relationships/hyperlink" Target="https://b2beez.ru/images/detailed/170/6136891678.jpg" TargetMode="External"/><Relationship Id="rId_hyperlink_5578" Type="http://schemas.openxmlformats.org/officeDocument/2006/relationships/hyperlink" Target="https://b2beez.ru/images/detailed/170/orig_x7ja-no.jpg" TargetMode="External"/><Relationship Id="rId_hyperlink_5579" Type="http://schemas.openxmlformats.org/officeDocument/2006/relationships/hyperlink" Target="https://b2beez.ru/images/detailed/170/6136891422.jpg" TargetMode="External"/><Relationship Id="rId_hyperlink_5580" Type="http://schemas.openxmlformats.org/officeDocument/2006/relationships/hyperlink" Target="https://b2beez.ru/images/detailed/170/6136891322.jpg" TargetMode="External"/><Relationship Id="rId_hyperlink_5581" Type="http://schemas.openxmlformats.org/officeDocument/2006/relationships/hyperlink" Target="https://b2beez.ru/images/detailed/170/orig_61ph-sa.jpg" TargetMode="External"/><Relationship Id="rId_hyperlink_5582" Type="http://schemas.openxmlformats.org/officeDocument/2006/relationships/hyperlink" Target="https://b2beez.ru/images/detailed/170/orig_qh0f-dm.jpg" TargetMode="External"/><Relationship Id="rId_hyperlink_5583" Type="http://schemas.openxmlformats.org/officeDocument/2006/relationships/hyperlink" Target="https://b2beez.ru/images/detailed/170/6136891935.jpg" TargetMode="External"/><Relationship Id="rId_hyperlink_5584" Type="http://schemas.openxmlformats.org/officeDocument/2006/relationships/hyperlink" Target="https://b2beez.ru/images/detailed/170/6136892110.jpg" TargetMode="External"/><Relationship Id="rId_hyperlink_5585" Type="http://schemas.openxmlformats.org/officeDocument/2006/relationships/hyperlink" Target="https://b2beez.ru/images/detailed/170/6136891975.jpg" TargetMode="External"/><Relationship Id="rId_hyperlink_5586" Type="http://schemas.openxmlformats.org/officeDocument/2006/relationships/hyperlink" Target="https://b2beez.ru/images/detailed/170/orig_mjpt-kz.jpg" TargetMode="External"/><Relationship Id="rId_hyperlink_5587" Type="http://schemas.openxmlformats.org/officeDocument/2006/relationships/hyperlink" Target="https://b2beez.ru/images/detailed/170/6136892091.jpg" TargetMode="External"/><Relationship Id="rId_hyperlink_5588" Type="http://schemas.openxmlformats.org/officeDocument/2006/relationships/hyperlink" Target="https://b2beez.ru/images/detailed/170/6136892208.jpg" TargetMode="External"/><Relationship Id="rId_hyperlink_5589" Type="http://schemas.openxmlformats.org/officeDocument/2006/relationships/hyperlink" Target="https://b2beez.ru/images/detailed/170/orig_tkrl-oo.jpg" TargetMode="External"/><Relationship Id="rId_hyperlink_5590" Type="http://schemas.openxmlformats.org/officeDocument/2006/relationships/hyperlink" Target="https://b2beez.ru/images/detailed/170/6136892164.jpg" TargetMode="External"/><Relationship Id="rId_hyperlink_5591" Type="http://schemas.openxmlformats.org/officeDocument/2006/relationships/hyperlink" Target="https://b2beez.ru/images/detailed/170/orig_7141-mm.jpg" TargetMode="External"/><Relationship Id="rId_hyperlink_5592" Type="http://schemas.openxmlformats.org/officeDocument/2006/relationships/hyperlink" Target="https://b2beez.ru/images/detailed/170/orig_jvr0-sh.jpg" TargetMode="External"/><Relationship Id="rId_hyperlink_5593" Type="http://schemas.openxmlformats.org/officeDocument/2006/relationships/hyperlink" Target="https://b2beez.ru/images/detailed/170/orig_xw06-93.jpg" TargetMode="External"/><Relationship Id="rId_hyperlink_5594" Type="http://schemas.openxmlformats.org/officeDocument/2006/relationships/hyperlink" Target="https://b2beez.ru/images/detailed/170/6491929126.jpg" TargetMode="External"/><Relationship Id="rId_hyperlink_5595" Type="http://schemas.openxmlformats.org/officeDocument/2006/relationships/hyperlink" Target="https://b2beez.ru/images/detailed/170/6136892224.jpg" TargetMode="External"/><Relationship Id="rId_hyperlink_5596" Type="http://schemas.openxmlformats.org/officeDocument/2006/relationships/hyperlink" Target="https://b2beez.ru/images/detailed/170/orig_sf69-zh.jpg" TargetMode="External"/><Relationship Id="rId_hyperlink_5597" Type="http://schemas.openxmlformats.org/officeDocument/2006/relationships/hyperlink" Target="https://b2beez.ru/images/detailed/170/6136891255.jpg" TargetMode="External"/><Relationship Id="rId_hyperlink_5598" Type="http://schemas.openxmlformats.org/officeDocument/2006/relationships/hyperlink" Target="https://b2beez.ru/images/detailed/170/orig_fwr5-we.jpg" TargetMode="External"/><Relationship Id="rId_hyperlink_5599" Type="http://schemas.openxmlformats.org/officeDocument/2006/relationships/hyperlink" Target="https://b2beez.ru/images/detailed/170/6136891751.jpg" TargetMode="External"/><Relationship Id="rId_hyperlink_5600" Type="http://schemas.openxmlformats.org/officeDocument/2006/relationships/hyperlink" Target="https://b2beez.ru/images/detailed/170/6136892148.jpg" TargetMode="External"/><Relationship Id="rId_hyperlink_5601" Type="http://schemas.openxmlformats.org/officeDocument/2006/relationships/hyperlink" Target="https://b2beez.ru/images/detailed/170/6136892217.jpg" TargetMode="External"/><Relationship Id="rId_hyperlink_5602" Type="http://schemas.openxmlformats.org/officeDocument/2006/relationships/hyperlink" Target="https://b2beez.ru/images/detailed/170/6136892157.jpg" TargetMode="External"/><Relationship Id="rId_hyperlink_5603" Type="http://schemas.openxmlformats.org/officeDocument/2006/relationships/hyperlink" Target="https://b2beez.ru/images/detailed/170/6136892152.jpg" TargetMode="External"/><Relationship Id="rId_hyperlink_5604" Type="http://schemas.openxmlformats.org/officeDocument/2006/relationships/hyperlink" Target="https://b2beez.ru/images/detailed/170/6491929056.jpg" TargetMode="External"/><Relationship Id="rId_hyperlink_5605" Type="http://schemas.openxmlformats.org/officeDocument/2006/relationships/hyperlink" Target="https://b2beez.ru/images/detailed/170/6138548608.jpg" TargetMode="External"/><Relationship Id="rId_hyperlink_5606" Type="http://schemas.openxmlformats.org/officeDocument/2006/relationships/hyperlink" Target="https://b2beez.ru/images/detailed/170/orig_ggy0-zm.jpg" TargetMode="External"/><Relationship Id="rId_hyperlink_5607" Type="http://schemas.openxmlformats.org/officeDocument/2006/relationships/hyperlink" Target="https://b2beez.ru/images/detailed/170/6136891539.jpg" TargetMode="External"/><Relationship Id="rId_hyperlink_5608" Type="http://schemas.openxmlformats.org/officeDocument/2006/relationships/hyperlink" Target="https://b2beez.ru/images/detailed/170/orig_tv0h-fw.jpg" TargetMode="External"/><Relationship Id="rId_hyperlink_5609" Type="http://schemas.openxmlformats.org/officeDocument/2006/relationships/hyperlink" Target="https://b2beez.ru/images/detailed/170/orig_gkgl-fu.jpg" TargetMode="External"/><Relationship Id="rId_hyperlink_5610" Type="http://schemas.openxmlformats.org/officeDocument/2006/relationships/hyperlink" Target="https://b2beez.ru/images/detailed/170/6491929050.jpg" TargetMode="External"/><Relationship Id="rId_hyperlink_5611" Type="http://schemas.openxmlformats.org/officeDocument/2006/relationships/hyperlink" Target="https://b2beez.ru/images/detailed/170/6491929063.jpg" TargetMode="External"/><Relationship Id="rId_hyperlink_5612" Type="http://schemas.openxmlformats.org/officeDocument/2006/relationships/hyperlink" Target="https://b2beez.ru/images/detailed/170/6143033843.jpg" TargetMode="External"/><Relationship Id="rId_hyperlink_5613" Type="http://schemas.openxmlformats.org/officeDocument/2006/relationships/hyperlink" Target="https://b2beez.ru/images/detailed/170/6136891879.jpg" TargetMode="External"/><Relationship Id="rId_hyperlink_5614" Type="http://schemas.openxmlformats.org/officeDocument/2006/relationships/hyperlink" Target="https://b2beez.ru/images/detailed/170/orig_v39x-cy.jpg" TargetMode="External"/><Relationship Id="rId_hyperlink_5615" Type="http://schemas.openxmlformats.org/officeDocument/2006/relationships/hyperlink" Target="https://b2beez.ru/images/detailed/170/orig_sfhm-ji.jpg" TargetMode="External"/><Relationship Id="rId_hyperlink_5616" Type="http://schemas.openxmlformats.org/officeDocument/2006/relationships/hyperlink" Target="https://b2beez.ru/images/detailed/170/6136891442.jpg" TargetMode="External"/><Relationship Id="rId_hyperlink_5617" Type="http://schemas.openxmlformats.org/officeDocument/2006/relationships/hyperlink" Target="https://b2beez.ru/images/detailed/170/6136891773.jpg" TargetMode="External"/><Relationship Id="rId_hyperlink_5618" Type="http://schemas.openxmlformats.org/officeDocument/2006/relationships/hyperlink" Target="https://b2beez.ru/images/detailed/170/orig_9yw9-9v.jpg" TargetMode="External"/><Relationship Id="rId_hyperlink_5619" Type="http://schemas.openxmlformats.org/officeDocument/2006/relationships/hyperlink" Target="https://b2beez.ru/images/detailed/170/6136891325.jpg" TargetMode="External"/><Relationship Id="rId_hyperlink_5620" Type="http://schemas.openxmlformats.org/officeDocument/2006/relationships/hyperlink" Target="https://b2beez.ru/images/detailed/170/6136891270.jpg" TargetMode="External"/><Relationship Id="rId_hyperlink_5621" Type="http://schemas.openxmlformats.org/officeDocument/2006/relationships/hyperlink" Target="https://b2beez.ru/images/detailed/170/6136892250.jpg" TargetMode="External"/><Relationship Id="rId_hyperlink_5622" Type="http://schemas.openxmlformats.org/officeDocument/2006/relationships/hyperlink" Target="https://b2beez.ru/images/detailed/170/6136892008.jpg" TargetMode="External"/><Relationship Id="rId_hyperlink_5623" Type="http://schemas.openxmlformats.org/officeDocument/2006/relationships/hyperlink" Target="https://b2beez.ru/images/detailed/170/orig_u6ql-57.jpg" TargetMode="External"/><Relationship Id="rId_hyperlink_5624" Type="http://schemas.openxmlformats.org/officeDocument/2006/relationships/hyperlink" Target="https://b2beez.ru/images/detailed/170/orig_hdpn-bx.jpg" TargetMode="External"/><Relationship Id="rId_hyperlink_5625" Type="http://schemas.openxmlformats.org/officeDocument/2006/relationships/hyperlink" Target="https://b2beez.ru/images/detailed/170/6136891614.jpg" TargetMode="External"/><Relationship Id="rId_hyperlink_5626" Type="http://schemas.openxmlformats.org/officeDocument/2006/relationships/hyperlink" Target="https://b2beez.ru/images/detailed/170/6136892061.jpg" TargetMode="External"/><Relationship Id="rId_hyperlink_5627" Type="http://schemas.openxmlformats.org/officeDocument/2006/relationships/hyperlink" Target="https://b2beez.ru/images/detailed/170/orig_8dqh-hr.jpg" TargetMode="External"/><Relationship Id="rId_hyperlink_5628" Type="http://schemas.openxmlformats.org/officeDocument/2006/relationships/hyperlink" Target="https://b2beez.ru/images/detailed/170/6136891248.jpg" TargetMode="External"/><Relationship Id="rId_hyperlink_5629" Type="http://schemas.openxmlformats.org/officeDocument/2006/relationships/hyperlink" Target="https://b2beez.ru/images/detailed/170/6136892215.jpg" TargetMode="External"/><Relationship Id="rId_hyperlink_5630" Type="http://schemas.openxmlformats.org/officeDocument/2006/relationships/hyperlink" Target="https://b2beez.ru/images/detailed/170/6136891900.jpg" TargetMode="External"/><Relationship Id="rId_hyperlink_5631" Type="http://schemas.openxmlformats.org/officeDocument/2006/relationships/hyperlink" Target="https://b2beez.ru/images/detailed/170/orig_tuch-0u.jpg" TargetMode="External"/><Relationship Id="rId_hyperlink_5632" Type="http://schemas.openxmlformats.org/officeDocument/2006/relationships/hyperlink" Target="https://b2beez.ru/images/detailed/170/6136891456.jpg" TargetMode="External"/><Relationship Id="rId_hyperlink_5633" Type="http://schemas.openxmlformats.org/officeDocument/2006/relationships/hyperlink" Target="https://b2beez.ru/images/detailed/170/6136891484.jpg" TargetMode="External"/><Relationship Id="rId_hyperlink_5634" Type="http://schemas.openxmlformats.org/officeDocument/2006/relationships/hyperlink" Target="https://b2beez.ru/images/detailed/170/6136891321.jpg" TargetMode="External"/><Relationship Id="rId_hyperlink_5635" Type="http://schemas.openxmlformats.org/officeDocument/2006/relationships/hyperlink" Target="https://b2beez.ru/images/detailed/170/orig_yvfu-1z.jpg" TargetMode="External"/><Relationship Id="rId_hyperlink_5636" Type="http://schemas.openxmlformats.org/officeDocument/2006/relationships/hyperlink" Target="https://b2beez.ru/images/detailed/170/6136892096.jpg" TargetMode="External"/><Relationship Id="rId_hyperlink_5637" Type="http://schemas.openxmlformats.org/officeDocument/2006/relationships/hyperlink" Target="https://b2beez.ru/images/detailed/170/6136891367.jpg" TargetMode="External"/><Relationship Id="rId_hyperlink_5638" Type="http://schemas.openxmlformats.org/officeDocument/2006/relationships/hyperlink" Target="https://b2beez.ru/images/detailed/170/6136891236.jpg" TargetMode="External"/><Relationship Id="rId_hyperlink_5639" Type="http://schemas.openxmlformats.org/officeDocument/2006/relationships/hyperlink" Target="https://b2beez.ru/images/detailed/170/6136891653.jpg" TargetMode="External"/><Relationship Id="rId_hyperlink_5640" Type="http://schemas.openxmlformats.org/officeDocument/2006/relationships/hyperlink" Target="https://b2beez.ru/images/detailed/170/6136891808.jpg" TargetMode="External"/><Relationship Id="rId_hyperlink_5641" Type="http://schemas.openxmlformats.org/officeDocument/2006/relationships/hyperlink" Target="https://b2beez.ru/images/detailed/170/6138600679.jpg" TargetMode="External"/><Relationship Id="rId_hyperlink_5642" Type="http://schemas.openxmlformats.org/officeDocument/2006/relationships/hyperlink" Target="https://b2beez.ru/images/detailed/170/6136891968.jpg" TargetMode="External"/><Relationship Id="rId_hyperlink_5643" Type="http://schemas.openxmlformats.org/officeDocument/2006/relationships/hyperlink" Target="https://b2beez.ru/images/detailed/170/orig_9kyk-54.jpg" TargetMode="External"/><Relationship Id="rId_hyperlink_5644" Type="http://schemas.openxmlformats.org/officeDocument/2006/relationships/hyperlink" Target="https://b2beez.ru/images/detailed/170/orig_s6hg-ie.jpg" TargetMode="External"/><Relationship Id="rId_hyperlink_5645" Type="http://schemas.openxmlformats.org/officeDocument/2006/relationships/hyperlink" Target="https://b2beez.ru/images/detailed/170/6136891376.jpg" TargetMode="External"/><Relationship Id="rId_hyperlink_5646" Type="http://schemas.openxmlformats.org/officeDocument/2006/relationships/hyperlink" Target="https://b2beez.ru/images/detailed/170/6136891792.jpg" TargetMode="External"/><Relationship Id="rId_hyperlink_5647" Type="http://schemas.openxmlformats.org/officeDocument/2006/relationships/hyperlink" Target="https://b2beez.ru/images/detailed/170/6136891263.jpg" TargetMode="External"/><Relationship Id="rId_hyperlink_5648" Type="http://schemas.openxmlformats.org/officeDocument/2006/relationships/hyperlink" Target="https://b2beez.ru/images/detailed/170/6136891318.jpg" TargetMode="External"/><Relationship Id="rId_hyperlink_5649" Type="http://schemas.openxmlformats.org/officeDocument/2006/relationships/hyperlink" Target="https://b2beez.ru/images/detailed/170/6136891245.jpg" TargetMode="External"/><Relationship Id="rId_hyperlink_5650" Type="http://schemas.openxmlformats.org/officeDocument/2006/relationships/hyperlink" Target="https://b2beez.ru/images/detailed/170/orig_sp1q-68.jpg" TargetMode="External"/><Relationship Id="rId_hyperlink_5651" Type="http://schemas.openxmlformats.org/officeDocument/2006/relationships/hyperlink" Target="https://b2beez.ru/images/detailed/170/6136891366.jpg" TargetMode="External"/><Relationship Id="rId_hyperlink_5652" Type="http://schemas.openxmlformats.org/officeDocument/2006/relationships/hyperlink" Target="https://b2beez.ru/images/detailed/170/6136891427.jpg" TargetMode="External"/><Relationship Id="rId_hyperlink_5653" Type="http://schemas.openxmlformats.org/officeDocument/2006/relationships/hyperlink" Target="https://b2beez.ru/images/detailed/170/6136891774.jpg" TargetMode="External"/><Relationship Id="rId_hyperlink_5654" Type="http://schemas.openxmlformats.org/officeDocument/2006/relationships/hyperlink" Target="https://b2beez.ru/images/detailed/170/6136891317.jpg" TargetMode="External"/><Relationship Id="rId_hyperlink_5655" Type="http://schemas.openxmlformats.org/officeDocument/2006/relationships/hyperlink" Target="https://b2beez.ru/images/detailed/170/orig_30jl-6t.jpg" TargetMode="External"/><Relationship Id="rId_hyperlink_5656" Type="http://schemas.openxmlformats.org/officeDocument/2006/relationships/hyperlink" Target="https://b2beez.ru/images/detailed/170/6136892042.jpg" TargetMode="External"/><Relationship Id="rId_hyperlink_5657" Type="http://schemas.openxmlformats.org/officeDocument/2006/relationships/hyperlink" Target="https://b2beez.ru/images/detailed/170/6136891882.jpg" TargetMode="External"/><Relationship Id="rId_hyperlink_5658" Type="http://schemas.openxmlformats.org/officeDocument/2006/relationships/hyperlink" Target="https://b2beez.ru/images/detailed/170/6136891765.jpg" TargetMode="External"/><Relationship Id="rId_hyperlink_5659" Type="http://schemas.openxmlformats.org/officeDocument/2006/relationships/hyperlink" Target="https://b2beez.ru/images/detailed/170/6136891706.jpg" TargetMode="External"/><Relationship Id="rId_hyperlink_5660" Type="http://schemas.openxmlformats.org/officeDocument/2006/relationships/hyperlink" Target="https://b2beez.ru/images/detailed/170/6136891751_1pwj-32.jpg" TargetMode="External"/><Relationship Id="rId_hyperlink_5661" Type="http://schemas.openxmlformats.org/officeDocument/2006/relationships/hyperlink" Target="https://b2beez.ru/images/detailed/170/6138108838.jpg" TargetMode="External"/><Relationship Id="rId_hyperlink_5662" Type="http://schemas.openxmlformats.org/officeDocument/2006/relationships/hyperlink" Target="https://b2beez.ru/images/detailed/170/6138110978.jpg" TargetMode="External"/><Relationship Id="rId_hyperlink_5663" Type="http://schemas.openxmlformats.org/officeDocument/2006/relationships/hyperlink" Target="https://b2beez.ru/images/detailed/170/6136891329.jpg" TargetMode="External"/><Relationship Id="rId_hyperlink_5664" Type="http://schemas.openxmlformats.org/officeDocument/2006/relationships/hyperlink" Target="https://b2beez.ru/images/detailed/170/6136891351.jpg" TargetMode="External"/><Relationship Id="rId_hyperlink_5665" Type="http://schemas.openxmlformats.org/officeDocument/2006/relationships/hyperlink" Target="https://b2beez.ru/images/detailed/170/orig_880g-4f.jpg" TargetMode="External"/><Relationship Id="rId_hyperlink_5666" Type="http://schemas.openxmlformats.org/officeDocument/2006/relationships/hyperlink" Target="https://b2beez.ru/images/detailed/170/6139181530.jpg" TargetMode="External"/><Relationship Id="rId_hyperlink_5667" Type="http://schemas.openxmlformats.org/officeDocument/2006/relationships/hyperlink" Target="https://b2beez.ru/images/detailed/170/6136891973.jpg" TargetMode="External"/><Relationship Id="rId_hyperlink_5668" Type="http://schemas.openxmlformats.org/officeDocument/2006/relationships/hyperlink" Target="https://b2beez.ru/images/detailed/170/orig_bljc-c7.jpg" TargetMode="External"/><Relationship Id="rId_hyperlink_5669" Type="http://schemas.openxmlformats.org/officeDocument/2006/relationships/hyperlink" Target="https://b2beez.ru/images/detailed/170/6136891993.jpg" TargetMode="External"/><Relationship Id="rId_hyperlink_5670" Type="http://schemas.openxmlformats.org/officeDocument/2006/relationships/hyperlink" Target="https://b2beez.ru/images/detailed/170/orig_p3k4-5d.jpg" TargetMode="External"/><Relationship Id="rId_hyperlink_5671" Type="http://schemas.openxmlformats.org/officeDocument/2006/relationships/hyperlink" Target="https://b2beez.ru/images/detailed/170/6136891267.jpg" TargetMode="External"/><Relationship Id="rId_hyperlink_5672" Type="http://schemas.openxmlformats.org/officeDocument/2006/relationships/hyperlink" Target="https://b2beez.ru/images/detailed/170/6136891514.jpg" TargetMode="External"/><Relationship Id="rId_hyperlink_5673" Type="http://schemas.openxmlformats.org/officeDocument/2006/relationships/hyperlink" Target="https://b2beez.ru/images/detailed/170/6136892026.jpg" TargetMode="External"/><Relationship Id="rId_hyperlink_5674" Type="http://schemas.openxmlformats.org/officeDocument/2006/relationships/hyperlink" Target="https://b2beez.ru/images/detailed/170/6136891426.jpg" TargetMode="External"/><Relationship Id="rId_hyperlink_5675" Type="http://schemas.openxmlformats.org/officeDocument/2006/relationships/hyperlink" Target="https://b2beez.ru/images/detailed/170/6136891472.jpg" TargetMode="External"/><Relationship Id="rId_hyperlink_5676" Type="http://schemas.openxmlformats.org/officeDocument/2006/relationships/hyperlink" Target="https://b2beez.ru/images/detailed/170/6136891208.jpg" TargetMode="External"/><Relationship Id="rId_hyperlink_5677" Type="http://schemas.openxmlformats.org/officeDocument/2006/relationships/hyperlink" Target="https://b2beez.ru/images/detailed/170/6136891453.jpg" TargetMode="External"/><Relationship Id="rId_hyperlink_5678" Type="http://schemas.openxmlformats.org/officeDocument/2006/relationships/hyperlink" Target="https://b2beez.ru/images/detailed/170/6136891249.jpg" TargetMode="External"/><Relationship Id="rId_hyperlink_5679" Type="http://schemas.openxmlformats.org/officeDocument/2006/relationships/hyperlink" Target="https://b2beez.ru/images/detailed/170/6136891467.jpg" TargetMode="External"/><Relationship Id="rId_hyperlink_5680" Type="http://schemas.openxmlformats.org/officeDocument/2006/relationships/hyperlink" Target="https://b2beez.ru/images/detailed/170/6136891372.jpg" TargetMode="External"/><Relationship Id="rId_hyperlink_5681" Type="http://schemas.openxmlformats.org/officeDocument/2006/relationships/hyperlink" Target="https://b2beez.ru/images/detailed/170/6142506561.jpg" TargetMode="External"/><Relationship Id="rId_hyperlink_5682" Type="http://schemas.openxmlformats.org/officeDocument/2006/relationships/hyperlink" Target="https://b2beez.ru/images/detailed/170/orig_qesm-ek.jpg" TargetMode="External"/><Relationship Id="rId_hyperlink_5683" Type="http://schemas.openxmlformats.org/officeDocument/2006/relationships/hyperlink" Target="https://b2beez.ru/images/detailed/170/orig_gdkh-xf.jpg" TargetMode="External"/><Relationship Id="rId_hyperlink_5684" Type="http://schemas.openxmlformats.org/officeDocument/2006/relationships/hyperlink" Target="https://b2beez.ru/images/detailed/170/6136891522.jpg" TargetMode="External"/><Relationship Id="rId_hyperlink_5685" Type="http://schemas.openxmlformats.org/officeDocument/2006/relationships/hyperlink" Target="https://b2beez.ru/images/detailed/170/6136891401.jpg" TargetMode="External"/><Relationship Id="rId_hyperlink_5686" Type="http://schemas.openxmlformats.org/officeDocument/2006/relationships/hyperlink" Target="https://b2beez.ru/images/detailed/170/6136891647.jpg" TargetMode="External"/><Relationship Id="rId_hyperlink_5687" Type="http://schemas.openxmlformats.org/officeDocument/2006/relationships/hyperlink" Target="https://b2beez.ru/images/detailed/170/orig_rll8-bm.jpg" TargetMode="External"/><Relationship Id="rId_hyperlink_5688" Type="http://schemas.openxmlformats.org/officeDocument/2006/relationships/hyperlink" Target="https://b2beez.ru/images/detailed/170/6136891358.jpg" TargetMode="External"/><Relationship Id="rId_hyperlink_5689" Type="http://schemas.openxmlformats.org/officeDocument/2006/relationships/hyperlink" Target="https://b2beez.ru/images/detailed/170/orig_orvw-r7.jpg" TargetMode="External"/><Relationship Id="rId_hyperlink_5690" Type="http://schemas.openxmlformats.org/officeDocument/2006/relationships/hyperlink" Target="https://b2beez.ru/images/detailed/170/6136891369.jpg" TargetMode="External"/><Relationship Id="rId_hyperlink_5691" Type="http://schemas.openxmlformats.org/officeDocument/2006/relationships/hyperlink" Target="https://b2beez.ru/images/detailed/170/6136891741.jpg" TargetMode="External"/><Relationship Id="rId_hyperlink_5692" Type="http://schemas.openxmlformats.org/officeDocument/2006/relationships/hyperlink" Target="https://b2beez.ru/images/detailed/170/6136891657.jpg" TargetMode="External"/><Relationship Id="rId_hyperlink_5693" Type="http://schemas.openxmlformats.org/officeDocument/2006/relationships/hyperlink" Target="https://b2beez.ru/images/detailed/170/6252474684.jpg" TargetMode="External"/><Relationship Id="rId_hyperlink_5694" Type="http://schemas.openxmlformats.org/officeDocument/2006/relationships/hyperlink" Target="https://b2beez.ru/images/detailed/171/6136891210.jpg" TargetMode="External"/><Relationship Id="rId_hyperlink_5695" Type="http://schemas.openxmlformats.org/officeDocument/2006/relationships/hyperlink" Target="https://b2beez.ru/images/detailed/171/6491929068.jpg" TargetMode="External"/><Relationship Id="rId_hyperlink_5696" Type="http://schemas.openxmlformats.org/officeDocument/2006/relationships/hyperlink" Target="https://b2beez.ru/images/detailed/171/6136891269.jpg" TargetMode="External"/><Relationship Id="rId_hyperlink_5697" Type="http://schemas.openxmlformats.org/officeDocument/2006/relationships/hyperlink" Target="https://b2beez.ru/images/detailed/171/6141739113.jpg" TargetMode="External"/><Relationship Id="rId_hyperlink_5698" Type="http://schemas.openxmlformats.org/officeDocument/2006/relationships/hyperlink" Target="https://b2beez.ru/images/detailed/171/6136892445.jpg" TargetMode="External"/><Relationship Id="rId_hyperlink_5699" Type="http://schemas.openxmlformats.org/officeDocument/2006/relationships/hyperlink" Target="https://b2beez.ru/images/detailed/171/6136891499.jpg" TargetMode="External"/><Relationship Id="rId_hyperlink_5700" Type="http://schemas.openxmlformats.org/officeDocument/2006/relationships/hyperlink" Target="https://b2beez.ru/images/detailed/171/orig_6izw-g0.jpg" TargetMode="External"/><Relationship Id="rId_hyperlink_5701" Type="http://schemas.openxmlformats.org/officeDocument/2006/relationships/hyperlink" Target="https://b2beez.ru/images/detailed/171/6136891471.jpg" TargetMode="External"/><Relationship Id="rId_hyperlink_5702" Type="http://schemas.openxmlformats.org/officeDocument/2006/relationships/hyperlink" Target="https://b2beez.ru/images/detailed/171/6136891725.jpg" TargetMode="External"/><Relationship Id="rId_hyperlink_5703" Type="http://schemas.openxmlformats.org/officeDocument/2006/relationships/hyperlink" Target="https://b2beez.ru/images/detailed/171/orig_6nax-1f.jpg" TargetMode="External"/><Relationship Id="rId_hyperlink_5704" Type="http://schemas.openxmlformats.org/officeDocument/2006/relationships/hyperlink" Target="https://b2beez.ru/images/detailed/171/6138577523.jpg" TargetMode="External"/><Relationship Id="rId_hyperlink_5705" Type="http://schemas.openxmlformats.org/officeDocument/2006/relationships/hyperlink" Target="https://b2beez.ru/images/detailed/171/6136892007.jpg" TargetMode="External"/><Relationship Id="rId_hyperlink_5706" Type="http://schemas.openxmlformats.org/officeDocument/2006/relationships/hyperlink" Target="https://b2beez.ru/images/detailed/171/6136891310.jpg" TargetMode="External"/><Relationship Id="rId_hyperlink_5707" Type="http://schemas.openxmlformats.org/officeDocument/2006/relationships/hyperlink" Target="https://b2beez.ru/images/detailed/171/6136891284.jpg" TargetMode="External"/><Relationship Id="rId_hyperlink_5708" Type="http://schemas.openxmlformats.org/officeDocument/2006/relationships/hyperlink" Target="https://b2beez.ru/images/detailed/171/6136891702.jpg" TargetMode="External"/><Relationship Id="rId_hyperlink_5709" Type="http://schemas.openxmlformats.org/officeDocument/2006/relationships/hyperlink" Target="https://b2beez.ru/images/detailed/171/6136891508.jpg" TargetMode="External"/><Relationship Id="rId_hyperlink_5710" Type="http://schemas.openxmlformats.org/officeDocument/2006/relationships/hyperlink" Target="https://b2beez.ru/images/detailed/171/6136892225.jpg" TargetMode="External"/><Relationship Id="rId_hyperlink_5711" Type="http://schemas.openxmlformats.org/officeDocument/2006/relationships/hyperlink" Target="https://b2beez.ru/images/detailed/171/6136892172.jpg" TargetMode="External"/><Relationship Id="rId_hyperlink_5712" Type="http://schemas.openxmlformats.org/officeDocument/2006/relationships/hyperlink" Target="https://b2beez.ru/images/detailed/171/6136892173.jpg" TargetMode="External"/><Relationship Id="rId_hyperlink_5713" Type="http://schemas.openxmlformats.org/officeDocument/2006/relationships/hyperlink" Target="https://b2beez.ru/images/detailed/171/6136892212.jpg" TargetMode="External"/><Relationship Id="rId_hyperlink_5714" Type="http://schemas.openxmlformats.org/officeDocument/2006/relationships/hyperlink" Target="https://b2beez.ru/images/detailed/0/" TargetMode="External"/><Relationship Id="rId_hyperlink_5715" Type="http://schemas.openxmlformats.org/officeDocument/2006/relationships/hyperlink" Target="https://b2beez.ru/images/detailed/171/orig_k36d-qm.jpg" TargetMode="External"/><Relationship Id="rId_hyperlink_5716" Type="http://schemas.openxmlformats.org/officeDocument/2006/relationships/hyperlink" Target="https://b2beez.ru/images/detailed/171/orig_dsfg-65.jpg" TargetMode="External"/><Relationship Id="rId_hyperlink_5717" Type="http://schemas.openxmlformats.org/officeDocument/2006/relationships/hyperlink" Target="https://b2beez.ru/images/detailed/171/6136891636.jpg" TargetMode="External"/><Relationship Id="rId_hyperlink_5718" Type="http://schemas.openxmlformats.org/officeDocument/2006/relationships/hyperlink" Target="https://b2beez.ru/images/detailed/171/6136892126.jpg" TargetMode="External"/><Relationship Id="rId_hyperlink_5719" Type="http://schemas.openxmlformats.org/officeDocument/2006/relationships/hyperlink" Target="https://b2beez.ru/images/detailed/171/6136892082.jpg" TargetMode="External"/><Relationship Id="rId_hyperlink_5720" Type="http://schemas.openxmlformats.org/officeDocument/2006/relationships/hyperlink" Target="https://b2beez.ru/images/detailed/171/6491929071.jpg" TargetMode="External"/><Relationship Id="rId_hyperlink_5721" Type="http://schemas.openxmlformats.org/officeDocument/2006/relationships/hyperlink" Target="https://b2beez.ru/images/detailed/171/orig_92ip-3l.jpg" TargetMode="External"/><Relationship Id="rId_hyperlink_5722" Type="http://schemas.openxmlformats.org/officeDocument/2006/relationships/hyperlink" Target="https://b2beez.ru/images/detailed/171/orig_gvlq-eq.jpg" TargetMode="External"/><Relationship Id="rId_hyperlink_5723" Type="http://schemas.openxmlformats.org/officeDocument/2006/relationships/hyperlink" Target="https://b2beez.ru/images/detailed/171/6136891991.jpg" TargetMode="External"/><Relationship Id="rId_hyperlink_5724" Type="http://schemas.openxmlformats.org/officeDocument/2006/relationships/hyperlink" Target="https://b2beez.ru/images/detailed/170/6136891509.jpg" TargetMode="External"/><Relationship Id="rId_hyperlink_5725" Type="http://schemas.openxmlformats.org/officeDocument/2006/relationships/hyperlink" Target="https://b2beez.ru/images/detailed/170/6136891681.jpg" TargetMode="External"/><Relationship Id="rId_hyperlink_5726" Type="http://schemas.openxmlformats.org/officeDocument/2006/relationships/hyperlink" Target="https://b2beez.ru/images/detailed/170/6136891370.jpg" TargetMode="External"/><Relationship Id="rId_hyperlink_5727" Type="http://schemas.openxmlformats.org/officeDocument/2006/relationships/hyperlink" Target="https://b2beez.ru/images/detailed/170/6136891540.jpg" TargetMode="External"/><Relationship Id="rId_hyperlink_5728" Type="http://schemas.openxmlformats.org/officeDocument/2006/relationships/hyperlink" Target="https://b2beez.ru/images/detailed/204/N-1214_iflj-8h.jpg" TargetMode="External"/><Relationship Id="rId_hyperlink_5729" Type="http://schemas.openxmlformats.org/officeDocument/2006/relationships/hyperlink" Target="https://b2beez.ru/images/detailed/170/orig_5o7u-26.jpg" TargetMode="External"/><Relationship Id="rId_hyperlink_5730" Type="http://schemas.openxmlformats.org/officeDocument/2006/relationships/hyperlink" Target="https://b2beez.ru/images/detailed/170/6136891646.jpg" TargetMode="External"/><Relationship Id="rId_hyperlink_5731" Type="http://schemas.openxmlformats.org/officeDocument/2006/relationships/hyperlink" Target="https://b2beez.ru/images/detailed/170/6136891703.jpg" TargetMode="External"/><Relationship Id="rId_hyperlink_5732" Type="http://schemas.openxmlformats.org/officeDocument/2006/relationships/hyperlink" Target="https://b2beez.ru/images/detailed/170/6136891494.jpg" TargetMode="External"/><Relationship Id="rId_hyperlink_5733" Type="http://schemas.openxmlformats.org/officeDocument/2006/relationships/hyperlink" Target="https://b2beez.ru/images/detailed/170/6136891604.jpg" TargetMode="External"/><Relationship Id="rId_hyperlink_5734" Type="http://schemas.openxmlformats.org/officeDocument/2006/relationships/hyperlink" Target="https://b2beez.ru/images/detailed/170/6136891592.jpg" TargetMode="External"/><Relationship Id="rId_hyperlink_5735" Type="http://schemas.openxmlformats.org/officeDocument/2006/relationships/hyperlink" Target="https://b2beez.ru/images/detailed/170/6136891452.jpg" TargetMode="External"/><Relationship Id="rId_hyperlink_5736" Type="http://schemas.openxmlformats.org/officeDocument/2006/relationships/hyperlink" Target="https://b2beez.ru/images/detailed/170/6136891550.jpg" TargetMode="External"/><Relationship Id="rId_hyperlink_5737" Type="http://schemas.openxmlformats.org/officeDocument/2006/relationships/hyperlink" Target="https://b2beez.ru/images/detailed/170/6136891510.jpg" TargetMode="External"/><Relationship Id="rId_hyperlink_5738" Type="http://schemas.openxmlformats.org/officeDocument/2006/relationships/hyperlink" Target="https://b2beez.ru/images/detailed/170/6136891668.jpg" TargetMode="External"/><Relationship Id="rId_hyperlink_5739" Type="http://schemas.openxmlformats.org/officeDocument/2006/relationships/hyperlink" Target="https://b2beez.ru/images/detailed/170/6136891606.jpg" TargetMode="External"/><Relationship Id="rId_hyperlink_5740" Type="http://schemas.openxmlformats.org/officeDocument/2006/relationships/hyperlink" Target="https://b2beez.ru/images/detailed/170/6136891533.jpg" TargetMode="External"/><Relationship Id="rId_hyperlink_5741" Type="http://schemas.openxmlformats.org/officeDocument/2006/relationships/hyperlink" Target="https://b2beez.ru/images/detailed/170/6136891468.jpg" TargetMode="External"/><Relationship Id="rId_hyperlink_5742" Type="http://schemas.openxmlformats.org/officeDocument/2006/relationships/hyperlink" Target="https://b2beez.ru/images/detailed/170/6136891610.jpg" TargetMode="External"/><Relationship Id="rId_hyperlink_5743" Type="http://schemas.openxmlformats.org/officeDocument/2006/relationships/hyperlink" Target="https://b2beez.ru/images/detailed/170/6136891261.jpg" TargetMode="External"/><Relationship Id="rId_hyperlink_5744" Type="http://schemas.openxmlformats.org/officeDocument/2006/relationships/hyperlink" Target="https://b2beez.ru/images/detailed/170/6136891391.jpg" TargetMode="External"/><Relationship Id="rId_hyperlink_5745" Type="http://schemas.openxmlformats.org/officeDocument/2006/relationships/hyperlink" Target="https://b2beez.ru/images/detailed/170/6136891557.jpg" TargetMode="External"/><Relationship Id="rId_hyperlink_5746" Type="http://schemas.openxmlformats.org/officeDocument/2006/relationships/hyperlink" Target="https://b2beez.ru/images/detailed/170/6136891316.jpg" TargetMode="External"/><Relationship Id="rId_hyperlink_5747" Type="http://schemas.openxmlformats.org/officeDocument/2006/relationships/hyperlink" Target="https://b2beez.ru/images/detailed/170/6136891362.jpg" TargetMode="External"/><Relationship Id="rId_hyperlink_5748" Type="http://schemas.openxmlformats.org/officeDocument/2006/relationships/hyperlink" Target="https://b2beez.ru/images/detailed/170/6136891398.jpg" TargetMode="External"/><Relationship Id="rId_hyperlink_5749" Type="http://schemas.openxmlformats.org/officeDocument/2006/relationships/hyperlink" Target="https://b2beez.ru/images/detailed/170/orig_kaqg-5g.jpg" TargetMode="External"/><Relationship Id="rId_hyperlink_5750" Type="http://schemas.openxmlformats.org/officeDocument/2006/relationships/hyperlink" Target="https://b2beez.ru/images/detailed/170/6136891400.jpg" TargetMode="External"/><Relationship Id="rId_hyperlink_5751" Type="http://schemas.openxmlformats.org/officeDocument/2006/relationships/hyperlink" Target="https://b2beez.ru/images/detailed/170/6136891297.jpg" TargetMode="External"/><Relationship Id="rId_hyperlink_5752" Type="http://schemas.openxmlformats.org/officeDocument/2006/relationships/hyperlink" Target="https://b2beez.ru/images/detailed/170/6136891423.jpg" TargetMode="External"/><Relationship Id="rId_hyperlink_5753" Type="http://schemas.openxmlformats.org/officeDocument/2006/relationships/hyperlink" Target="https://b2beez.ru/images/detailed/170/6136891727.jpg" TargetMode="External"/><Relationship Id="rId_hyperlink_5754" Type="http://schemas.openxmlformats.org/officeDocument/2006/relationships/hyperlink" Target="https://b2beez.ru/images/detailed/170/6136891244.jpg" TargetMode="External"/><Relationship Id="rId_hyperlink_5755" Type="http://schemas.openxmlformats.org/officeDocument/2006/relationships/hyperlink" Target="https://b2beez.ru/images/detailed/170/6136891347.jpg" TargetMode="External"/><Relationship Id="rId_hyperlink_5756" Type="http://schemas.openxmlformats.org/officeDocument/2006/relationships/hyperlink" Target="https://b2beez.ru/images/detailed/170/6136891411.jpg" TargetMode="External"/><Relationship Id="rId_hyperlink_5757" Type="http://schemas.openxmlformats.org/officeDocument/2006/relationships/hyperlink" Target="https://b2beez.ru/images/detailed/170/6136891330.jpg" TargetMode="External"/><Relationship Id="rId_hyperlink_5758" Type="http://schemas.openxmlformats.org/officeDocument/2006/relationships/hyperlink" Target="https://b2beez.ru/images/detailed/170/6136891313.jpg" TargetMode="External"/><Relationship Id="rId_hyperlink_5759" Type="http://schemas.openxmlformats.org/officeDocument/2006/relationships/hyperlink" Target="https://b2beez.ru/images/detailed/170/6136891319.jpg" TargetMode="External"/><Relationship Id="rId_hyperlink_5760" Type="http://schemas.openxmlformats.org/officeDocument/2006/relationships/hyperlink" Target="https://b2beez.ru/images/detailed/170/6136891823.jpg" TargetMode="External"/><Relationship Id="rId_hyperlink_5761" Type="http://schemas.openxmlformats.org/officeDocument/2006/relationships/hyperlink" Target="https://b2beez.ru/images/detailed/170/6136891364.jpg" TargetMode="External"/><Relationship Id="rId_hyperlink_5762" Type="http://schemas.openxmlformats.org/officeDocument/2006/relationships/hyperlink" Target="https://b2beez.ru/images/detailed/170/6136891328.jpg" TargetMode="External"/><Relationship Id="rId_hyperlink_5763" Type="http://schemas.openxmlformats.org/officeDocument/2006/relationships/hyperlink" Target="https://b2beez.ru/images/detailed/170/6136891285.jpg" TargetMode="External"/><Relationship Id="rId_hyperlink_5764" Type="http://schemas.openxmlformats.org/officeDocument/2006/relationships/hyperlink" Target="https://b2beez.ru/images/detailed/170/orig_9cu1-lg.jpg" TargetMode="External"/><Relationship Id="rId_hyperlink_5765" Type="http://schemas.openxmlformats.org/officeDocument/2006/relationships/hyperlink" Target="https://b2beez.ru/images/detailed/170/6136891873.jpg" TargetMode="External"/><Relationship Id="rId_hyperlink_5766" Type="http://schemas.openxmlformats.org/officeDocument/2006/relationships/hyperlink" Target="https://b2beez.ru/images/detailed/170/6136891603.jpg" TargetMode="External"/><Relationship Id="rId_hyperlink_5767" Type="http://schemas.openxmlformats.org/officeDocument/2006/relationships/hyperlink" Target="https://b2beez.ru/images/detailed/171/6136891234.jpg" TargetMode="External"/><Relationship Id="rId_hyperlink_5768" Type="http://schemas.openxmlformats.org/officeDocument/2006/relationships/hyperlink" Target="https://b2beez.ru/images/detailed/171/6136891254.jpg" TargetMode="External"/><Relationship Id="rId_hyperlink_5769" Type="http://schemas.openxmlformats.org/officeDocument/2006/relationships/hyperlink" Target="https://b2beez.ru/images/detailed/171/6136891222.jpg" TargetMode="External"/><Relationship Id="rId_hyperlink_5770" Type="http://schemas.openxmlformats.org/officeDocument/2006/relationships/hyperlink" Target="https://b2beez.ru/images/detailed/171/6136891225.jpg" TargetMode="External"/><Relationship Id="rId_hyperlink_5771" Type="http://schemas.openxmlformats.org/officeDocument/2006/relationships/hyperlink" Target="https://b2beez.ru/images/detailed/171/6136891246.jpg" TargetMode="External"/><Relationship Id="rId_hyperlink_5772" Type="http://schemas.openxmlformats.org/officeDocument/2006/relationships/hyperlink" Target="https://b2beez.ru/images/detailed/171/6136891228.jpg" TargetMode="External"/><Relationship Id="rId_hyperlink_5773" Type="http://schemas.openxmlformats.org/officeDocument/2006/relationships/hyperlink" Target="https://b2beez.ru/images/detailed/171/6136891256.jpg" TargetMode="External"/><Relationship Id="rId_hyperlink_5774" Type="http://schemas.openxmlformats.org/officeDocument/2006/relationships/hyperlink" Target="https://b2beez.ru/images/detailed/171/6136891213.jpg" TargetMode="External"/><Relationship Id="rId_hyperlink_5775" Type="http://schemas.openxmlformats.org/officeDocument/2006/relationships/hyperlink" Target="https://b2beez.ru/images/detailed/171/6136891259.jpg" TargetMode="External"/><Relationship Id="rId_hyperlink_5776" Type="http://schemas.openxmlformats.org/officeDocument/2006/relationships/hyperlink" Target="https://b2beez.ru/images/detailed/171/6136891377.jpg" TargetMode="External"/><Relationship Id="rId_hyperlink_5777" Type="http://schemas.openxmlformats.org/officeDocument/2006/relationships/hyperlink" Target="https://b2beez.ru/images/detailed/204/N-3396.jpg" TargetMode="External"/><Relationship Id="rId_hyperlink_5778" Type="http://schemas.openxmlformats.org/officeDocument/2006/relationships/hyperlink" Target="https://b2beez.ru/images/detailed/171/6142353064.jpg" TargetMode="External"/><Relationship Id="rId_hyperlink_5779" Type="http://schemas.openxmlformats.org/officeDocument/2006/relationships/hyperlink" Target="https://b2beez.ru/images/detailed/171/orig_vqpx-ki.jpg" TargetMode="External"/><Relationship Id="rId_hyperlink_5780" Type="http://schemas.openxmlformats.org/officeDocument/2006/relationships/hyperlink" Target="https://b2beez.ru/images/detailed/171/orig_d8er-2z.jpg" TargetMode="External"/><Relationship Id="rId_hyperlink_5781" Type="http://schemas.openxmlformats.org/officeDocument/2006/relationships/hyperlink" Target="https://b2beez.ru/images/detailed/171/orig_xk2t-s9.jpg" TargetMode="External"/><Relationship Id="rId_hyperlink_5782" Type="http://schemas.openxmlformats.org/officeDocument/2006/relationships/hyperlink" Target="https://b2beez.ru/images/detailed/171/orig_3mjg-ha.jpg" TargetMode="External"/><Relationship Id="rId_hyperlink_5783" Type="http://schemas.openxmlformats.org/officeDocument/2006/relationships/hyperlink" Target="https://b2beez.ru/images/detailed/171/orig_0h80-wm.jpg" TargetMode="External"/><Relationship Id="rId_hyperlink_5784" Type="http://schemas.openxmlformats.org/officeDocument/2006/relationships/hyperlink" Target="https://b2beez.ru/images/detailed/171/6136946098.jpg" TargetMode="External"/><Relationship Id="rId_hyperlink_5785" Type="http://schemas.openxmlformats.org/officeDocument/2006/relationships/hyperlink" Target="https://b2beez.ru/images/detailed/171/orig_amrv-dr.jpg" TargetMode="External"/><Relationship Id="rId_hyperlink_5786" Type="http://schemas.openxmlformats.org/officeDocument/2006/relationships/hyperlink" Target="https://b2beez.ru/images/detailed/171/orig_gnfy-lu.jpg" TargetMode="External"/><Relationship Id="rId_hyperlink_5787" Type="http://schemas.openxmlformats.org/officeDocument/2006/relationships/hyperlink" Target="https://b2beez.ru/images/detailed/171/6136891670.jpg" TargetMode="External"/><Relationship Id="rId_hyperlink_5788" Type="http://schemas.openxmlformats.org/officeDocument/2006/relationships/hyperlink" Target="https://b2beez.ru/images/detailed/171/orig_iv21-o4.jpg" TargetMode="External"/><Relationship Id="rId_hyperlink_5789" Type="http://schemas.openxmlformats.org/officeDocument/2006/relationships/hyperlink" Target="https://b2beez.ru/images/detailed/171/orig_wixo-w4.jpg" TargetMode="External"/><Relationship Id="rId_hyperlink_5790" Type="http://schemas.openxmlformats.org/officeDocument/2006/relationships/hyperlink" Target="https://b2beez.ru/images/detailed/171/orig_zapz-v0.jpg" TargetMode="External"/><Relationship Id="rId_hyperlink_5791" Type="http://schemas.openxmlformats.org/officeDocument/2006/relationships/hyperlink" Target="https://b2beez.ru/images/detailed/171/6136891786.jpg" TargetMode="External"/><Relationship Id="rId_hyperlink_5792" Type="http://schemas.openxmlformats.org/officeDocument/2006/relationships/hyperlink" Target="https://b2beez.ru/images/detailed/171/6136891763.jpg" TargetMode="External"/><Relationship Id="rId_hyperlink_5793" Type="http://schemas.openxmlformats.org/officeDocument/2006/relationships/hyperlink" Target="https://b2beez.ru/images/detailed/171/6136891651.jpg" TargetMode="External"/><Relationship Id="rId_hyperlink_5794" Type="http://schemas.openxmlformats.org/officeDocument/2006/relationships/hyperlink" Target="https://b2beez.ru/images/detailed/171/6136891597.jpg" TargetMode="External"/><Relationship Id="rId_hyperlink_5795" Type="http://schemas.openxmlformats.org/officeDocument/2006/relationships/hyperlink" Target="https://b2beez.ru/images/detailed/171/orig_6zvg-50.jpg" TargetMode="External"/><Relationship Id="rId_hyperlink_5796" Type="http://schemas.openxmlformats.org/officeDocument/2006/relationships/hyperlink" Target="https://b2beez.ru/images/detailed/171/6136891676.jpg" TargetMode="External"/><Relationship Id="rId_hyperlink_5797" Type="http://schemas.openxmlformats.org/officeDocument/2006/relationships/hyperlink" Target="https://b2beez.ru/images/detailed/171/6141725452.jpg" TargetMode="External"/><Relationship Id="rId_hyperlink_5798" Type="http://schemas.openxmlformats.org/officeDocument/2006/relationships/hyperlink" Target="https://b2beez.ru/images/detailed/171/6136891461.jpg" TargetMode="External"/><Relationship Id="rId_hyperlink_5799" Type="http://schemas.openxmlformats.org/officeDocument/2006/relationships/hyperlink" Target="https://b2beez.ru/images/detailed/171/6136891573.jpg" TargetMode="External"/><Relationship Id="rId_hyperlink_5800" Type="http://schemas.openxmlformats.org/officeDocument/2006/relationships/hyperlink" Target="https://b2beez.ru/images/detailed/171/6136891586.jpg" TargetMode="External"/><Relationship Id="rId_hyperlink_5801" Type="http://schemas.openxmlformats.org/officeDocument/2006/relationships/hyperlink" Target="https://b2beez.ru/images/detailed/171/6136891497.jpg" TargetMode="External"/><Relationship Id="rId_hyperlink_5802" Type="http://schemas.openxmlformats.org/officeDocument/2006/relationships/hyperlink" Target="https://b2beez.ru/images/detailed/171/6136891985.jpg" TargetMode="External"/><Relationship Id="rId_hyperlink_5803" Type="http://schemas.openxmlformats.org/officeDocument/2006/relationships/hyperlink" Target="https://b2beez.ru/images/detailed/171/6136891800.jpg" TargetMode="External"/><Relationship Id="rId_hyperlink_5804" Type="http://schemas.openxmlformats.org/officeDocument/2006/relationships/hyperlink" Target="https://b2beez.ru/images/detailed/171/6136891746.jpg" TargetMode="External"/><Relationship Id="rId_hyperlink_5805" Type="http://schemas.openxmlformats.org/officeDocument/2006/relationships/hyperlink" Target="https://b2beez.ru/images/detailed/171/6136891667.jpg" TargetMode="External"/><Relationship Id="rId_hyperlink_5806" Type="http://schemas.openxmlformats.org/officeDocument/2006/relationships/hyperlink" Target="https://b2beez.ru/images/detailed/171/6136891742.jpg" TargetMode="External"/><Relationship Id="rId_hyperlink_5807" Type="http://schemas.openxmlformats.org/officeDocument/2006/relationships/hyperlink" Target="https://b2beez.ru/images/detailed/171/6136891772.jpg" TargetMode="External"/><Relationship Id="rId_hyperlink_5808" Type="http://schemas.openxmlformats.org/officeDocument/2006/relationships/hyperlink" Target="https://b2beez.ru/images/detailed/171/6136891819.jpg" TargetMode="External"/><Relationship Id="rId_hyperlink_5809" Type="http://schemas.openxmlformats.org/officeDocument/2006/relationships/hyperlink" Target="https://b2beez.ru/images/detailed/171/6136891845.jpg" TargetMode="External"/><Relationship Id="rId_hyperlink_5810" Type="http://schemas.openxmlformats.org/officeDocument/2006/relationships/hyperlink" Target="https://b2beez.ru/images/detailed/171/6136891716.jpg" TargetMode="External"/><Relationship Id="rId_hyperlink_5811" Type="http://schemas.openxmlformats.org/officeDocument/2006/relationships/hyperlink" Target="https://b2beez.ru/images/detailed/171/6136891827.jpg" TargetMode="External"/><Relationship Id="rId_hyperlink_5812" Type="http://schemas.openxmlformats.org/officeDocument/2006/relationships/hyperlink" Target="https://b2beez.ru/images/detailed/171/6136891755.jpg" TargetMode="External"/><Relationship Id="rId_hyperlink_5813" Type="http://schemas.openxmlformats.org/officeDocument/2006/relationships/hyperlink" Target="https://b2beez.ru/images/detailed/171/6136891659.jpg" TargetMode="External"/><Relationship Id="rId_hyperlink_5814" Type="http://schemas.openxmlformats.org/officeDocument/2006/relationships/hyperlink" Target="https://b2beez.ru/images/detailed/160/6138459647.jpg" TargetMode="External"/><Relationship Id="rId_hyperlink_5815" Type="http://schemas.openxmlformats.org/officeDocument/2006/relationships/hyperlink" Target="https://b2beez.ru/images/detailed/160/6136892199.jpg" TargetMode="External"/><Relationship Id="rId_hyperlink_5816" Type="http://schemas.openxmlformats.org/officeDocument/2006/relationships/hyperlink" Target="https://b2beez.ru/images/detailed/160/6138512954.jpg" TargetMode="External"/><Relationship Id="rId_hyperlink_5817" Type="http://schemas.openxmlformats.org/officeDocument/2006/relationships/hyperlink" Target="https://b2beez.ru/images/detailed/171/orig_q8am-qz.jpg" TargetMode="External"/><Relationship Id="rId_hyperlink_5818" Type="http://schemas.openxmlformats.org/officeDocument/2006/relationships/hyperlink" Target="https://b2beez.ru/images/detailed/167/7137663917.jpg" TargetMode="External"/><Relationship Id="rId_hyperlink_5819" Type="http://schemas.openxmlformats.org/officeDocument/2006/relationships/hyperlink" Target="https://b2beez.ru/images/detailed/166/6247460143.jpg" TargetMode="External"/><Relationship Id="rId_hyperlink_5820" Type="http://schemas.openxmlformats.org/officeDocument/2006/relationships/hyperlink" Target="https://b2beez.ru/images/detailed/48/orig_s7bn-uk.jpg" TargetMode="External"/><Relationship Id="rId_hyperlink_5821" Type="http://schemas.openxmlformats.org/officeDocument/2006/relationships/hyperlink" Target="https://b2beez.ru/images/detailed/48/orig_rq9h-hq.jpg" TargetMode="External"/><Relationship Id="rId_hyperlink_5822" Type="http://schemas.openxmlformats.org/officeDocument/2006/relationships/hyperlink" Target="https://b2beez.ru/images/detailed/169/7132468163.jpg" TargetMode="External"/><Relationship Id="rId_hyperlink_5823" Type="http://schemas.openxmlformats.org/officeDocument/2006/relationships/hyperlink" Target="https://b2beez.ru/images/detailed/155/6458369179.jpg" TargetMode="External"/><Relationship Id="rId_hyperlink_5824" Type="http://schemas.openxmlformats.org/officeDocument/2006/relationships/hyperlink" Target="https://b2beez.ru/images/detailed/161/orig_cn7a-8n.jpg" TargetMode="External"/><Relationship Id="rId_hyperlink_5825" Type="http://schemas.openxmlformats.org/officeDocument/2006/relationships/hyperlink" Target="https://b2beez.ru/images/detailed/187/6490973223.jpg" TargetMode="External"/><Relationship Id="rId_hyperlink_5826" Type="http://schemas.openxmlformats.org/officeDocument/2006/relationships/hyperlink" Target="https://b2beez.ru/images/detailed/161/6459427559.jpg" TargetMode="External"/><Relationship Id="rId_hyperlink_5827" Type="http://schemas.openxmlformats.org/officeDocument/2006/relationships/hyperlink" Target="https://b2beez.ru/images/detailed/161/6459428643.jpg" TargetMode="External"/><Relationship Id="rId_hyperlink_5828" Type="http://schemas.openxmlformats.org/officeDocument/2006/relationships/hyperlink" Target="https://b2beez.ru/images/detailed/161/6459430082.jpg" TargetMode="External"/><Relationship Id="rId_hyperlink_5829" Type="http://schemas.openxmlformats.org/officeDocument/2006/relationships/hyperlink" Target="https://b2beez.ru/images/detailed/176/6689899002.jpg" TargetMode="External"/><Relationship Id="rId_hyperlink_5830" Type="http://schemas.openxmlformats.org/officeDocument/2006/relationships/hyperlink" Target="https://b2beez.ru/images/detailed/176/6459715928.jpg" TargetMode="External"/><Relationship Id="rId_hyperlink_5831" Type="http://schemas.openxmlformats.org/officeDocument/2006/relationships/hyperlink" Target="https://b2beez.ru/images/detailed/176/orig_fcv4-rx.jpg" TargetMode="External"/><Relationship Id="rId_hyperlink_5832" Type="http://schemas.openxmlformats.org/officeDocument/2006/relationships/hyperlink" Target="https://b2beez.ru/images/detailed/177/6689892325.jpg" TargetMode="External"/><Relationship Id="rId_hyperlink_5833" Type="http://schemas.openxmlformats.org/officeDocument/2006/relationships/hyperlink" Target="https://b2beez.ru/images/detailed/177/6689890185.jpg" TargetMode="External"/><Relationship Id="rId_hyperlink_5834" Type="http://schemas.openxmlformats.org/officeDocument/2006/relationships/hyperlink" Target="https://b2beez.ru/images/detailed/177/6689888164.jpg" TargetMode="External"/><Relationship Id="rId_hyperlink_5835" Type="http://schemas.openxmlformats.org/officeDocument/2006/relationships/hyperlink" Target="https://b2beez.ru/images/detailed/177/6459727737.jpg" TargetMode="External"/><Relationship Id="rId_hyperlink_5836" Type="http://schemas.openxmlformats.org/officeDocument/2006/relationships/hyperlink" Target="https://b2beez.ru/images/detailed/204/SH-410-5_phpr-sw.jpg" TargetMode="External"/><Relationship Id="rId_hyperlink_5837" Type="http://schemas.openxmlformats.org/officeDocument/2006/relationships/hyperlink" Target="https://b2beez.ru/images/detailed/204/SH-400-5_oi2f-qe.jpg" TargetMode="External"/><Relationship Id="rId_hyperlink_5838" Type="http://schemas.openxmlformats.org/officeDocument/2006/relationships/hyperlink" Target="https://b2beez.ru/images/detailed/47/orig_woo8-td.jpg" TargetMode="External"/><Relationship Id="rId_hyperlink_5839" Type="http://schemas.openxmlformats.org/officeDocument/2006/relationships/hyperlink" Target="https://b2beez.ru/images/detailed/204/SH-9016-4.jpg" TargetMode="External"/><Relationship Id="rId_hyperlink_5840" Type="http://schemas.openxmlformats.org/officeDocument/2006/relationships/hyperlink" Target="https://b2beez.ru/images/detailed/204/SH-1918-2_cugm-lw.jpg" TargetMode="External"/><Relationship Id="rId_hyperlink_5841" Type="http://schemas.openxmlformats.org/officeDocument/2006/relationships/hyperlink" Target="https://b2beez.ru/images/detailed/204/SH-8121-2_6pp2-bm.jpg" TargetMode="External"/><Relationship Id="rId_hyperlink_5842" Type="http://schemas.openxmlformats.org/officeDocument/2006/relationships/hyperlink" Target="https://b2beez.ru/images/detailed/169/orig_l50q-v1.jpg" TargetMode="External"/><Relationship Id="rId_hyperlink_5843" Type="http://schemas.openxmlformats.org/officeDocument/2006/relationships/hyperlink" Target="https://b2beez.ru/images/detailed/170/orig_262c-on.jpg" TargetMode="External"/><Relationship Id="rId_hyperlink_5844" Type="http://schemas.openxmlformats.org/officeDocument/2006/relationships/hyperlink" Target="https://b2beez.ru/images/detailed/171/orig_58xv-dt.jpg" TargetMode="External"/><Relationship Id="rId_hyperlink_5845" Type="http://schemas.openxmlformats.org/officeDocument/2006/relationships/hyperlink" Target="https://b2beez.ru/images/detailed/164/7155041431.jpg" TargetMode="External"/><Relationship Id="rId_hyperlink_5846" Type="http://schemas.openxmlformats.org/officeDocument/2006/relationships/hyperlink" Target="https://b2beez.ru/images/detailed/163/orig_wuga-wy.jpg" TargetMode="External"/><Relationship Id="rId_hyperlink_5847" Type="http://schemas.openxmlformats.org/officeDocument/2006/relationships/hyperlink" Target="https://b2beez.ru/images/detailed/164/orig_jn2y-1b.jpg" TargetMode="External"/><Relationship Id="rId_hyperlink_5848" Type="http://schemas.openxmlformats.org/officeDocument/2006/relationships/hyperlink" Target="https://b2beez.ru/images/detailed/163/orig_h9g3-eo.jpg" TargetMode="External"/><Relationship Id="rId_hyperlink_5849" Type="http://schemas.openxmlformats.org/officeDocument/2006/relationships/hyperlink" Target="https://b2beez.ru/images/detailed/163/orig_p73u-rl.jpg" TargetMode="External"/><Relationship Id="rId_hyperlink_5850" Type="http://schemas.openxmlformats.org/officeDocument/2006/relationships/hyperlink" Target="https://b2beez.ru/images/detailed/164/orig_msrp-9f.jpg" TargetMode="External"/><Relationship Id="rId_hyperlink_5851" Type="http://schemas.openxmlformats.org/officeDocument/2006/relationships/hyperlink" Target="https://b2beez.ru/images/detailed/163/orig_9oek-vm.jpg" TargetMode="External"/><Relationship Id="rId_hyperlink_5852" Type="http://schemas.openxmlformats.org/officeDocument/2006/relationships/hyperlink" Target="https://b2beez.ru/images/detailed/164/orig_bzbo-ux.jpg" TargetMode="External"/><Relationship Id="rId_hyperlink_5853" Type="http://schemas.openxmlformats.org/officeDocument/2006/relationships/hyperlink" Target="https://b2beez.ru/images/detailed/165/6872864598.jpg" TargetMode="External"/><Relationship Id="rId_hyperlink_5854" Type="http://schemas.openxmlformats.org/officeDocument/2006/relationships/hyperlink" Target="https://b2beez.ru/images/detailed/163/orig_7qoh-g1.jpg" TargetMode="External"/><Relationship Id="rId_hyperlink_5855" Type="http://schemas.openxmlformats.org/officeDocument/2006/relationships/hyperlink" Target="https://b2beez.ru/images/detailed/163/orig_yxya-d2.jpg" TargetMode="External"/><Relationship Id="rId_hyperlink_5856" Type="http://schemas.openxmlformats.org/officeDocument/2006/relationships/hyperlink" Target="https://b2beez.ru/images/detailed/163/orig_qaqi-1y.jpg" TargetMode="External"/><Relationship Id="rId_hyperlink_5857" Type="http://schemas.openxmlformats.org/officeDocument/2006/relationships/hyperlink" Target="https://b2beez.ru/images/detailed/164/orig_814a-de.jpg" TargetMode="External"/><Relationship Id="rId_hyperlink_5858" Type="http://schemas.openxmlformats.org/officeDocument/2006/relationships/hyperlink" Target="https://b2beez.ru/images/detailed/163/orig_2fjn-lg.jpg" TargetMode="External"/><Relationship Id="rId_hyperlink_5859" Type="http://schemas.openxmlformats.org/officeDocument/2006/relationships/hyperlink" Target="https://b2beez.ru/images/detailed/163/orig_dsv6-wx.jpg" TargetMode="External"/><Relationship Id="rId_hyperlink_5860" Type="http://schemas.openxmlformats.org/officeDocument/2006/relationships/hyperlink" Target="https://b2beez.ru/images/detailed/163/orig_no5j-3x.jpg" TargetMode="External"/><Relationship Id="rId_hyperlink_5861" Type="http://schemas.openxmlformats.org/officeDocument/2006/relationships/hyperlink" Target="https://b2beez.ru/images/detailed/164/7030495743.jpg" TargetMode="External"/><Relationship Id="rId_hyperlink_5862" Type="http://schemas.openxmlformats.org/officeDocument/2006/relationships/hyperlink" Target="https://b2beez.ru/images/detailed/163/orig_0kbz-gd.jpg" TargetMode="External"/><Relationship Id="rId_hyperlink_5863" Type="http://schemas.openxmlformats.org/officeDocument/2006/relationships/hyperlink" Target="https://b2beez.ru/images/detailed/163/orig_kj90-of.jpg" TargetMode="External"/><Relationship Id="rId_hyperlink_5864" Type="http://schemas.openxmlformats.org/officeDocument/2006/relationships/hyperlink" Target="https://b2beez.ru/images/detailed/163/orig_9sha-l2.jpg" TargetMode="External"/><Relationship Id="rId_hyperlink_5865" Type="http://schemas.openxmlformats.org/officeDocument/2006/relationships/hyperlink" Target="https://b2beez.ru/images/detailed/163/orig_sk7j-st.jpg" TargetMode="External"/><Relationship Id="rId_hyperlink_5866" Type="http://schemas.openxmlformats.org/officeDocument/2006/relationships/hyperlink" Target="https://b2beez.ru/images/detailed/163/orig_4epy-e3.jpg" TargetMode="External"/><Relationship Id="rId_hyperlink_5867" Type="http://schemas.openxmlformats.org/officeDocument/2006/relationships/hyperlink" Target="https://b2beez.ru/images/detailed/163/orig_9hl3-vc.jpg" TargetMode="External"/><Relationship Id="rId_hyperlink_5868" Type="http://schemas.openxmlformats.org/officeDocument/2006/relationships/hyperlink" Target="https://b2beez.ru/images/detailed/163/orig_nq23-h8.jpg" TargetMode="External"/><Relationship Id="rId_hyperlink_5869" Type="http://schemas.openxmlformats.org/officeDocument/2006/relationships/hyperlink" Target="https://b2beez.ru/images/detailed/164/orig_74kf-wy.jpg" TargetMode="External"/><Relationship Id="rId_hyperlink_5870" Type="http://schemas.openxmlformats.org/officeDocument/2006/relationships/hyperlink" Target="https://b2beez.ru/images/detailed/155/6474467470.jpg" TargetMode="External"/><Relationship Id="rId_hyperlink_5871" Type="http://schemas.openxmlformats.org/officeDocument/2006/relationships/hyperlink" Target="https://b2beez.ru/images/detailed/204/C-1318-U1-3.jpg" TargetMode="External"/><Relationship Id="rId_hyperlink_5872" Type="http://schemas.openxmlformats.org/officeDocument/2006/relationships/hyperlink" Target="https://b2beez.ru/images/detailed/0/" TargetMode="External"/><Relationship Id="rId_hyperlink_5873" Type="http://schemas.openxmlformats.org/officeDocument/2006/relationships/hyperlink" Target="https://b2beez.ru/images/detailed/164/orig_10gj-ju.jpg" TargetMode="External"/><Relationship Id="rId_hyperlink_5874" Type="http://schemas.openxmlformats.org/officeDocument/2006/relationships/hyperlink" Target="https://b2beez.ru/images/detailed/163/6379574271.jpg" TargetMode="External"/><Relationship Id="rId_hyperlink_5875" Type="http://schemas.openxmlformats.org/officeDocument/2006/relationships/hyperlink" Target="https://b2beez.ru/images/detailed/163/orig_7wak-ti.jpg" TargetMode="External"/><Relationship Id="rId_hyperlink_5876" Type="http://schemas.openxmlformats.org/officeDocument/2006/relationships/hyperlink" Target="https://b2beez.ru/images/detailed/164/6379574431.jpg" TargetMode="External"/><Relationship Id="rId_hyperlink_5877" Type="http://schemas.openxmlformats.org/officeDocument/2006/relationships/hyperlink" Target="https://b2beez.ru/images/detailed/164/orig_vs4h-t6.jpg" TargetMode="External"/><Relationship Id="rId_hyperlink_5878" Type="http://schemas.openxmlformats.org/officeDocument/2006/relationships/hyperlink" Target="https://b2beez.ru/images/detailed/165/6381741962.jpg" TargetMode="External"/><Relationship Id="rId_hyperlink_5879" Type="http://schemas.openxmlformats.org/officeDocument/2006/relationships/hyperlink" Target="https://b2beez.ru/images/detailed/163/orig_rmiw-2u.jpg" TargetMode="External"/><Relationship Id="rId_hyperlink_5880" Type="http://schemas.openxmlformats.org/officeDocument/2006/relationships/hyperlink" Target="https://b2beez.ru/images/detailed/163/orig_kmiv-qz.jpg" TargetMode="External"/><Relationship Id="rId_hyperlink_5881" Type="http://schemas.openxmlformats.org/officeDocument/2006/relationships/hyperlink" Target="https://b2beez.ru/images/detailed/163/orig_55cr-jv.jpg" TargetMode="External"/><Relationship Id="rId_hyperlink_5882" Type="http://schemas.openxmlformats.org/officeDocument/2006/relationships/hyperlink" Target="https://b2beez.ru/images/detailed/163/orig.jpg" TargetMode="External"/><Relationship Id="rId_hyperlink_5883" Type="http://schemas.openxmlformats.org/officeDocument/2006/relationships/hyperlink" Target="https://b2beez.ru/images/detailed/164/orig_nag3-co.jpg" TargetMode="External"/><Relationship Id="rId_hyperlink_5884" Type="http://schemas.openxmlformats.org/officeDocument/2006/relationships/hyperlink" Target="https://b2beez.ru/images/detailed/164/orig_9boa-n8.jpg" TargetMode="External"/><Relationship Id="rId_hyperlink_5885" Type="http://schemas.openxmlformats.org/officeDocument/2006/relationships/hyperlink" Target="https://b2beez.ru/images/detailed/163/orig_81sj-m7.jpg" TargetMode="External"/><Relationship Id="rId_hyperlink_5886" Type="http://schemas.openxmlformats.org/officeDocument/2006/relationships/hyperlink" Target="https://b2beez.ru/images/detailed/163/orig_r0ic-vh.jpg" TargetMode="External"/><Relationship Id="rId_hyperlink_5887" Type="http://schemas.openxmlformats.org/officeDocument/2006/relationships/hyperlink" Target="https://b2beez.ru/images/detailed/163/6379574226.jpg" TargetMode="External"/><Relationship Id="rId_hyperlink_5888" Type="http://schemas.openxmlformats.org/officeDocument/2006/relationships/hyperlink" Target="https://b2beez.ru/images/detailed/164/orig_lls0-9o.jpg" TargetMode="External"/><Relationship Id="rId_hyperlink_5889" Type="http://schemas.openxmlformats.org/officeDocument/2006/relationships/hyperlink" Target="https://b2beez.ru/images/detailed/165/orig_x7dk-ne.jpg" TargetMode="External"/><Relationship Id="rId_hyperlink_5890" Type="http://schemas.openxmlformats.org/officeDocument/2006/relationships/hyperlink" Target="https://b2beez.ru/images/detailed/163/orig_0yay-0d.jpg" TargetMode="External"/><Relationship Id="rId_hyperlink_5891" Type="http://schemas.openxmlformats.org/officeDocument/2006/relationships/hyperlink" Target="https://b2beez.ru/images/detailed/163/orig_8oon-4h.jpg" TargetMode="External"/><Relationship Id="rId_hyperlink_5892" Type="http://schemas.openxmlformats.org/officeDocument/2006/relationships/hyperlink" Target="https://b2beez.ru/images/detailed/164/orig_vxz1-7i.jpg" TargetMode="External"/><Relationship Id="rId_hyperlink_5893" Type="http://schemas.openxmlformats.org/officeDocument/2006/relationships/hyperlink" Target="https://b2beez.ru/images/detailed/163/orig_anev-i1.jpg" TargetMode="External"/><Relationship Id="rId_hyperlink_5894" Type="http://schemas.openxmlformats.org/officeDocument/2006/relationships/hyperlink" Target="https://b2beez.ru/images/detailed/163/orig_h7r7-1z.jpg" TargetMode="External"/><Relationship Id="rId_hyperlink_5895" Type="http://schemas.openxmlformats.org/officeDocument/2006/relationships/hyperlink" Target="https://b2beez.ru/images/detailed/163/orig_oaqi-f0.jpg" TargetMode="External"/><Relationship Id="rId_hyperlink_5896" Type="http://schemas.openxmlformats.org/officeDocument/2006/relationships/hyperlink" Target="https://b2beez.ru/images/detailed/165/orig_gaua-3h.jpg" TargetMode="External"/><Relationship Id="rId_hyperlink_5897" Type="http://schemas.openxmlformats.org/officeDocument/2006/relationships/hyperlink" Target="https://b2beez.ru/images/detailed/165/orig_cm9b-09.jpg" TargetMode="External"/><Relationship Id="rId_hyperlink_5898" Type="http://schemas.openxmlformats.org/officeDocument/2006/relationships/hyperlink" Target="https://b2beez.ru/images/detailed/164/orig_r8zt-p3.jpg" TargetMode="External"/><Relationship Id="rId_hyperlink_5899" Type="http://schemas.openxmlformats.org/officeDocument/2006/relationships/hyperlink" Target="https://b2beez.ru/images/detailed/165/orig_30c9-r1.jpg" TargetMode="External"/><Relationship Id="rId_hyperlink_5900" Type="http://schemas.openxmlformats.org/officeDocument/2006/relationships/hyperlink" Target="https://b2beez.ru/images/detailed/164/orig_m8rp-y1.jpg" TargetMode="External"/><Relationship Id="rId_hyperlink_5901" Type="http://schemas.openxmlformats.org/officeDocument/2006/relationships/hyperlink" Target="https://b2beez.ru/images/detailed/165/orig_i4kt-gn.jpg" TargetMode="External"/><Relationship Id="rId_hyperlink_5902" Type="http://schemas.openxmlformats.org/officeDocument/2006/relationships/hyperlink" Target="https://b2beez.ru/images/detailed/164/orig_ssa7-7b.jpg" TargetMode="External"/><Relationship Id="rId_hyperlink_5903" Type="http://schemas.openxmlformats.org/officeDocument/2006/relationships/hyperlink" Target="https://b2beez.ru/images/detailed/164/orig_rrnc-ze.jpg" TargetMode="External"/><Relationship Id="rId_hyperlink_5904" Type="http://schemas.openxmlformats.org/officeDocument/2006/relationships/hyperlink" Target="https://b2beez.ru/images/detailed/165/orig_p1wz-oh.jpg" TargetMode="External"/><Relationship Id="rId_hyperlink_5905" Type="http://schemas.openxmlformats.org/officeDocument/2006/relationships/hyperlink" Target="https://b2beez.ru/images/detailed/164/orig_ubci-lt.jpg" TargetMode="External"/><Relationship Id="rId_hyperlink_5906" Type="http://schemas.openxmlformats.org/officeDocument/2006/relationships/hyperlink" Target="https://b2beez.ru/images/detailed/164/orig_xpj0-v5.jpg" TargetMode="External"/><Relationship Id="rId_hyperlink_5907" Type="http://schemas.openxmlformats.org/officeDocument/2006/relationships/hyperlink" Target="https://b2beez.ru/images/detailed/164/orig_bmzo-20.jpg" TargetMode="External"/><Relationship Id="rId_hyperlink_5908" Type="http://schemas.openxmlformats.org/officeDocument/2006/relationships/hyperlink" Target="https://b2beez.ru/images/detailed/163/orig_o1py-6n.jpg" TargetMode="External"/><Relationship Id="rId_hyperlink_5909" Type="http://schemas.openxmlformats.org/officeDocument/2006/relationships/hyperlink" Target="https://b2beez.ru/images/detailed/0/" TargetMode="External"/><Relationship Id="rId_hyperlink_5910" Type="http://schemas.openxmlformats.org/officeDocument/2006/relationships/hyperlink" Target="https://b2beez.ru/images/detailed/0/" TargetMode="External"/><Relationship Id="rId_hyperlink_5911" Type="http://schemas.openxmlformats.org/officeDocument/2006/relationships/hyperlink" Target="https://b2beez.ru/images/detailed/0/" TargetMode="External"/><Relationship Id="rId_hyperlink_5912" Type="http://schemas.openxmlformats.org/officeDocument/2006/relationships/hyperlink" Target="https://b2beez.ru/images/detailed/0/" TargetMode="External"/><Relationship Id="rId_hyperlink_5913" Type="http://schemas.openxmlformats.org/officeDocument/2006/relationships/hyperlink" Target="https://b2beez.ru/images/detailed/0/" TargetMode="External"/><Relationship Id="rId_hyperlink_5914" Type="http://schemas.openxmlformats.org/officeDocument/2006/relationships/hyperlink" Target="https://b2beez.ru/images/detailed/0/" TargetMode="External"/><Relationship Id="rId_hyperlink_5915" Type="http://schemas.openxmlformats.org/officeDocument/2006/relationships/hyperlink" Target="https://b2beez.ru/images/detailed/0/" TargetMode="External"/><Relationship Id="rId_hyperlink_5916" Type="http://schemas.openxmlformats.org/officeDocument/2006/relationships/hyperlink" Target="https://b2beez.ru/images/detailed/0/" TargetMode="External"/><Relationship Id="rId_hyperlink_5917" Type="http://schemas.openxmlformats.org/officeDocument/2006/relationships/hyperlink" Target="https://b2beez.ru/images/detailed/0/" TargetMode="External"/><Relationship Id="rId_hyperlink_5918" Type="http://schemas.openxmlformats.org/officeDocument/2006/relationships/hyperlink" Target="https://b2beez.ru/images/detailed/0/" TargetMode="External"/><Relationship Id="rId_hyperlink_5919" Type="http://schemas.openxmlformats.org/officeDocument/2006/relationships/hyperlink" Target="https://b2beez.ru/images/detailed/0/" TargetMode="External"/><Relationship Id="rId_hyperlink_5920" Type="http://schemas.openxmlformats.org/officeDocument/2006/relationships/hyperlink" Target="https://b2beez.ru/images/detailed/0/" TargetMode="External"/><Relationship Id="rId_hyperlink_5921" Type="http://schemas.openxmlformats.org/officeDocument/2006/relationships/hyperlink" Target="https://b2beez.ru/images/detailed/0/" TargetMode="External"/><Relationship Id="rId_hyperlink_5922" Type="http://schemas.openxmlformats.org/officeDocument/2006/relationships/hyperlink" Target="https://b2beez.ru/images/detailed/0/" TargetMode="External"/><Relationship Id="rId_hyperlink_5923" Type="http://schemas.openxmlformats.org/officeDocument/2006/relationships/hyperlink" Target="https://b2beez.ru/images/detailed/0/" TargetMode="External"/><Relationship Id="rId_hyperlink_5924" Type="http://schemas.openxmlformats.org/officeDocument/2006/relationships/hyperlink" Target="https://b2beez.ru/images/detailed/0/" TargetMode="External"/><Relationship Id="rId_hyperlink_5925" Type="http://schemas.openxmlformats.org/officeDocument/2006/relationships/hyperlink" Target="https://b2beez.ru/images/detailed/165/6741713497_ieyz-sx.jpg" TargetMode="External"/><Relationship Id="rId_hyperlink_5926" Type="http://schemas.openxmlformats.org/officeDocument/2006/relationships/hyperlink" Target="https://b2beez.ru/images/detailed/165/6741713497_xock-ti.jpg" TargetMode="External"/><Relationship Id="rId_hyperlink_5927" Type="http://schemas.openxmlformats.org/officeDocument/2006/relationships/hyperlink" Target="https://b2beez.ru/images/detailed/165/orig_oqzg-dj.jpg" TargetMode="External"/><Relationship Id="rId_hyperlink_5928" Type="http://schemas.openxmlformats.org/officeDocument/2006/relationships/hyperlink" Target="https://b2beez.ru/images/detailed/165/orig_undr-1o.jpg" TargetMode="External"/><Relationship Id="rId_hyperlink_5929" Type="http://schemas.openxmlformats.org/officeDocument/2006/relationships/hyperlink" Target="https://b2beez.ru/images/detailed/164/orig_jdjw-nd.jpg" TargetMode="External"/><Relationship Id="rId_hyperlink_5930" Type="http://schemas.openxmlformats.org/officeDocument/2006/relationships/hyperlink" Target="https://b2beez.ru/images/detailed/164/orig_vrpd-fu.jpg" TargetMode="External"/><Relationship Id="rId_hyperlink_5931" Type="http://schemas.openxmlformats.org/officeDocument/2006/relationships/hyperlink" Target="https://b2beez.ru/images/detailed/0/" TargetMode="External"/><Relationship Id="rId_hyperlink_5932" Type="http://schemas.openxmlformats.org/officeDocument/2006/relationships/hyperlink" Target="https://b2beez.ru/images/detailed/163/orig_jvin-m7.jpg" TargetMode="External"/><Relationship Id="rId_hyperlink_5933" Type="http://schemas.openxmlformats.org/officeDocument/2006/relationships/hyperlink" Target="https://b2beez.ru/images/detailed/165/orig_vm4f-4i.jpg" TargetMode="External"/><Relationship Id="rId_hyperlink_5934" Type="http://schemas.openxmlformats.org/officeDocument/2006/relationships/hyperlink" Target="https://b2beez.ru/images/detailed/163/orig_cufu-af.jpg" TargetMode="External"/><Relationship Id="rId_hyperlink_5935" Type="http://schemas.openxmlformats.org/officeDocument/2006/relationships/hyperlink" Target="https://b2beez.ru/images/detailed/164/orig_ux4l-oh.jpg" TargetMode="External"/><Relationship Id="rId_hyperlink_5936" Type="http://schemas.openxmlformats.org/officeDocument/2006/relationships/hyperlink" Target="https://b2beez.ru/images/detailed/163/orig_ssil-y7.jpg" TargetMode="External"/><Relationship Id="rId_hyperlink_5937" Type="http://schemas.openxmlformats.org/officeDocument/2006/relationships/hyperlink" Target="https://b2beez.ru/images/detailed/164/orig_e6nr-6p.jpg" TargetMode="External"/><Relationship Id="rId_hyperlink_5938" Type="http://schemas.openxmlformats.org/officeDocument/2006/relationships/hyperlink" Target="https://b2beez.ru/images/detailed/164/6158622609.jpg" TargetMode="External"/><Relationship Id="rId_hyperlink_5939" Type="http://schemas.openxmlformats.org/officeDocument/2006/relationships/hyperlink" Target="https://b2beez.ru/images/detailed/164/orig_mbjr-ou.jpg" TargetMode="External"/><Relationship Id="rId_hyperlink_5940" Type="http://schemas.openxmlformats.org/officeDocument/2006/relationships/hyperlink" Target="https://b2beez.ru/images/detailed/164/orig_uvam-2y.jpg" TargetMode="External"/><Relationship Id="rId_hyperlink_5941" Type="http://schemas.openxmlformats.org/officeDocument/2006/relationships/hyperlink" Target="https://b2beez.ru/images/detailed/163/orig_jl9s-ce.jpg" TargetMode="External"/><Relationship Id="rId_hyperlink_5942" Type="http://schemas.openxmlformats.org/officeDocument/2006/relationships/hyperlink" Target="https://b2beez.ru/images/detailed/165/orig_m4o0-dz.jpg" TargetMode="External"/><Relationship Id="rId_hyperlink_5943" Type="http://schemas.openxmlformats.org/officeDocument/2006/relationships/hyperlink" Target="https://b2beez.ru/images/detailed/163/orig_z6ci-6u.jpg" TargetMode="External"/><Relationship Id="rId_hyperlink_5944" Type="http://schemas.openxmlformats.org/officeDocument/2006/relationships/hyperlink" Target="https://b2beez.ru/images/detailed/164/orig_i0to-as.jpg" TargetMode="External"/><Relationship Id="rId_hyperlink_5945" Type="http://schemas.openxmlformats.org/officeDocument/2006/relationships/hyperlink" Target="https://b2beez.ru/images/detailed/164/orig_r024-8j.jpg" TargetMode="External"/><Relationship Id="rId_hyperlink_5946" Type="http://schemas.openxmlformats.org/officeDocument/2006/relationships/hyperlink" Target="https://b2beez.ru/images/detailed/164/orig_4r86-a8.jpg" TargetMode="External"/><Relationship Id="rId_hyperlink_5947" Type="http://schemas.openxmlformats.org/officeDocument/2006/relationships/hyperlink" Target="https://b2beez.ru/images/detailed/164/orig_c1tk-ef.jpg" TargetMode="External"/><Relationship Id="rId_hyperlink_5948" Type="http://schemas.openxmlformats.org/officeDocument/2006/relationships/hyperlink" Target="https://b2beez.ru/images/detailed/164/6158622620.jpg" TargetMode="External"/><Relationship Id="rId_hyperlink_5949" Type="http://schemas.openxmlformats.org/officeDocument/2006/relationships/hyperlink" Target="https://b2beez.ru/images/detailed/164/orig_ela5-5s.jpg" TargetMode="External"/><Relationship Id="rId_hyperlink_5950" Type="http://schemas.openxmlformats.org/officeDocument/2006/relationships/hyperlink" Target="https://b2beez.ru/images/detailed/165/orig_mwyz-z5.jpg" TargetMode="External"/><Relationship Id="rId_hyperlink_5951" Type="http://schemas.openxmlformats.org/officeDocument/2006/relationships/hyperlink" Target="https://b2beez.ru/images/detailed/165/orig_hce8-w8.jpg" TargetMode="External"/><Relationship Id="rId_hyperlink_5952" Type="http://schemas.openxmlformats.org/officeDocument/2006/relationships/hyperlink" Target="https://b2beez.ru/images/detailed/164/orig_j4rc-xx.jpg" TargetMode="External"/><Relationship Id="rId_hyperlink_5953" Type="http://schemas.openxmlformats.org/officeDocument/2006/relationships/hyperlink" Target="https://b2beez.ru/images/detailed/165/orig_b0em-zb.jpg" TargetMode="External"/><Relationship Id="rId_hyperlink_5954" Type="http://schemas.openxmlformats.org/officeDocument/2006/relationships/hyperlink" Target="https://b2beez.ru/images/detailed/164/orig_5bim-g6.jpg" TargetMode="External"/><Relationship Id="rId_hyperlink_5955" Type="http://schemas.openxmlformats.org/officeDocument/2006/relationships/hyperlink" Target="https://b2beez.ru/images/detailed/0/" TargetMode="External"/><Relationship Id="rId_hyperlink_5956" Type="http://schemas.openxmlformats.org/officeDocument/2006/relationships/hyperlink" Target="https://b2beez.ru/images/detailed/163/7141283048.jpg" TargetMode="External"/><Relationship Id="rId_hyperlink_5957" Type="http://schemas.openxmlformats.org/officeDocument/2006/relationships/hyperlink" Target="https://b2beez.ru/images/detailed/163/orig_z5bw-2c.jpg" TargetMode="External"/><Relationship Id="rId_hyperlink_5958" Type="http://schemas.openxmlformats.org/officeDocument/2006/relationships/hyperlink" Target="https://b2beez.ru/images/detailed/163/orig_mleo-me.jpg" TargetMode="External"/><Relationship Id="rId_hyperlink_5959" Type="http://schemas.openxmlformats.org/officeDocument/2006/relationships/hyperlink" Target="https://b2beez.ru/images/detailed/204/1_e7d4-tu.jpg" TargetMode="External"/><Relationship Id="rId_hyperlink_5960" Type="http://schemas.openxmlformats.org/officeDocument/2006/relationships/hyperlink" Target="https://b2beez.ru/images/detailed/163/7141278957.jpg" TargetMode="External"/><Relationship Id="rId_hyperlink_5961" Type="http://schemas.openxmlformats.org/officeDocument/2006/relationships/hyperlink" Target="https://b2beez.ru/images/detailed/163/orig_m3fq-hm.jpg" TargetMode="External"/><Relationship Id="rId_hyperlink_5962" Type="http://schemas.openxmlformats.org/officeDocument/2006/relationships/hyperlink" Target="https://b2beez.ru/images/detailed/165/orig_2s4i-pe.jpg" TargetMode="External"/><Relationship Id="rId_hyperlink_5963" Type="http://schemas.openxmlformats.org/officeDocument/2006/relationships/hyperlink" Target="https://b2beez.ru/images/detailed/0/" TargetMode="External"/><Relationship Id="rId_hyperlink_5964" Type="http://schemas.openxmlformats.org/officeDocument/2006/relationships/hyperlink" Target="https://b2beez.ru/images/detailed/0/" TargetMode="External"/><Relationship Id="rId_hyperlink_5965" Type="http://schemas.openxmlformats.org/officeDocument/2006/relationships/hyperlink" Target="https://b2beez.ru/images/detailed/0/" TargetMode="External"/><Relationship Id="rId_hyperlink_5966" Type="http://schemas.openxmlformats.org/officeDocument/2006/relationships/hyperlink" Target="https://b2beez.ru/images/detailed/0/" TargetMode="External"/><Relationship Id="rId_hyperlink_5967" Type="http://schemas.openxmlformats.org/officeDocument/2006/relationships/hyperlink" Target="https://b2beez.ru/images/detailed/0/" TargetMode="External"/><Relationship Id="rId_hyperlink_5968" Type="http://schemas.openxmlformats.org/officeDocument/2006/relationships/hyperlink" Target="https://b2beez.ru/images/detailed/164/orig_z032-n5.jpg" TargetMode="External"/><Relationship Id="rId_hyperlink_5969" Type="http://schemas.openxmlformats.org/officeDocument/2006/relationships/hyperlink" Target="https://b2beez.ru/images/detailed/163/6324923434_zfwk-0v.jpg" TargetMode="External"/><Relationship Id="rId_hyperlink_5970" Type="http://schemas.openxmlformats.org/officeDocument/2006/relationships/hyperlink" Target="https://b2beez.ru/images/detailed/163/orig_89jd-j5.jpg" TargetMode="External"/><Relationship Id="rId_hyperlink_5971" Type="http://schemas.openxmlformats.org/officeDocument/2006/relationships/hyperlink" Target="https://b2beez.ru/images/detailed/205/1_qq1y-me.jpg" TargetMode="External"/><Relationship Id="rId_hyperlink_5972" Type="http://schemas.openxmlformats.org/officeDocument/2006/relationships/hyperlink" Target="https://b2beez.ru/images/detailed/164/6324923434.jpg" TargetMode="External"/><Relationship Id="rId_hyperlink_5973" Type="http://schemas.openxmlformats.org/officeDocument/2006/relationships/hyperlink" Target="https://b2beez.ru/images/detailed/164/orig_9cdv-tm.jpg" TargetMode="External"/><Relationship Id="rId_hyperlink_5974" Type="http://schemas.openxmlformats.org/officeDocument/2006/relationships/hyperlink" Target="https://b2beez.ru/images/detailed/164/orig_r41m-fm.jpg" TargetMode="External"/><Relationship Id="rId_hyperlink_5975" Type="http://schemas.openxmlformats.org/officeDocument/2006/relationships/hyperlink" Target="https://b2beez.ru/images/detailed/165/orig_c7nx-ov.jpg" TargetMode="External"/><Relationship Id="rId_hyperlink_5976" Type="http://schemas.openxmlformats.org/officeDocument/2006/relationships/hyperlink" Target="https://b2beez.ru/images/detailed/163/6324923434.jpg" TargetMode="External"/><Relationship Id="rId_hyperlink_5977" Type="http://schemas.openxmlformats.org/officeDocument/2006/relationships/hyperlink" Target="https://b2beez.ru/images/detailed/164/orig_082s-s1.jpg" TargetMode="External"/><Relationship Id="rId_hyperlink_5978" Type="http://schemas.openxmlformats.org/officeDocument/2006/relationships/hyperlink" Target="https://b2beez.ru/images/detailed/164/6324923413_iifk-cc.jpg" TargetMode="External"/><Relationship Id="rId_hyperlink_5979" Type="http://schemas.openxmlformats.org/officeDocument/2006/relationships/hyperlink" Target="https://b2beez.ru/images/detailed/163/orig_cnd0-9b.jpg" TargetMode="External"/><Relationship Id="rId_hyperlink_5980" Type="http://schemas.openxmlformats.org/officeDocument/2006/relationships/hyperlink" Target="https://b2beez.ru/images/detailed/164/orig_kyrk-l6.jpg" TargetMode="External"/><Relationship Id="rId_hyperlink_5981" Type="http://schemas.openxmlformats.org/officeDocument/2006/relationships/hyperlink" Target="https://b2beez.ru/images/detailed/165/orig_r1w1-oe.jpg" TargetMode="External"/><Relationship Id="rId_hyperlink_5982" Type="http://schemas.openxmlformats.org/officeDocument/2006/relationships/hyperlink" Target="https://b2beez.ru/images/detailed/164/orig_kh3s-2z.jpg" TargetMode="External"/><Relationship Id="rId_hyperlink_5983" Type="http://schemas.openxmlformats.org/officeDocument/2006/relationships/hyperlink" Target="https://b2beez.ru/images/detailed/164/orig_jpzy-cw.jpg" TargetMode="External"/><Relationship Id="rId_hyperlink_5984" Type="http://schemas.openxmlformats.org/officeDocument/2006/relationships/hyperlink" Target="https://b2beez.ru/images/detailed/164/6324923413_vduc-kn.jpg" TargetMode="External"/><Relationship Id="rId_hyperlink_5985" Type="http://schemas.openxmlformats.org/officeDocument/2006/relationships/hyperlink" Target="https://b2beez.ru/images/detailed/163/orig_2qvv-xi.jpg" TargetMode="External"/><Relationship Id="rId_hyperlink_5986" Type="http://schemas.openxmlformats.org/officeDocument/2006/relationships/hyperlink" Target="https://b2beez.ru/images/detailed/165/orig_0v6a-vg.jpg" TargetMode="External"/><Relationship Id="rId_hyperlink_5987" Type="http://schemas.openxmlformats.org/officeDocument/2006/relationships/hyperlink" Target="https://b2beez.ru/images/detailed/164/orig_e3v8-b1.jpg" TargetMode="External"/><Relationship Id="rId_hyperlink_5988" Type="http://schemas.openxmlformats.org/officeDocument/2006/relationships/hyperlink" Target="https://b2beez.ru/images/detailed/164/6324923446.jpg" TargetMode="External"/><Relationship Id="rId_hyperlink_5989" Type="http://schemas.openxmlformats.org/officeDocument/2006/relationships/hyperlink" Target="https://b2beez.ru/images/detailed/162/orig_qoqw-zi.jpg" TargetMode="External"/><Relationship Id="rId_hyperlink_5990" Type="http://schemas.openxmlformats.org/officeDocument/2006/relationships/hyperlink" Target="https://b2beez.ru/images/detailed/162/orig_syn0-e7.jpg" TargetMode="External"/><Relationship Id="rId_hyperlink_5991" Type="http://schemas.openxmlformats.org/officeDocument/2006/relationships/hyperlink" Target="https://b2beez.ru/images/detailed/162/orig_0bas-1w.jpg" TargetMode="External"/><Relationship Id="rId_hyperlink_5992" Type="http://schemas.openxmlformats.org/officeDocument/2006/relationships/hyperlink" Target="https://b2beez.ru/images/detailed/162/orig_zn8c-vo.jpg" TargetMode="External"/><Relationship Id="rId_hyperlink_5993" Type="http://schemas.openxmlformats.org/officeDocument/2006/relationships/hyperlink" Target="https://b2beez.ru/images/detailed/162/orig_3462-le.jpg" TargetMode="External"/><Relationship Id="rId_hyperlink_5994" Type="http://schemas.openxmlformats.org/officeDocument/2006/relationships/hyperlink" Target="https://b2beez.ru/images/detailed/162/orig_zjwu-ki.jpg" TargetMode="External"/><Relationship Id="rId_hyperlink_5995" Type="http://schemas.openxmlformats.org/officeDocument/2006/relationships/hyperlink" Target="https://b2beez.ru/images/detailed/162/orig_6os4-b4.jpg" TargetMode="External"/><Relationship Id="rId_hyperlink_5996" Type="http://schemas.openxmlformats.org/officeDocument/2006/relationships/hyperlink" Target="https://b2beez.ru/images/detailed/162/orig_dy20-1v.jpg" TargetMode="External"/><Relationship Id="rId_hyperlink_5997" Type="http://schemas.openxmlformats.org/officeDocument/2006/relationships/hyperlink" Target="https://b2beez.ru/images/detailed/162/orig_nowe-oq.jpg" TargetMode="External"/><Relationship Id="rId_hyperlink_5998" Type="http://schemas.openxmlformats.org/officeDocument/2006/relationships/hyperlink" Target="https://b2beez.ru/images/detailed/163/orig_vl6i-yu.jpg" TargetMode="External"/><Relationship Id="rId_hyperlink_5999" Type="http://schemas.openxmlformats.org/officeDocument/2006/relationships/hyperlink" Target="https://b2beez.ru/images/detailed/163/orig_etdf-i0.jpg" TargetMode="External"/><Relationship Id="rId_hyperlink_6000" Type="http://schemas.openxmlformats.org/officeDocument/2006/relationships/hyperlink" Target="https://b2beez.ru/images/detailed/163/orig_iiui-84.jpg" TargetMode="External"/><Relationship Id="rId_hyperlink_6001" Type="http://schemas.openxmlformats.org/officeDocument/2006/relationships/hyperlink" Target="https://b2beez.ru/images/detailed/163/orig_mb06-ib.jpg" TargetMode="External"/><Relationship Id="rId_hyperlink_6002" Type="http://schemas.openxmlformats.org/officeDocument/2006/relationships/hyperlink" Target="https://b2beez.ru/images/detailed/163/orig_ypou-hn.jpg" TargetMode="External"/><Relationship Id="rId_hyperlink_6003" Type="http://schemas.openxmlformats.org/officeDocument/2006/relationships/hyperlink" Target="https://b2beez.ru/images/detailed/163/orig_dah1-z4.jpg" TargetMode="External"/><Relationship Id="rId_hyperlink_6004" Type="http://schemas.openxmlformats.org/officeDocument/2006/relationships/hyperlink" Target="https://b2beez.ru/images/detailed/163/orig_y5i1-tw.jpg" TargetMode="External"/><Relationship Id="rId_hyperlink_6005" Type="http://schemas.openxmlformats.org/officeDocument/2006/relationships/hyperlink" Target="https://b2beez.ru/images/detailed/163/orig_zs5f-mw.jpg" TargetMode="External"/><Relationship Id="rId_hyperlink_6006" Type="http://schemas.openxmlformats.org/officeDocument/2006/relationships/hyperlink" Target="https://b2beez.ru/images/detailed/163/orig_gulj-by.jpg" TargetMode="External"/><Relationship Id="rId_hyperlink_6007" Type="http://schemas.openxmlformats.org/officeDocument/2006/relationships/hyperlink" Target="https://b2beez.ru/images/detailed/163/orig_b2bo-3y.jpg" TargetMode="External"/><Relationship Id="rId_hyperlink_6008" Type="http://schemas.openxmlformats.org/officeDocument/2006/relationships/hyperlink" Target="https://b2beez.ru/images/detailed/163/orig_6m1v-je.jpg" TargetMode="External"/><Relationship Id="rId_hyperlink_6009" Type="http://schemas.openxmlformats.org/officeDocument/2006/relationships/hyperlink" Target="https://b2beez.ru/images/detailed/163/orig_yp3h-9k.jpg" TargetMode="External"/><Relationship Id="rId_hyperlink_6010" Type="http://schemas.openxmlformats.org/officeDocument/2006/relationships/hyperlink" Target="https://b2beez.ru/images/detailed/163/orig_4whm-xf.jpg" TargetMode="External"/><Relationship Id="rId_hyperlink_6011" Type="http://schemas.openxmlformats.org/officeDocument/2006/relationships/hyperlink" Target="https://b2beez.ru/images/detailed/163/orig_x0zn-r9.jpg" TargetMode="External"/><Relationship Id="rId_hyperlink_6012" Type="http://schemas.openxmlformats.org/officeDocument/2006/relationships/hyperlink" Target="https://b2beez.ru/images/detailed/163/orig_npae-h9.jpg" TargetMode="External"/><Relationship Id="rId_hyperlink_6013" Type="http://schemas.openxmlformats.org/officeDocument/2006/relationships/hyperlink" Target="https://b2beez.ru/images/detailed/163/orig_lzaz-f1.jpg" TargetMode="External"/><Relationship Id="rId_hyperlink_6014" Type="http://schemas.openxmlformats.org/officeDocument/2006/relationships/hyperlink" Target="https://b2beez.ru/images/detailed/163/orig_1rjg-l4.jpg" TargetMode="External"/><Relationship Id="rId_hyperlink_6015" Type="http://schemas.openxmlformats.org/officeDocument/2006/relationships/hyperlink" Target="https://b2beez.ru/images/detailed/0/" TargetMode="External"/><Relationship Id="rId_hyperlink_6016" Type="http://schemas.openxmlformats.org/officeDocument/2006/relationships/hyperlink" Target="https://b2beez.ru/images/detailed/166/6474467454.jpg" TargetMode="External"/><Relationship Id="rId_hyperlink_6017" Type="http://schemas.openxmlformats.org/officeDocument/2006/relationships/hyperlink" Target="https://b2beez.ru/images/detailed/165/orig_6tfl-vf.jpg" TargetMode="External"/><Relationship Id="rId_hyperlink_6018" Type="http://schemas.openxmlformats.org/officeDocument/2006/relationships/hyperlink" Target="https://b2beez.ru/images/detailed/165/orig_fzzu-6g.jpg" TargetMode="External"/><Relationship Id="rId_hyperlink_6019" Type="http://schemas.openxmlformats.org/officeDocument/2006/relationships/hyperlink" Target="https://b2beez.ru/images/detailed/165/6494809355.jpg" TargetMode="External"/><Relationship Id="rId_hyperlink_6020" Type="http://schemas.openxmlformats.org/officeDocument/2006/relationships/hyperlink" Target="https://b2beez.ru/images/detailed/165/orig_r62t-ax.jpg" TargetMode="External"/><Relationship Id="rId_hyperlink_6021" Type="http://schemas.openxmlformats.org/officeDocument/2006/relationships/hyperlink" Target="https://b2beez.ru/images/detailed/165/orig_33g5-pk.jpg" TargetMode="External"/><Relationship Id="rId_hyperlink_6022" Type="http://schemas.openxmlformats.org/officeDocument/2006/relationships/hyperlink" Target="https://b2beez.ru/images/detailed/205/1_j3u3-ad.jpg" TargetMode="External"/><Relationship Id="rId_hyperlink_6023" Type="http://schemas.openxmlformats.org/officeDocument/2006/relationships/hyperlink" Target="https://b2beez.ru/images/detailed/165/orig_agyi-j6.jpg" TargetMode="External"/><Relationship Id="rId_hyperlink_6024" Type="http://schemas.openxmlformats.org/officeDocument/2006/relationships/hyperlink" Target="https://b2beez.ru/images/detailed/165/orig_3391-oo.jpg" TargetMode="External"/><Relationship Id="rId_hyperlink_6025" Type="http://schemas.openxmlformats.org/officeDocument/2006/relationships/hyperlink" Target="https://b2beez.ru/images/detailed/165/6546029346.jpg" TargetMode="External"/><Relationship Id="rId_hyperlink_6026" Type="http://schemas.openxmlformats.org/officeDocument/2006/relationships/hyperlink" Target="https://b2beez.ru/images/detailed/165/6546029346_i1jv-vb.jpg" TargetMode="External"/><Relationship Id="rId_hyperlink_6027" Type="http://schemas.openxmlformats.org/officeDocument/2006/relationships/hyperlink" Target="https://b2beez.ru/images/detailed/165/6546029308.jpg" TargetMode="External"/><Relationship Id="rId_hyperlink_6028" Type="http://schemas.openxmlformats.org/officeDocument/2006/relationships/hyperlink" Target="https://b2beez.ru/images/detailed/165/orig_ixxi-43.jpg" TargetMode="External"/><Relationship Id="rId_hyperlink_6029" Type="http://schemas.openxmlformats.org/officeDocument/2006/relationships/hyperlink" Target="https://b2beez.ru/images/detailed/165/orig_9p5d-b2.jpg" TargetMode="External"/><Relationship Id="rId_hyperlink_6030" Type="http://schemas.openxmlformats.org/officeDocument/2006/relationships/hyperlink" Target="https://b2beez.ru/images/detailed/165/orig_sybm-sr.jpg" TargetMode="External"/><Relationship Id="rId_hyperlink_6031" Type="http://schemas.openxmlformats.org/officeDocument/2006/relationships/hyperlink" Target="https://b2beez.ru/images/detailed/165/orig_58yz-tk.jpg" TargetMode="External"/><Relationship Id="rId_hyperlink_6032" Type="http://schemas.openxmlformats.org/officeDocument/2006/relationships/hyperlink" Target="https://b2beez.ru/images/detailed/181/orig_lah1-bi.jpg" TargetMode="External"/><Relationship Id="rId_hyperlink_6033" Type="http://schemas.openxmlformats.org/officeDocument/2006/relationships/hyperlink" Target="https://b2beez.ru/images/detailed/182/orig_rz44-pz.jpg" TargetMode="External"/><Relationship Id="rId_hyperlink_6034" Type="http://schemas.openxmlformats.org/officeDocument/2006/relationships/hyperlink" Target="https://b2beez.ru/images/detailed/181/6911210772.jpg" TargetMode="External"/><Relationship Id="rId_hyperlink_6035" Type="http://schemas.openxmlformats.org/officeDocument/2006/relationships/hyperlink" Target="https://b2beez.ru/images/detailed/0/" TargetMode="External"/><Relationship Id="rId_hyperlink_6036" Type="http://schemas.openxmlformats.org/officeDocument/2006/relationships/hyperlink" Target="https://b2beez.ru/images/detailed/0/" TargetMode="External"/><Relationship Id="rId_hyperlink_6037" Type="http://schemas.openxmlformats.org/officeDocument/2006/relationships/hyperlink" Target="https://b2beez.ru/images/detailed/0/" TargetMode="External"/><Relationship Id="rId_hyperlink_6038" Type="http://schemas.openxmlformats.org/officeDocument/2006/relationships/hyperlink" Target="https://b2beez.ru/images/detailed/0/" TargetMode="External"/><Relationship Id="rId_hyperlink_6039" Type="http://schemas.openxmlformats.org/officeDocument/2006/relationships/hyperlink" Target="https://b2beez.ru/images/detailed/0/" TargetMode="External"/><Relationship Id="rId_hyperlink_6040" Type="http://schemas.openxmlformats.org/officeDocument/2006/relationships/hyperlink" Target="https://b2beez.ru/images/detailed/0/" TargetMode="External"/><Relationship Id="rId_hyperlink_6041" Type="http://schemas.openxmlformats.org/officeDocument/2006/relationships/hyperlink" Target="https://b2beez.ru/images/detailed/0/" TargetMode="External"/><Relationship Id="rId_hyperlink_6042" Type="http://schemas.openxmlformats.org/officeDocument/2006/relationships/hyperlink" Target="https://b2beez.ru/images/detailed/0/" TargetMode="External"/><Relationship Id="rId_hyperlink_6043" Type="http://schemas.openxmlformats.org/officeDocument/2006/relationships/hyperlink" Target="https://b2beez.ru/images/detailed/0/" TargetMode="External"/><Relationship Id="rId_hyperlink_6044" Type="http://schemas.openxmlformats.org/officeDocument/2006/relationships/hyperlink" Target="https://b2beez.ru/images/detailed/0/" TargetMode="External"/><Relationship Id="rId_hyperlink_6045" Type="http://schemas.openxmlformats.org/officeDocument/2006/relationships/hyperlink" Target="https://b2beez.ru/images/detailed/0/" TargetMode="External"/><Relationship Id="rId_hyperlink_6046" Type="http://schemas.openxmlformats.org/officeDocument/2006/relationships/hyperlink" Target="https://b2beez.ru/images/detailed/0/" TargetMode="External"/><Relationship Id="rId_hyperlink_6047" Type="http://schemas.openxmlformats.org/officeDocument/2006/relationships/hyperlink" Target="https://b2beez.ru/images/detailed/0/" TargetMode="External"/><Relationship Id="rId_hyperlink_6048" Type="http://schemas.openxmlformats.org/officeDocument/2006/relationships/hyperlink" Target="https://b2beez.ru/images/detailed/0/" TargetMode="External"/><Relationship Id="rId_hyperlink_6049" Type="http://schemas.openxmlformats.org/officeDocument/2006/relationships/hyperlink" Target="https://b2beez.ru/images/detailed/48/orig_9pcw-n9.jpg" TargetMode="External"/><Relationship Id="rId_hyperlink_6050" Type="http://schemas.openxmlformats.org/officeDocument/2006/relationships/hyperlink" Target="https://b2beez.ru/images/detailed/165/orig_63db-iq.jpg" TargetMode="External"/><Relationship Id="rId_hyperlink_6051" Type="http://schemas.openxmlformats.org/officeDocument/2006/relationships/hyperlink" Target="https://b2beez.ru/images/detailed/165/orig_56wa-94.jpg" TargetMode="External"/><Relationship Id="rId_hyperlink_6052" Type="http://schemas.openxmlformats.org/officeDocument/2006/relationships/hyperlink" Target="https://b2beez.ru/images/detailed/165/orig_1ebr-74.jpg" TargetMode="External"/><Relationship Id="rId_hyperlink_6053" Type="http://schemas.openxmlformats.org/officeDocument/2006/relationships/hyperlink" Target="https://b2beez.ru/images/detailed/165/6482626301.jpg" TargetMode="External"/><Relationship Id="rId_hyperlink_6054" Type="http://schemas.openxmlformats.org/officeDocument/2006/relationships/hyperlink" Target="https://b2beez.ru/images/detailed/184/7107394922.jpg" TargetMode="External"/><Relationship Id="rId_hyperlink_6055" Type="http://schemas.openxmlformats.org/officeDocument/2006/relationships/hyperlink" Target="https://b2beez.ru/images/detailed/182/orig_9ody-bv.jpg" TargetMode="External"/><Relationship Id="rId_hyperlink_6056" Type="http://schemas.openxmlformats.org/officeDocument/2006/relationships/hyperlink" Target="https://b2beez.ru/images/detailed/165/orig_8e13-nq.jpg" TargetMode="External"/><Relationship Id="rId_hyperlink_6057" Type="http://schemas.openxmlformats.org/officeDocument/2006/relationships/hyperlink" Target="https://b2beez.ru/images/detailed/0/" TargetMode="External"/><Relationship Id="rId_hyperlink_6058" Type="http://schemas.openxmlformats.org/officeDocument/2006/relationships/hyperlink" Target="https://b2beez.ru/images/detailed/0/" TargetMode="External"/><Relationship Id="rId_hyperlink_6059" Type="http://schemas.openxmlformats.org/officeDocument/2006/relationships/hyperlink" Target="https://b2beez.ru/images/detailed/0/" TargetMode="External"/><Relationship Id="rId_hyperlink_6060" Type="http://schemas.openxmlformats.org/officeDocument/2006/relationships/hyperlink" Target="https://b2beez.ru/images/detailed/183/orig_elbn-1s.jpg" TargetMode="External"/><Relationship Id="rId_hyperlink_6061" Type="http://schemas.openxmlformats.org/officeDocument/2006/relationships/hyperlink" Target="https://b2beez.ru/images/detailed/164/orig_e64e-ii.jpg" TargetMode="External"/><Relationship Id="rId_hyperlink_6062" Type="http://schemas.openxmlformats.org/officeDocument/2006/relationships/hyperlink" Target="https://b2beez.ru/images/detailed/205/1_g6eb-1z.jpg" TargetMode="External"/><Relationship Id="rId_hyperlink_6063" Type="http://schemas.openxmlformats.org/officeDocument/2006/relationships/hyperlink" Target="https://b2beez.ru/images/detailed/183/orig_nw1r-gb.jpg" TargetMode="External"/><Relationship Id="rId_hyperlink_6064" Type="http://schemas.openxmlformats.org/officeDocument/2006/relationships/hyperlink" Target="https://b2beez.ru/images/detailed/183/orig_5lau-pe.jpg" TargetMode="External"/><Relationship Id="rId_hyperlink_6065" Type="http://schemas.openxmlformats.org/officeDocument/2006/relationships/hyperlink" Target="https://b2beez.ru/images/detailed/183/orig_73ca-jl.jpg" TargetMode="External"/><Relationship Id="rId_hyperlink_6066" Type="http://schemas.openxmlformats.org/officeDocument/2006/relationships/hyperlink" Target="https://b2beez.ru/images/detailed/183/orig_lfmo-8n.jpg" TargetMode="External"/><Relationship Id="rId_hyperlink_6067" Type="http://schemas.openxmlformats.org/officeDocument/2006/relationships/hyperlink" Target="https://b2beez.ru/images/detailed/183/orig_8gsu-yf.jpg" TargetMode="External"/><Relationship Id="rId_hyperlink_6068" Type="http://schemas.openxmlformats.org/officeDocument/2006/relationships/hyperlink" Target="https://b2beez.ru/images/detailed/183/orig_00y1-rs.jpg" TargetMode="External"/><Relationship Id="rId_hyperlink_6069" Type="http://schemas.openxmlformats.org/officeDocument/2006/relationships/hyperlink" Target="https://b2beez.ru/images/detailed/183/orig_rn39-9h.jpg" TargetMode="External"/><Relationship Id="rId_hyperlink_6070" Type="http://schemas.openxmlformats.org/officeDocument/2006/relationships/hyperlink" Target="https://b2beez.ru/images/detailed/183/orig_04o4-qq.jpg" TargetMode="External"/><Relationship Id="rId_hyperlink_6071" Type="http://schemas.openxmlformats.org/officeDocument/2006/relationships/hyperlink" Target="https://b2beez.ru/images/detailed/183/orig_3czw-0t.jpg" TargetMode="External"/><Relationship Id="rId_hyperlink_6072" Type="http://schemas.openxmlformats.org/officeDocument/2006/relationships/hyperlink" Target="https://b2beez.ru/images/detailed/183/6245007715.jpg" TargetMode="External"/><Relationship Id="rId_hyperlink_6073" Type="http://schemas.openxmlformats.org/officeDocument/2006/relationships/hyperlink" Target="https://b2beez.ru/images/detailed/154/orig_3s44-d8.jpg" TargetMode="External"/><Relationship Id="rId_hyperlink_6074" Type="http://schemas.openxmlformats.org/officeDocument/2006/relationships/hyperlink" Target="https://b2beez.ru/images/detailed/154/6090598422.jpg" TargetMode="External"/><Relationship Id="rId_hyperlink_6075" Type="http://schemas.openxmlformats.org/officeDocument/2006/relationships/hyperlink" Target="https://b2beez.ru/images/detailed/154/orig_4b1s-b0.jpg" TargetMode="External"/><Relationship Id="rId_hyperlink_6076" Type="http://schemas.openxmlformats.org/officeDocument/2006/relationships/hyperlink" Target="https://b2beez.ru/images/detailed/154/orig_12ke-ez.jpg" TargetMode="External"/><Relationship Id="rId_hyperlink_6077" Type="http://schemas.openxmlformats.org/officeDocument/2006/relationships/hyperlink" Target="https://b2beez.ru/images/detailed/154/orig_xm3s-fh.jpg" TargetMode="External"/><Relationship Id="rId_hyperlink_6078" Type="http://schemas.openxmlformats.org/officeDocument/2006/relationships/hyperlink" Target="https://b2beez.ru/images/detailed/154/orig_moj1-kx.jpg" TargetMode="External"/><Relationship Id="rId_hyperlink_6079" Type="http://schemas.openxmlformats.org/officeDocument/2006/relationships/hyperlink" Target="https://b2beez.ru/images/detailed/154/orig_yncp-mt.jpg" TargetMode="External"/><Relationship Id="rId_hyperlink_6080" Type="http://schemas.openxmlformats.org/officeDocument/2006/relationships/hyperlink" Target="https://b2beez.ru/images/detailed/154/6090598382.jpg" TargetMode="External"/><Relationship Id="rId_hyperlink_6081" Type="http://schemas.openxmlformats.org/officeDocument/2006/relationships/hyperlink" Target="https://b2beez.ru/images/detailed/154/6090598444.jpg" TargetMode="External"/><Relationship Id="rId_hyperlink_6082" Type="http://schemas.openxmlformats.org/officeDocument/2006/relationships/hyperlink" Target="https://b2beez.ru/images/detailed/154/orig_cntk-3f.jpg" TargetMode="External"/><Relationship Id="rId_hyperlink_6083" Type="http://schemas.openxmlformats.org/officeDocument/2006/relationships/hyperlink" Target="https://b2beez.ru/images/detailed/154/6090598509.jpg" TargetMode="External"/><Relationship Id="rId_hyperlink_6084" Type="http://schemas.openxmlformats.org/officeDocument/2006/relationships/hyperlink" Target="https://b2beez.ru/images/detailed/154/6242635516.jpg" TargetMode="External"/><Relationship Id="rId_hyperlink_6085" Type="http://schemas.openxmlformats.org/officeDocument/2006/relationships/hyperlink" Target="https://b2beez.ru/images/detailed/0/" TargetMode="External"/><Relationship Id="rId_hyperlink_6086" Type="http://schemas.openxmlformats.org/officeDocument/2006/relationships/hyperlink" Target="https://b2beez.ru/images/detailed/154/6090598407.jpg" TargetMode="External"/><Relationship Id="rId_hyperlink_6087" Type="http://schemas.openxmlformats.org/officeDocument/2006/relationships/hyperlink" Target="https://b2beez.ru/images/detailed/154/orig_s2lo-2y.jpg" TargetMode="External"/><Relationship Id="rId_hyperlink_6088" Type="http://schemas.openxmlformats.org/officeDocument/2006/relationships/hyperlink" Target="https://b2beez.ru/images/detailed/154/orig_efb2-j0.jpg" TargetMode="External"/><Relationship Id="rId_hyperlink_6089" Type="http://schemas.openxmlformats.org/officeDocument/2006/relationships/hyperlink" Target="https://b2beez.ru/images/detailed/154/orig_xwr3-p9.jpg" TargetMode="External"/><Relationship Id="rId_hyperlink_6090" Type="http://schemas.openxmlformats.org/officeDocument/2006/relationships/hyperlink" Target="https://b2beez.ru/images/detailed/154/orig_gyn2-9c.jpg" TargetMode="External"/><Relationship Id="rId_hyperlink_6091" Type="http://schemas.openxmlformats.org/officeDocument/2006/relationships/hyperlink" Target="https://b2beez.ru/images/detailed/154/orig_uawd-xk.jpg" TargetMode="External"/><Relationship Id="rId_hyperlink_6092" Type="http://schemas.openxmlformats.org/officeDocument/2006/relationships/hyperlink" Target="https://b2beez.ru/images/detailed/154/6090598414.jpg" TargetMode="External"/><Relationship Id="rId_hyperlink_6093" Type="http://schemas.openxmlformats.org/officeDocument/2006/relationships/hyperlink" Target="https://b2beez.ru/images/detailed/154/orig_vhx6-sx.jpg" TargetMode="External"/><Relationship Id="rId_hyperlink_6094" Type="http://schemas.openxmlformats.org/officeDocument/2006/relationships/hyperlink" Target="https://b2beez.ru/images/detailed/154/orig_zjq3-jg.jpg" TargetMode="External"/><Relationship Id="rId_hyperlink_6095" Type="http://schemas.openxmlformats.org/officeDocument/2006/relationships/hyperlink" Target="https://b2beez.ru/images/detailed/0/" TargetMode="External"/><Relationship Id="rId_hyperlink_6096" Type="http://schemas.openxmlformats.org/officeDocument/2006/relationships/hyperlink" Target="https://b2beez.ru/images/detailed/154/orig_ta0g-73.jpg" TargetMode="External"/><Relationship Id="rId_hyperlink_6097" Type="http://schemas.openxmlformats.org/officeDocument/2006/relationships/hyperlink" Target="https://b2beez.ru/images/detailed/154/orig_nsyp-h4.jpg" TargetMode="External"/><Relationship Id="rId_hyperlink_6098" Type="http://schemas.openxmlformats.org/officeDocument/2006/relationships/hyperlink" Target="https://b2beez.ru/images/detailed/154/orig_9baa-0v.jpg" TargetMode="External"/><Relationship Id="rId_hyperlink_6099" Type="http://schemas.openxmlformats.org/officeDocument/2006/relationships/hyperlink" Target="https://b2beez.ru/images/detailed/154/6090376395.jpg" TargetMode="External"/><Relationship Id="rId_hyperlink_6100" Type="http://schemas.openxmlformats.org/officeDocument/2006/relationships/hyperlink" Target="https://b2beez.ru/images/detailed/154/orig_yk13-q9.jpg" TargetMode="External"/><Relationship Id="rId_hyperlink_6101" Type="http://schemas.openxmlformats.org/officeDocument/2006/relationships/hyperlink" Target="https://b2beez.ru/images/detailed/154/orig_g5xi-yp.jpg" TargetMode="External"/><Relationship Id="rId_hyperlink_6102" Type="http://schemas.openxmlformats.org/officeDocument/2006/relationships/hyperlink" Target="https://b2beez.ru/images/detailed/154/orig_bhk9-kc.jpg" TargetMode="External"/><Relationship Id="rId_hyperlink_6103" Type="http://schemas.openxmlformats.org/officeDocument/2006/relationships/hyperlink" Target="https://b2beez.ru/images/detailed/154/orig_2vj2-v2.jpg" TargetMode="External"/><Relationship Id="rId_hyperlink_6104" Type="http://schemas.openxmlformats.org/officeDocument/2006/relationships/hyperlink" Target="https://b2beez.ru/images/detailed/154/orig_ok8h-yi.jpg" TargetMode="External"/><Relationship Id="rId_hyperlink_6105" Type="http://schemas.openxmlformats.org/officeDocument/2006/relationships/hyperlink" Target="https://b2beez.ru/images/detailed/154/orig_bghf-8f.jpg" TargetMode="External"/><Relationship Id="rId_hyperlink_6106" Type="http://schemas.openxmlformats.org/officeDocument/2006/relationships/hyperlink" Target="https://b2beez.ru/images/detailed/154/orig_q8ev-yw.jpg" TargetMode="External"/><Relationship Id="rId_hyperlink_6107" Type="http://schemas.openxmlformats.org/officeDocument/2006/relationships/hyperlink" Target="https://b2beez.ru/images/detailed/154/orig_qxhj-m9.jpg" TargetMode="External"/><Relationship Id="rId_hyperlink_6108" Type="http://schemas.openxmlformats.org/officeDocument/2006/relationships/hyperlink" Target="https://b2beez.ru/images/detailed/154/orig_3kot-sm.jpg" TargetMode="External"/><Relationship Id="rId_hyperlink_6109" Type="http://schemas.openxmlformats.org/officeDocument/2006/relationships/hyperlink" Target="https://b2beez.ru/images/detailed/154/orig_kco7-8s.jpg" TargetMode="External"/><Relationship Id="rId_hyperlink_6110" Type="http://schemas.openxmlformats.org/officeDocument/2006/relationships/hyperlink" Target="https://b2beez.ru/images/detailed/0/" TargetMode="External"/><Relationship Id="rId_hyperlink_6111" Type="http://schemas.openxmlformats.org/officeDocument/2006/relationships/hyperlink" Target="https://b2beez.ru/images/detailed/171/6242611057.jpg" TargetMode="External"/><Relationship Id="rId_hyperlink_6112" Type="http://schemas.openxmlformats.org/officeDocument/2006/relationships/hyperlink" Target="https://b2beez.ru/images/detailed/171/6265194631.jpg" TargetMode="External"/><Relationship Id="rId_hyperlink_6113" Type="http://schemas.openxmlformats.org/officeDocument/2006/relationships/hyperlink" Target="https://b2beez.ru/images/detailed/154/6090598497.jpg" TargetMode="External"/><Relationship Id="rId_hyperlink_6114" Type="http://schemas.openxmlformats.org/officeDocument/2006/relationships/hyperlink" Target="https://b2beez.ru/images/detailed/154/6090843825.jpg" TargetMode="External"/><Relationship Id="rId_hyperlink_6115" Type="http://schemas.openxmlformats.org/officeDocument/2006/relationships/hyperlink" Target="https://b2beez.ru/images/detailed/154/orig_w45p-nm.jpg" TargetMode="External"/><Relationship Id="rId_hyperlink_6116" Type="http://schemas.openxmlformats.org/officeDocument/2006/relationships/hyperlink" Target="https://b2beez.ru/images/detailed/154/6128600968.jpg" TargetMode="External"/><Relationship Id="rId_hyperlink_6117" Type="http://schemas.openxmlformats.org/officeDocument/2006/relationships/hyperlink" Target="https://b2beez.ru/images/detailed/154/orig_rxj4-06.jpg" TargetMode="External"/><Relationship Id="rId_hyperlink_6118" Type="http://schemas.openxmlformats.org/officeDocument/2006/relationships/hyperlink" Target="https://b2beez.ru/images/detailed/0/" TargetMode="External"/><Relationship Id="rId_hyperlink_6119" Type="http://schemas.openxmlformats.org/officeDocument/2006/relationships/hyperlink" Target="https://b2beez.ru/images/detailed/154/orig_y6u0-a4.jpg" TargetMode="External"/><Relationship Id="rId_hyperlink_6120" Type="http://schemas.openxmlformats.org/officeDocument/2006/relationships/hyperlink" Target="https://b2beez.ru/images/detailed/164/orig_l5f4-q7.jpg" TargetMode="External"/><Relationship Id="rId_hyperlink_6121" Type="http://schemas.openxmlformats.org/officeDocument/2006/relationships/hyperlink" Target="https://b2beez.ru/images/detailed/164/orig_5ktm-7r.jpg" TargetMode="External"/><Relationship Id="rId_hyperlink_6122" Type="http://schemas.openxmlformats.org/officeDocument/2006/relationships/hyperlink" Target="https://b2beez.ru/images/detailed/155/6281278953.jpg" TargetMode="External"/><Relationship Id="rId_hyperlink_6123" Type="http://schemas.openxmlformats.org/officeDocument/2006/relationships/hyperlink" Target="https://b2beez.ru/images/detailed/155/6321510471.jpg" TargetMode="External"/><Relationship Id="rId_hyperlink_6124" Type="http://schemas.openxmlformats.org/officeDocument/2006/relationships/hyperlink" Target="https://b2beez.ru/images/detailed/155/6286959181.jpg" TargetMode="External"/><Relationship Id="rId_hyperlink_6125" Type="http://schemas.openxmlformats.org/officeDocument/2006/relationships/hyperlink" Target="https://b2beez.ru/images/detailed/188/6146762659_zee6-6n.jpg" TargetMode="External"/><Relationship Id="rId_hyperlink_6126" Type="http://schemas.openxmlformats.org/officeDocument/2006/relationships/hyperlink" Target="https://b2beez.ru/images/detailed/188/orig_70cn-op.jpg" TargetMode="External"/><Relationship Id="rId_hyperlink_6127" Type="http://schemas.openxmlformats.org/officeDocument/2006/relationships/hyperlink" Target="https://b2beez.ru/images/detailed/204/Z-971-3.jpg" TargetMode="External"/><Relationship Id="rId_hyperlink_6128" Type="http://schemas.openxmlformats.org/officeDocument/2006/relationships/hyperlink" Target="https://b2beez.ru/images/detailed/171/orig_zvnm-np.jpg" TargetMode="External"/><Relationship Id="rId_hyperlink_6129" Type="http://schemas.openxmlformats.org/officeDocument/2006/relationships/hyperlink" Target="https://b2beez.ru/images/detailed/171/orig_tgh8-ut.jpg" TargetMode="External"/><Relationship Id="rId_hyperlink_6130" Type="http://schemas.openxmlformats.org/officeDocument/2006/relationships/hyperlink" Target="https://b2beez.ru/images/detailed/171/orig_5gsy-un.jpg" TargetMode="External"/><Relationship Id="rId_hyperlink_6131" Type="http://schemas.openxmlformats.org/officeDocument/2006/relationships/hyperlink" Target="https://b2beez.ru/images/detailed/171/orig_idec-9a.jpg" TargetMode="External"/><Relationship Id="rId_hyperlink_6132" Type="http://schemas.openxmlformats.org/officeDocument/2006/relationships/hyperlink" Target="https://b2beez.ru/images/detailed/156/orig_efqy-vi.jpg" TargetMode="External"/><Relationship Id="rId_hyperlink_6133" Type="http://schemas.openxmlformats.org/officeDocument/2006/relationships/hyperlink" Target="https://b2beez.ru/images/detailed/156/orig_oekk-21.jpg" TargetMode="External"/><Relationship Id="rId_hyperlink_6134" Type="http://schemas.openxmlformats.org/officeDocument/2006/relationships/hyperlink" Target="https://b2beez.ru/images/detailed/156/orig_g5ia-4v.jpg" TargetMode="External"/><Relationship Id="rId_hyperlink_6135" Type="http://schemas.openxmlformats.org/officeDocument/2006/relationships/hyperlink" Target="https://b2beez.ru/images/detailed/156/orig_vdfv-ix.jpg" TargetMode="External"/><Relationship Id="rId_hyperlink_6136" Type="http://schemas.openxmlformats.org/officeDocument/2006/relationships/hyperlink" Target="https://b2beez.ru/images/detailed/156/orig_j24u-ck.jpg" TargetMode="External"/><Relationship Id="rId_hyperlink_6137" Type="http://schemas.openxmlformats.org/officeDocument/2006/relationships/hyperlink" Target="https://b2beez.ru/images/detailed/188/orig_4npx-0g.jpg" TargetMode="External"/><Relationship Id="rId_hyperlink_6138" Type="http://schemas.openxmlformats.org/officeDocument/2006/relationships/hyperlink" Target="https://b2beez.ru/images/detailed/188/orig_wcva-ve.jpg" TargetMode="External"/><Relationship Id="rId_hyperlink_6139" Type="http://schemas.openxmlformats.org/officeDocument/2006/relationships/hyperlink" Target="https://b2beez.ru/images/detailed/204/Z-7564-6.jpg" TargetMode="External"/><Relationship Id="rId_hyperlink_6140" Type="http://schemas.openxmlformats.org/officeDocument/2006/relationships/hyperlink" Target="https://b2beez.ru/images/detailed/188/orig_on3d-35.jpg" TargetMode="External"/><Relationship Id="rId_hyperlink_6141" Type="http://schemas.openxmlformats.org/officeDocument/2006/relationships/hyperlink" Target="https://b2beez.ru/images/detailed/204/Z-6002-6.jpg" TargetMode="External"/><Relationship Id="rId_hyperlink_6142" Type="http://schemas.openxmlformats.org/officeDocument/2006/relationships/hyperlink" Target="https://b2beez.ru/images/detailed/0/" TargetMode="External"/><Relationship Id="rId_hyperlink_6143" Type="http://schemas.openxmlformats.org/officeDocument/2006/relationships/hyperlink" Target="https://b2beez.ru/images/detailed/171/orig_l016-rx.jpg" TargetMode="External"/><Relationship Id="rId_hyperlink_6144" Type="http://schemas.openxmlformats.org/officeDocument/2006/relationships/hyperlink" Target="https://b2beez.ru/images/detailed/204/Z-920-2.png" TargetMode="External"/><Relationship Id="rId_hyperlink_6145" Type="http://schemas.openxmlformats.org/officeDocument/2006/relationships/hyperlink" Target="https://b2beez.ru/images/detailed/171/orig_zw8g-5w.jpg" TargetMode="External"/><Relationship Id="rId_hyperlink_6146" Type="http://schemas.openxmlformats.org/officeDocument/2006/relationships/hyperlink" Target="https://b2beez.ru/images/detailed/171/orig_qnw9-sd.jpg" TargetMode="External"/><Relationship Id="rId_hyperlink_6147" Type="http://schemas.openxmlformats.org/officeDocument/2006/relationships/hyperlink" Target="https://b2beez.ru/images/detailed/162/orig_0khg-qy.jpg" TargetMode="External"/><Relationship Id="rId_hyperlink_6148" Type="http://schemas.openxmlformats.org/officeDocument/2006/relationships/hyperlink" Target="https://b2beez.ru/images/detailed/171/orig_4c5x-th.jpg" TargetMode="External"/><Relationship Id="rId_hyperlink_6149" Type="http://schemas.openxmlformats.org/officeDocument/2006/relationships/hyperlink" Target="https://b2beez.ru/images/detailed/164/orig_eymm-x4.jpg" TargetMode="External"/><Relationship Id="rId_hyperlink_6150" Type="http://schemas.openxmlformats.org/officeDocument/2006/relationships/hyperlink" Target="https://b2beez.ru/images/detailed/164/orig_luw1-y3.jpg" TargetMode="External"/><Relationship Id="rId_hyperlink_6151" Type="http://schemas.openxmlformats.org/officeDocument/2006/relationships/hyperlink" Target="https://b2beez.ru/images/detailed/165/orig_9t5l-60.jpg" TargetMode="External"/><Relationship Id="rId_hyperlink_6152" Type="http://schemas.openxmlformats.org/officeDocument/2006/relationships/hyperlink" Target="https://b2beez.ru/images/detailed/163/orig_n70k-va.jpg" TargetMode="External"/><Relationship Id="rId_hyperlink_6153" Type="http://schemas.openxmlformats.org/officeDocument/2006/relationships/hyperlink" Target="https://b2beez.ru/images/detailed/163/orig_xi6m-0y.jpg" TargetMode="External"/><Relationship Id="rId_hyperlink_6154" Type="http://schemas.openxmlformats.org/officeDocument/2006/relationships/hyperlink" Target="https://b2beez.ru/images/detailed/204/Z-4580.jpg" TargetMode="External"/><Relationship Id="rId_hyperlink_6155" Type="http://schemas.openxmlformats.org/officeDocument/2006/relationships/hyperlink" Target="https://b2beez.ru/images/detailed/188/orig_alx8-me.jpg" TargetMode="External"/><Relationship Id="rId_hyperlink_6156" Type="http://schemas.openxmlformats.org/officeDocument/2006/relationships/hyperlink" Target="https://b2beez.ru/images/detailed/188/orig_h1on-gw.jpg" TargetMode="External"/><Relationship Id="rId_hyperlink_6157" Type="http://schemas.openxmlformats.org/officeDocument/2006/relationships/hyperlink" Target="https://b2beez.ru/images/detailed/204/Z-5244.jpg" TargetMode="External"/><Relationship Id="rId_hyperlink_6158" Type="http://schemas.openxmlformats.org/officeDocument/2006/relationships/hyperlink" Target="https://b2beez.ru/images/detailed/0/" TargetMode="External"/><Relationship Id="rId_hyperlink_6159" Type="http://schemas.openxmlformats.org/officeDocument/2006/relationships/hyperlink" Target="https://b2beez.ru/images/detailed/188/orig_4wql-b0.jpg" TargetMode="External"/><Relationship Id="rId_hyperlink_6160" Type="http://schemas.openxmlformats.org/officeDocument/2006/relationships/hyperlink" Target="https://b2beez.ru/images/detailed/204/Z-4245-2.jpg" TargetMode="External"/><Relationship Id="rId_hyperlink_6161" Type="http://schemas.openxmlformats.org/officeDocument/2006/relationships/hyperlink" Target="https://b2beez.ru/images/detailed/204/Z-8748.jpg" TargetMode="External"/><Relationship Id="rId_hyperlink_6162" Type="http://schemas.openxmlformats.org/officeDocument/2006/relationships/hyperlink" Target="https://b2beez.ru/images/detailed/204/z-9251.jpg" TargetMode="External"/><Relationship Id="rId_hyperlink_6163" Type="http://schemas.openxmlformats.org/officeDocument/2006/relationships/hyperlink" Target="https://b2beez.ru/images/detailed/188/6146762659.jpg" TargetMode="External"/><Relationship Id="rId_hyperlink_6164" Type="http://schemas.openxmlformats.org/officeDocument/2006/relationships/hyperlink" Target="https://b2beez.ru/images/detailed/204/Z-5576.jpg" TargetMode="External"/><Relationship Id="rId_hyperlink_6165" Type="http://schemas.openxmlformats.org/officeDocument/2006/relationships/hyperlink" Target="https://b2beez.ru/images/detailed/188/orig_qcyu-nd.jpg" TargetMode="External"/><Relationship Id="rId_hyperlink_6166" Type="http://schemas.openxmlformats.org/officeDocument/2006/relationships/hyperlink" Target="https://b2beez.ru/images/detailed/0/" TargetMode="External"/><Relationship Id="rId_hyperlink_6167" Type="http://schemas.openxmlformats.org/officeDocument/2006/relationships/hyperlink" Target="https://b2beez.ru/images/detailed/0/" TargetMode="External"/><Relationship Id="rId_hyperlink_6168" Type="http://schemas.openxmlformats.org/officeDocument/2006/relationships/hyperlink" Target="https://b2beez.ru/images/detailed/0/" TargetMode="External"/><Relationship Id="rId_hyperlink_6169" Type="http://schemas.openxmlformats.org/officeDocument/2006/relationships/hyperlink" Target="https://b2beez.ru/images/detailed/188/orig_wogv-jk.jpg" TargetMode="External"/><Relationship Id="rId_hyperlink_6170" Type="http://schemas.openxmlformats.org/officeDocument/2006/relationships/hyperlink" Target="https://b2beez.ru/images/detailed/188/orig_rgt5-mz.jpg" TargetMode="External"/><Relationship Id="rId_hyperlink_6171" Type="http://schemas.openxmlformats.org/officeDocument/2006/relationships/hyperlink" Target="https://b2beez.ru/images/detailed/188/orig_cwj7-t4.jpg" TargetMode="External"/><Relationship Id="rId_hyperlink_6172" Type="http://schemas.openxmlformats.org/officeDocument/2006/relationships/hyperlink" Target="https://b2beez.ru/images/detailed/164/6245034735.jpg" TargetMode="External"/><Relationship Id="rId_hyperlink_6173" Type="http://schemas.openxmlformats.org/officeDocument/2006/relationships/hyperlink" Target="https://b2beez.ru/images/detailed/156/orig_o7ri-j7.jpg" TargetMode="External"/><Relationship Id="rId_hyperlink_6174" Type="http://schemas.openxmlformats.org/officeDocument/2006/relationships/hyperlink" Target="https://b2beez.ru/images/detailed/156/orig_h4xd-5t.jpg" TargetMode="External"/><Relationship Id="rId_hyperlink_6175" Type="http://schemas.openxmlformats.org/officeDocument/2006/relationships/hyperlink" Target="https://b2beez.ru/images/detailed/156/orig_cjo1-z8.jpg" TargetMode="External"/><Relationship Id="rId_hyperlink_6176" Type="http://schemas.openxmlformats.org/officeDocument/2006/relationships/hyperlink" Target="https://b2beez.ru/images/detailed/156/orig_7d9o-eh.jpg" TargetMode="External"/><Relationship Id="rId_hyperlink_6177" Type="http://schemas.openxmlformats.org/officeDocument/2006/relationships/hyperlink" Target="https://b2beez.ru/images/detailed/164/6245034728.jpg" TargetMode="External"/><Relationship Id="rId_hyperlink_6178" Type="http://schemas.openxmlformats.org/officeDocument/2006/relationships/hyperlink" Target="https://b2beez.ru/images/detailed/165/orig_t3ji-xi.jpg" TargetMode="External"/><Relationship Id="rId_hyperlink_6179" Type="http://schemas.openxmlformats.org/officeDocument/2006/relationships/hyperlink" Target="https://b2beez.ru/images/detailed/164/orig_vx7q-8l.jpg" TargetMode="External"/><Relationship Id="rId_hyperlink_6180" Type="http://schemas.openxmlformats.org/officeDocument/2006/relationships/hyperlink" Target="https://b2beez.ru/images/detailed/164/orig_p20q-g6.jpg" TargetMode="External"/><Relationship Id="rId_hyperlink_6181" Type="http://schemas.openxmlformats.org/officeDocument/2006/relationships/hyperlink" Target="https://b2beez.ru/images/detailed/164/orig_4kn3-0s.jpg" TargetMode="External"/><Relationship Id="rId_hyperlink_6182" Type="http://schemas.openxmlformats.org/officeDocument/2006/relationships/hyperlink" Target="https://b2beez.ru/images/detailed/171/orig_9ldo-kj.jpg" TargetMode="External"/><Relationship Id="rId_hyperlink_6183" Type="http://schemas.openxmlformats.org/officeDocument/2006/relationships/hyperlink" Target="https://b2beez.ru/images/detailed/164/orig_v31c-ek.jpg" TargetMode="External"/><Relationship Id="rId_hyperlink_6184" Type="http://schemas.openxmlformats.org/officeDocument/2006/relationships/hyperlink" Target="https://b2beez.ru/images/detailed/188/orig_cylz-nw.jpg" TargetMode="External"/><Relationship Id="rId_hyperlink_6185" Type="http://schemas.openxmlformats.org/officeDocument/2006/relationships/hyperlink" Target="https://b2beez.ru/images/detailed/204/Z-6582-2.jpg" TargetMode="External"/><Relationship Id="rId_hyperlink_6186" Type="http://schemas.openxmlformats.org/officeDocument/2006/relationships/hyperlink" Target="https://b2beez.ru/images/detailed/204/Z-4282-2.jpg" TargetMode="External"/><Relationship Id="rId_hyperlink_6187" Type="http://schemas.openxmlformats.org/officeDocument/2006/relationships/hyperlink" Target="https://b2beez.ru/images/detailed/204/Z-7559-8.jpg" TargetMode="External"/><Relationship Id="rId_hyperlink_6188" Type="http://schemas.openxmlformats.org/officeDocument/2006/relationships/hyperlink" Target="https://b2beez.ru/images/detailed/171/6161326537.jpg" TargetMode="External"/><Relationship Id="rId_hyperlink_6189" Type="http://schemas.openxmlformats.org/officeDocument/2006/relationships/hyperlink" Target="https://b2beez.ru/images/detailed/204/Z-269-2_8das-s4.jpg" TargetMode="External"/><Relationship Id="rId_hyperlink_6190" Type="http://schemas.openxmlformats.org/officeDocument/2006/relationships/hyperlink" Target="https://b2beez.ru/images/detailed/0/" TargetMode="External"/><Relationship Id="rId_hyperlink_6191" Type="http://schemas.openxmlformats.org/officeDocument/2006/relationships/hyperlink" Target="https://b2beez.ru/images/detailed/204/Z-927-2.jpg" TargetMode="External"/><Relationship Id="rId_hyperlink_6192" Type="http://schemas.openxmlformats.org/officeDocument/2006/relationships/hyperlink" Target="https://b2beez.ru/images/detailed/204/Z-928-2.jpg" TargetMode="External"/><Relationship Id="rId_hyperlink_6193" Type="http://schemas.openxmlformats.org/officeDocument/2006/relationships/hyperlink" Target="https://b2beez.ru/images/detailed/204/Z-929-2.jpg" TargetMode="External"/><Relationship Id="rId_hyperlink_6194" Type="http://schemas.openxmlformats.org/officeDocument/2006/relationships/hyperlink" Target="https://b2beez.ru/images/detailed/204/Z-930-6.jpg" TargetMode="External"/><Relationship Id="rId_hyperlink_6195" Type="http://schemas.openxmlformats.org/officeDocument/2006/relationships/hyperlink" Target="https://b2beez.ru/images/detailed/204/Z-931-2.jpg" TargetMode="External"/><Relationship Id="rId_hyperlink_6196" Type="http://schemas.openxmlformats.org/officeDocument/2006/relationships/hyperlink" Target="https://b2beez.ru/images/detailed/204/Z-932-2.jpg" TargetMode="External"/><Relationship Id="rId_hyperlink_6197" Type="http://schemas.openxmlformats.org/officeDocument/2006/relationships/hyperlink" Target="https://b2beez.ru/images/detailed/204/Z-933-2.jpg" TargetMode="External"/><Relationship Id="rId_hyperlink_6198" Type="http://schemas.openxmlformats.org/officeDocument/2006/relationships/hyperlink" Target="https://b2beez.ru/images/detailed/0/" TargetMode="External"/><Relationship Id="rId_hyperlink_6199" Type="http://schemas.openxmlformats.org/officeDocument/2006/relationships/hyperlink" Target="https://b2beez.ru/images/detailed/173/6161240713.jpg" TargetMode="External"/><Relationship Id="rId_hyperlink_6200" Type="http://schemas.openxmlformats.org/officeDocument/2006/relationships/hyperlink" Target="https://b2beez.ru/images/detailed/204/Z-4246-6.jpg" TargetMode="External"/><Relationship Id="rId_hyperlink_6201" Type="http://schemas.openxmlformats.org/officeDocument/2006/relationships/hyperlink" Target="https://b2beez.ru/images/detailed/188/orig_cjjt-3q.jpg" TargetMode="External"/><Relationship Id="rId_hyperlink_6202" Type="http://schemas.openxmlformats.org/officeDocument/2006/relationships/hyperlink" Target="https://b2beez.ru/images/detailed/48/orig_9wjg-li.jpg" TargetMode="External"/><Relationship Id="rId_hyperlink_6203" Type="http://schemas.openxmlformats.org/officeDocument/2006/relationships/hyperlink" Target="https://b2beez.ru/images/detailed/166/orig_4lzz-v6.jpg" TargetMode="External"/><Relationship Id="rId_hyperlink_6204" Type="http://schemas.openxmlformats.org/officeDocument/2006/relationships/hyperlink" Target="https://b2beez.ru/images/detailed/166/orig_6luo-ri.jpg" TargetMode="External"/><Relationship Id="rId_hyperlink_6205" Type="http://schemas.openxmlformats.org/officeDocument/2006/relationships/hyperlink" Target="https://b2beez.ru/images/detailed/166/orig_f5v9-b9.jpg" TargetMode="External"/><Relationship Id="rId_hyperlink_6206" Type="http://schemas.openxmlformats.org/officeDocument/2006/relationships/hyperlink" Target="https://b2beez.ru/images/detailed/166/orig_elk8-a8.jpg" TargetMode="External"/><Relationship Id="rId_hyperlink_6207" Type="http://schemas.openxmlformats.org/officeDocument/2006/relationships/hyperlink" Target="https://b2beez.ru/images/detailed/166/orig_auti-fp.jpg" TargetMode="External"/><Relationship Id="rId_hyperlink_6208" Type="http://schemas.openxmlformats.org/officeDocument/2006/relationships/hyperlink" Target="https://b2beez.ru/images/detailed/166/orig_ygrq-3c.jpg" TargetMode="External"/><Relationship Id="rId_hyperlink_6209" Type="http://schemas.openxmlformats.org/officeDocument/2006/relationships/hyperlink" Target="https://b2beez.ru/images/detailed/166/orig_p6ty-1d.jpg" TargetMode="External"/><Relationship Id="rId_hyperlink_6210" Type="http://schemas.openxmlformats.org/officeDocument/2006/relationships/hyperlink" Target="https://b2beez.ru/images/detailed/175/6894950837.jpg" TargetMode="External"/><Relationship Id="rId_hyperlink_6211" Type="http://schemas.openxmlformats.org/officeDocument/2006/relationships/hyperlink" Target="https://b2beez.ru/images/detailed/166/orig_8fot-9w.jpg" TargetMode="External"/><Relationship Id="rId_hyperlink_6212" Type="http://schemas.openxmlformats.org/officeDocument/2006/relationships/hyperlink" Target="https://b2beez.ru/images/detailed/166/orig_bjdk-eu.jpg" TargetMode="External"/><Relationship Id="rId_hyperlink_6213" Type="http://schemas.openxmlformats.org/officeDocument/2006/relationships/hyperlink" Target="https://b2beez.ru/images/detailed/0/" TargetMode="External"/><Relationship Id="rId_hyperlink_6214" Type="http://schemas.openxmlformats.org/officeDocument/2006/relationships/hyperlink" Target="https://b2beez.ru/images/detailed/0/" TargetMode="External"/><Relationship Id="rId_hyperlink_6215" Type="http://schemas.openxmlformats.org/officeDocument/2006/relationships/hyperlink" Target="https://b2beez.ru/images/detailed/0/" TargetMode="External"/><Relationship Id="rId_hyperlink_6216" Type="http://schemas.openxmlformats.org/officeDocument/2006/relationships/hyperlink" Target="https://b2beez.ru/images/detailed/165/orig_4q1p-70.jpg" TargetMode="External"/><Relationship Id="rId_hyperlink_6217" Type="http://schemas.openxmlformats.org/officeDocument/2006/relationships/hyperlink" Target="https://b2beez.ru/images/detailed/165/7099382570.jpg" TargetMode="External"/><Relationship Id="rId_hyperlink_6218" Type="http://schemas.openxmlformats.org/officeDocument/2006/relationships/hyperlink" Target="https://b2beez.ru/images/detailed/165/7099416945.jpg" TargetMode="External"/><Relationship Id="rId_hyperlink_6219" Type="http://schemas.openxmlformats.org/officeDocument/2006/relationships/hyperlink" Target="https://b2beez.ru/images/detailed/166/orig_up3v-ka.jpg" TargetMode="External"/><Relationship Id="rId_hyperlink_6220" Type="http://schemas.openxmlformats.org/officeDocument/2006/relationships/hyperlink" Target="https://b2beez.ru/images/detailed/166/orig_bb6x-r2.jpg" TargetMode="External"/><Relationship Id="rId_hyperlink_6221" Type="http://schemas.openxmlformats.org/officeDocument/2006/relationships/hyperlink" Target="https://b2beez.ru/images/detailed/166/orig_zgiu-wm.jpg" TargetMode="External"/><Relationship Id="rId_hyperlink_6222" Type="http://schemas.openxmlformats.org/officeDocument/2006/relationships/hyperlink" Target="https://b2beez.ru/images/detailed/166/orig_1kfh-ag.jpg" TargetMode="External"/><Relationship Id="rId_hyperlink_6223" Type="http://schemas.openxmlformats.org/officeDocument/2006/relationships/hyperlink" Target="https://b2beez.ru/images/detailed/166/orig_aijq-qa.jpg" TargetMode="External"/><Relationship Id="rId_hyperlink_6224" Type="http://schemas.openxmlformats.org/officeDocument/2006/relationships/hyperlink" Target="https://b2beez.ru/images/detailed/48/orig_teh5-bz.jpg" TargetMode="External"/><Relationship Id="rId_hyperlink_6225" Type="http://schemas.openxmlformats.org/officeDocument/2006/relationships/hyperlink" Target="https://b2beez.ru/images/detailed/0/" TargetMode="External"/><Relationship Id="rId_hyperlink_6226" Type="http://schemas.openxmlformats.org/officeDocument/2006/relationships/hyperlink" Target="https://b2beez.ru/images/detailed/171/orig_3rqd-n8.jpg" TargetMode="External"/><Relationship Id="rId_hyperlink_6227" Type="http://schemas.openxmlformats.org/officeDocument/2006/relationships/hyperlink" Target="https://b2beez.ru/images/detailed/171/7163314501.jpg" TargetMode="External"/><Relationship Id="rId_hyperlink_6228" Type="http://schemas.openxmlformats.org/officeDocument/2006/relationships/hyperlink" Target="https://b2beez.ru/images/detailed/0/" TargetMode="External"/><Relationship Id="rId_hyperlink_6229" Type="http://schemas.openxmlformats.org/officeDocument/2006/relationships/hyperlink" Target="https://b2beez.ru/images/detailed/204/O-1380.jpg" TargetMode="External"/><Relationship Id="rId_hyperlink_6230" Type="http://schemas.openxmlformats.org/officeDocument/2006/relationships/hyperlink" Target="https://b2beez.ru/images/detailed/0/" TargetMode="External"/><Relationship Id="rId_hyperlink_6231" Type="http://schemas.openxmlformats.org/officeDocument/2006/relationships/hyperlink" Target="https://b2beez.ru/images/detailed/0/" TargetMode="External"/><Relationship Id="rId_hyperlink_6232" Type="http://schemas.openxmlformats.org/officeDocument/2006/relationships/hyperlink" Target="https://b2beez.ru/images/detailed/204/O-1405.jpg" TargetMode="External"/><Relationship Id="rId_hyperlink_6233" Type="http://schemas.openxmlformats.org/officeDocument/2006/relationships/hyperlink" Target="https://b2beez.ru/images/detailed/0/" TargetMode="External"/><Relationship Id="rId_hyperlink_6234" Type="http://schemas.openxmlformats.org/officeDocument/2006/relationships/hyperlink" Target="https://b2beez.ru/images/detailed/0/" TargetMode="External"/><Relationship Id="rId_hyperlink_6235" Type="http://schemas.openxmlformats.org/officeDocument/2006/relationships/hyperlink" Target="https://b2beez.ru/images/detailed/0/" TargetMode="External"/><Relationship Id="rId_hyperlink_6236" Type="http://schemas.openxmlformats.org/officeDocument/2006/relationships/hyperlink" Target="https://b2beez.ru/images/detailed/0/" TargetMode="External"/><Relationship Id="rId_hyperlink_6237" Type="http://schemas.openxmlformats.org/officeDocument/2006/relationships/hyperlink" Target="https://b2beez.ru/images/detailed/0/" TargetMode="External"/><Relationship Id="rId_hyperlink_6238" Type="http://schemas.openxmlformats.org/officeDocument/2006/relationships/hyperlink" Target="https://b2beez.ru/images/detailed/0/" TargetMode="External"/><Relationship Id="rId_hyperlink_6239" Type="http://schemas.openxmlformats.org/officeDocument/2006/relationships/hyperlink" Target="https://b2beez.ru/images/detailed/165/6671405947_x8pi-xx.jpg" TargetMode="External"/><Relationship Id="rId_hyperlink_6240" Type="http://schemas.openxmlformats.org/officeDocument/2006/relationships/hyperlink" Target="https://b2beez.ru/images/detailed/165/6671405947_atsa-fr.jpg" TargetMode="External"/><Relationship Id="rId_hyperlink_6241" Type="http://schemas.openxmlformats.org/officeDocument/2006/relationships/hyperlink" Target="https://b2beez.ru/images/detailed/165/6671405947_meku-ft.jpg" TargetMode="External"/><Relationship Id="rId_hyperlink_6242" Type="http://schemas.openxmlformats.org/officeDocument/2006/relationships/hyperlink" Target="https://b2beez.ru/images/detailed/165/6671405947_25nl-a4.jpg" TargetMode="External"/><Relationship Id="rId_hyperlink_6243" Type="http://schemas.openxmlformats.org/officeDocument/2006/relationships/hyperlink" Target="https://b2beez.ru/images/detailed/0/" TargetMode="External"/><Relationship Id="rId_hyperlink_6244" Type="http://schemas.openxmlformats.org/officeDocument/2006/relationships/hyperlink" Target="https://b2beez.ru/images/detailed/0/" TargetMode="External"/><Relationship Id="rId_hyperlink_6245" Type="http://schemas.openxmlformats.org/officeDocument/2006/relationships/hyperlink" Target="https://b2beez.ru/images/detailed/0/" TargetMode="External"/><Relationship Id="rId_hyperlink_6246" Type="http://schemas.openxmlformats.org/officeDocument/2006/relationships/hyperlink" Target="https://b2beez.ru/images/detailed/204/O-21.jpg" TargetMode="External"/><Relationship Id="rId_hyperlink_6247" Type="http://schemas.openxmlformats.org/officeDocument/2006/relationships/hyperlink" Target="https://b2beez.ru/images/detailed/204/O-2568.jpg" TargetMode="External"/><Relationship Id="rId_hyperlink_6248" Type="http://schemas.openxmlformats.org/officeDocument/2006/relationships/hyperlink" Target="https://b2beez.ru/images/detailed/204/O-2569.jpg" TargetMode="External"/><Relationship Id="rId_hyperlink_6249" Type="http://schemas.openxmlformats.org/officeDocument/2006/relationships/hyperlink" Target="https://b2beez.ru/images/detailed/0/" TargetMode="External"/><Relationship Id="rId_hyperlink_6250" Type="http://schemas.openxmlformats.org/officeDocument/2006/relationships/hyperlink" Target="https://b2beez.ru/images/detailed/172/6495839146.jpg" TargetMode="External"/><Relationship Id="rId_hyperlink_6251" Type="http://schemas.openxmlformats.org/officeDocument/2006/relationships/hyperlink" Target="https://b2beez.ru/images/detailed/0/" TargetMode="External"/><Relationship Id="rId_hyperlink_6252" Type="http://schemas.openxmlformats.org/officeDocument/2006/relationships/hyperlink" Target="https://b2beez.ru/images/detailed/172/6473571641.jpg" TargetMode="External"/><Relationship Id="rId_hyperlink_6253" Type="http://schemas.openxmlformats.org/officeDocument/2006/relationships/hyperlink" Target="https://b2beez.ru/images/detailed/204/O-8.jpg" TargetMode="External"/><Relationship Id="rId_hyperlink_6254" Type="http://schemas.openxmlformats.org/officeDocument/2006/relationships/hyperlink" Target="https://b2beez.ru/images/detailed/204/O-17.jpg" TargetMode="External"/><Relationship Id="rId_hyperlink_6255" Type="http://schemas.openxmlformats.org/officeDocument/2006/relationships/hyperlink" Target="https://b2beez.ru/images/detailed/0/" TargetMode="External"/><Relationship Id="rId_hyperlink_6256" Type="http://schemas.openxmlformats.org/officeDocument/2006/relationships/hyperlink" Target="https://b2beez.ru/images/detailed/204/O-19.jpg" TargetMode="External"/><Relationship Id="rId_hyperlink_6257" Type="http://schemas.openxmlformats.org/officeDocument/2006/relationships/hyperlink" Target="https://b2beez.ru/images/detailed/0/" TargetMode="External"/><Relationship Id="rId_hyperlink_6258" Type="http://schemas.openxmlformats.org/officeDocument/2006/relationships/hyperlink" Target="https://b2beez.ru/images/detailed/0/" TargetMode="External"/><Relationship Id="rId_hyperlink_6259" Type="http://schemas.openxmlformats.org/officeDocument/2006/relationships/hyperlink" Target="https://b2beez.ru/images/detailed/171/6117393738.jpg" TargetMode="External"/><Relationship Id="rId_hyperlink_6260" Type="http://schemas.openxmlformats.org/officeDocument/2006/relationships/hyperlink" Target="https://b2beez.ru/images/detailed/172/6912120270.jpg" TargetMode="External"/><Relationship Id="rId_hyperlink_6261" Type="http://schemas.openxmlformats.org/officeDocument/2006/relationships/hyperlink" Target="https://b2beez.ru/images/detailed/172/6671821784.jpg" TargetMode="External"/><Relationship Id="rId_hyperlink_6262" Type="http://schemas.openxmlformats.org/officeDocument/2006/relationships/hyperlink" Target="https://b2beez.ru/images/detailed/48/6167480298_l5lf-ct.jpg" TargetMode="External"/><Relationship Id="rId_hyperlink_6263" Type="http://schemas.openxmlformats.org/officeDocument/2006/relationships/hyperlink" Target="https://b2beez.ru/images/detailed/48/orig_dg52-oh.jpg" TargetMode="External"/><Relationship Id="rId_hyperlink_6264" Type="http://schemas.openxmlformats.org/officeDocument/2006/relationships/hyperlink" Target="https://b2beez.ru/images/detailed/171/7035676668.jpg" TargetMode="External"/><Relationship Id="rId_hyperlink_6265" Type="http://schemas.openxmlformats.org/officeDocument/2006/relationships/hyperlink" Target="https://b2beez.ru/images/detailed/172/orig_yaj3-vj.jpg" TargetMode="External"/><Relationship Id="rId_hyperlink_6266" Type="http://schemas.openxmlformats.org/officeDocument/2006/relationships/hyperlink" Target="https://b2beez.ru/images/detailed/171/7035662926.jpg" TargetMode="External"/><Relationship Id="rId_hyperlink_6267" Type="http://schemas.openxmlformats.org/officeDocument/2006/relationships/hyperlink" Target="https://b2beez.ru/images/detailed/172/orig_uhxk-iw.jpg" TargetMode="External"/><Relationship Id="rId_hyperlink_6268" Type="http://schemas.openxmlformats.org/officeDocument/2006/relationships/hyperlink" Target="https://b2beez.ru/images/detailed/172/orig_rj1b-2y.jpg" TargetMode="External"/><Relationship Id="rId_hyperlink_6269" Type="http://schemas.openxmlformats.org/officeDocument/2006/relationships/hyperlink" Target="https://b2beez.ru/images/detailed/172/orig_iv7o-ol.jpg" TargetMode="External"/><Relationship Id="rId_hyperlink_6270" Type="http://schemas.openxmlformats.org/officeDocument/2006/relationships/hyperlink" Target="https://b2beez.ru/images/detailed/172/6352298178.jpg" TargetMode="External"/><Relationship Id="rId_hyperlink_6271" Type="http://schemas.openxmlformats.org/officeDocument/2006/relationships/hyperlink" Target="https://b2beez.ru/images/detailed/171/orig_x6qk-jm.jpg" TargetMode="External"/><Relationship Id="rId_hyperlink_6272" Type="http://schemas.openxmlformats.org/officeDocument/2006/relationships/hyperlink" Target="https://b2beez.ru/images/detailed/172/orig_2q7c-s9.jpg" TargetMode="External"/><Relationship Id="rId_hyperlink_6273" Type="http://schemas.openxmlformats.org/officeDocument/2006/relationships/hyperlink" Target="https://b2beez.ru/images/detailed/172/orig_kdgu-uw.jpg" TargetMode="External"/><Relationship Id="rId_hyperlink_6274" Type="http://schemas.openxmlformats.org/officeDocument/2006/relationships/hyperlink" Target="https://b2beez.ru/images/detailed/172/orig_gdxr-f2.jpg" TargetMode="External"/><Relationship Id="rId_hyperlink_6275" Type="http://schemas.openxmlformats.org/officeDocument/2006/relationships/hyperlink" Target="https://b2beez.ru/images/detailed/172/orig_pgyg-km.jpg" TargetMode="External"/><Relationship Id="rId_hyperlink_6276" Type="http://schemas.openxmlformats.org/officeDocument/2006/relationships/hyperlink" Target="https://b2beez.ru/images/detailed/171/orig_28rc-3j.jpg" TargetMode="External"/><Relationship Id="rId_hyperlink_6277" Type="http://schemas.openxmlformats.org/officeDocument/2006/relationships/hyperlink" Target="https://b2beez.ru/images/detailed/171/orig_la4q-n8.jpg" TargetMode="External"/><Relationship Id="rId_hyperlink_6278" Type="http://schemas.openxmlformats.org/officeDocument/2006/relationships/hyperlink" Target="https://b2beez.ru/images/detailed/172/7035680387.jpg" TargetMode="External"/><Relationship Id="rId_hyperlink_6279" Type="http://schemas.openxmlformats.org/officeDocument/2006/relationships/hyperlink" Target="https://b2beez.ru/images/detailed/0/" TargetMode="External"/><Relationship Id="rId_hyperlink_6280" Type="http://schemas.openxmlformats.org/officeDocument/2006/relationships/hyperlink" Target="https://b2beez.ru/images/detailed/171/7092650970.jpg" TargetMode="External"/><Relationship Id="rId_hyperlink_6281" Type="http://schemas.openxmlformats.org/officeDocument/2006/relationships/hyperlink" Target="https://b2beez.ru/images/detailed/171/6346321574.jpg" TargetMode="External"/><Relationship Id="rId_hyperlink_6282" Type="http://schemas.openxmlformats.org/officeDocument/2006/relationships/hyperlink" Target="https://b2beez.ru/images/detailed/172/6346319845.jpg" TargetMode="External"/><Relationship Id="rId_hyperlink_6283" Type="http://schemas.openxmlformats.org/officeDocument/2006/relationships/hyperlink" Target="https://b2beez.ru/images/detailed/171/6346307854.jpg" TargetMode="External"/><Relationship Id="rId_hyperlink_6284" Type="http://schemas.openxmlformats.org/officeDocument/2006/relationships/hyperlink" Target="https://b2beez.ru/images/detailed/171/6346320453.jpg" TargetMode="External"/><Relationship Id="rId_hyperlink_6285" Type="http://schemas.openxmlformats.org/officeDocument/2006/relationships/hyperlink" Target="https://b2beez.ru/images/detailed/171/orig_byvp-in.jpg" TargetMode="External"/><Relationship Id="rId_hyperlink_6286" Type="http://schemas.openxmlformats.org/officeDocument/2006/relationships/hyperlink" Target="https://b2beez.ru/images/detailed/172/6346321864.jpg" TargetMode="External"/><Relationship Id="rId_hyperlink_6287" Type="http://schemas.openxmlformats.org/officeDocument/2006/relationships/hyperlink" Target="https://b2beez.ru/images/detailed/172/6346320497.jpg" TargetMode="External"/><Relationship Id="rId_hyperlink_6288" Type="http://schemas.openxmlformats.org/officeDocument/2006/relationships/hyperlink" Target="https://b2beez.ru/images/detailed/172/6346320127.jpg" TargetMode="External"/><Relationship Id="rId_hyperlink_6289" Type="http://schemas.openxmlformats.org/officeDocument/2006/relationships/hyperlink" Target="https://b2beez.ru/images/detailed/172/6346321470.jpg" TargetMode="External"/><Relationship Id="rId_hyperlink_6290" Type="http://schemas.openxmlformats.org/officeDocument/2006/relationships/hyperlink" Target="https://b2beez.ru/images/detailed/172/6346321554.jpg" TargetMode="External"/><Relationship Id="rId_hyperlink_6291" Type="http://schemas.openxmlformats.org/officeDocument/2006/relationships/hyperlink" Target="https://b2beez.ru/images/detailed/172/6346321788.jpg" TargetMode="External"/><Relationship Id="rId_hyperlink_6292" Type="http://schemas.openxmlformats.org/officeDocument/2006/relationships/hyperlink" Target="https://b2beez.ru/images/detailed/172/6346321762.jpg" TargetMode="External"/><Relationship Id="rId_hyperlink_6293" Type="http://schemas.openxmlformats.org/officeDocument/2006/relationships/hyperlink" Target="https://b2beez.ru/images/detailed/171/6346321330.jpg" TargetMode="External"/><Relationship Id="rId_hyperlink_6294" Type="http://schemas.openxmlformats.org/officeDocument/2006/relationships/hyperlink" Target="https://b2beez.ru/images/detailed/171/6346319919.jpg" TargetMode="External"/><Relationship Id="rId_hyperlink_6295" Type="http://schemas.openxmlformats.org/officeDocument/2006/relationships/hyperlink" Target="https://b2beez.ru/images/detailed/0/" TargetMode="External"/><Relationship Id="rId_hyperlink_6296" Type="http://schemas.openxmlformats.org/officeDocument/2006/relationships/hyperlink" Target="https://b2beez.ru/images/detailed/0/" TargetMode="External"/><Relationship Id="rId_hyperlink_6297" Type="http://schemas.openxmlformats.org/officeDocument/2006/relationships/hyperlink" Target="https://b2beez.ru/images/detailed/172/6362027897.jpg" TargetMode="External"/><Relationship Id="rId_hyperlink_6298" Type="http://schemas.openxmlformats.org/officeDocument/2006/relationships/hyperlink" Target="https://b2beez.ru/images/detailed/172/6362030239.jpg" TargetMode="External"/><Relationship Id="rId_hyperlink_6299" Type="http://schemas.openxmlformats.org/officeDocument/2006/relationships/hyperlink" Target="https://b2beez.ru/images/detailed/172/6346321829.jpg" TargetMode="External"/><Relationship Id="rId_hyperlink_6300" Type="http://schemas.openxmlformats.org/officeDocument/2006/relationships/hyperlink" Target="https://b2beez.ru/images/detailed/171/6346321704.jpg" TargetMode="External"/><Relationship Id="rId_hyperlink_6301" Type="http://schemas.openxmlformats.org/officeDocument/2006/relationships/hyperlink" Target="https://b2beez.ru/images/detailed/172/6346307891.jpg" TargetMode="External"/><Relationship Id="rId_hyperlink_6302" Type="http://schemas.openxmlformats.org/officeDocument/2006/relationships/hyperlink" Target="https://b2beez.ru/images/detailed/172/6346321440.jpg" TargetMode="External"/><Relationship Id="rId_hyperlink_6303" Type="http://schemas.openxmlformats.org/officeDocument/2006/relationships/hyperlink" Target="https://b2beez.ru/images/detailed/172/orig_lqdx-s5.jpg" TargetMode="External"/><Relationship Id="rId_hyperlink_6304" Type="http://schemas.openxmlformats.org/officeDocument/2006/relationships/hyperlink" Target="https://b2beez.ru/images/detailed/172/orig_9mug-40.jpg" TargetMode="External"/><Relationship Id="rId_hyperlink_6305" Type="http://schemas.openxmlformats.org/officeDocument/2006/relationships/hyperlink" Target="https://b2beez.ru/images/detailed/172/orig_0d88-vr.jpg" TargetMode="External"/><Relationship Id="rId_hyperlink_6306" Type="http://schemas.openxmlformats.org/officeDocument/2006/relationships/hyperlink" Target="https://b2beez.ru/images/detailed/172/orig_roqj-do.jpg" TargetMode="External"/><Relationship Id="rId_hyperlink_6307" Type="http://schemas.openxmlformats.org/officeDocument/2006/relationships/hyperlink" Target="https://b2beez.ru/images/detailed/172/orig_5w90-n1.jpg" TargetMode="External"/><Relationship Id="rId_hyperlink_6308" Type="http://schemas.openxmlformats.org/officeDocument/2006/relationships/hyperlink" Target="https://b2beez.ru/images/detailed/171/6362027888.jpg" TargetMode="External"/><Relationship Id="rId_hyperlink_6309" Type="http://schemas.openxmlformats.org/officeDocument/2006/relationships/hyperlink" Target="https://b2beez.ru/images/detailed/171/orig_psbz-4x.jpg" TargetMode="External"/><Relationship Id="rId_hyperlink_6310" Type="http://schemas.openxmlformats.org/officeDocument/2006/relationships/hyperlink" Target="https://b2beez.ru/images/detailed/171/6671308589.jpg" TargetMode="External"/><Relationship Id="rId_hyperlink_6311" Type="http://schemas.openxmlformats.org/officeDocument/2006/relationships/hyperlink" Target="https://b2beez.ru/images/detailed/171/6671309313.jpg" TargetMode="External"/><Relationship Id="rId_hyperlink_6312" Type="http://schemas.openxmlformats.org/officeDocument/2006/relationships/hyperlink" Target="https://b2beez.ru/images/detailed/172/orig_hhxt-p3.jpg" TargetMode="External"/><Relationship Id="rId_hyperlink_6313" Type="http://schemas.openxmlformats.org/officeDocument/2006/relationships/hyperlink" Target="https://b2beez.ru/images/detailed/171/orig_034m-aq.jpg" TargetMode="External"/><Relationship Id="rId_hyperlink_6314" Type="http://schemas.openxmlformats.org/officeDocument/2006/relationships/hyperlink" Target="https://b2beez.ru/images/detailed/171/orig_aanw-oz.jpg" TargetMode="External"/><Relationship Id="rId_hyperlink_6315" Type="http://schemas.openxmlformats.org/officeDocument/2006/relationships/hyperlink" Target="https://b2beez.ru/images/detailed/171/orig_gjan-oj.jpg" TargetMode="External"/><Relationship Id="rId_hyperlink_6316" Type="http://schemas.openxmlformats.org/officeDocument/2006/relationships/hyperlink" Target="https://b2beez.ru/images/detailed/171/orig_tb5i-54.jpg" TargetMode="External"/><Relationship Id="rId_hyperlink_6317" Type="http://schemas.openxmlformats.org/officeDocument/2006/relationships/hyperlink" Target="https://b2beez.ru/images/detailed/171/7035678694.jpg" TargetMode="External"/><Relationship Id="rId_hyperlink_6318" Type="http://schemas.openxmlformats.org/officeDocument/2006/relationships/hyperlink" Target="https://b2beez.ru/images/detailed/172/7035679741.jpg" TargetMode="External"/><Relationship Id="rId_hyperlink_6319" Type="http://schemas.openxmlformats.org/officeDocument/2006/relationships/hyperlink" Target="https://b2beez.ru/images/detailed/0/" TargetMode="External"/><Relationship Id="rId_hyperlink_6320" Type="http://schemas.openxmlformats.org/officeDocument/2006/relationships/hyperlink" Target="https://b2beez.ru/images/detailed/48/6118128131_vbc8-2u.jpg" TargetMode="External"/><Relationship Id="rId_hyperlink_6321" Type="http://schemas.openxmlformats.org/officeDocument/2006/relationships/hyperlink" Target="https://b2beez.ru/images/detailed/204/7183_139-5.jpg" TargetMode="External"/><Relationship Id="rId_hyperlink_6322" Type="http://schemas.openxmlformats.org/officeDocument/2006/relationships/hyperlink" Target="https://b2beez.ru/images/detailed/48/6352076616_cu9k-oe.jpg" TargetMode="External"/><Relationship Id="rId_hyperlink_6323" Type="http://schemas.openxmlformats.org/officeDocument/2006/relationships/hyperlink" Target="https://b2beez.ru/images/detailed/172/orig_odjh-69.jpg" TargetMode="External"/><Relationship Id="rId_hyperlink_6324" Type="http://schemas.openxmlformats.org/officeDocument/2006/relationships/hyperlink" Target="https://b2beez.ru/images/detailed/172/6346319962.jpg" TargetMode="External"/><Relationship Id="rId_hyperlink_6325" Type="http://schemas.openxmlformats.org/officeDocument/2006/relationships/hyperlink" Target="https://b2beez.ru/images/detailed/172/6118128145.jpg" TargetMode="External"/><Relationship Id="rId_hyperlink_6326" Type="http://schemas.openxmlformats.org/officeDocument/2006/relationships/hyperlink" Target="https://b2beez.ru/images/detailed/172/orig_edpo-7o.jpg" TargetMode="External"/><Relationship Id="rId_hyperlink_6327" Type="http://schemas.openxmlformats.org/officeDocument/2006/relationships/hyperlink" Target="https://b2beez.ru/images/detailed/172/6346321664.jpg" TargetMode="External"/><Relationship Id="rId_hyperlink_6328" Type="http://schemas.openxmlformats.org/officeDocument/2006/relationships/hyperlink" Target="https://b2beez.ru/images/detailed/172/6362029888.jpg" TargetMode="External"/><Relationship Id="rId_hyperlink_6329" Type="http://schemas.openxmlformats.org/officeDocument/2006/relationships/hyperlink" Target="https://b2beez.ru/images/detailed/175/orig_w1mi-lg.jpg" TargetMode="External"/><Relationship Id="rId_hyperlink_6330" Type="http://schemas.openxmlformats.org/officeDocument/2006/relationships/hyperlink" Target="https://b2beez.ru/images/detailed/174/7161576357.jpg" TargetMode="External"/><Relationship Id="rId_hyperlink_6331" Type="http://schemas.openxmlformats.org/officeDocument/2006/relationships/hyperlink" Target="https://b2beez.ru/images/detailed/157/orig_tpxb-i5.jpg" TargetMode="External"/><Relationship Id="rId_hyperlink_6332" Type="http://schemas.openxmlformats.org/officeDocument/2006/relationships/hyperlink" Target="https://b2beez.ru/images/detailed/174/orig_clkv-8n.jpg" TargetMode="External"/><Relationship Id="rId_hyperlink_6333" Type="http://schemas.openxmlformats.org/officeDocument/2006/relationships/hyperlink" Target="https://b2beez.ru/images/detailed/174/orig_0qqh-p3.jpg" TargetMode="External"/><Relationship Id="rId_hyperlink_6334" Type="http://schemas.openxmlformats.org/officeDocument/2006/relationships/hyperlink" Target="https://b2beez.ru/images/detailed/174/orig_l97j-hr.jpg" TargetMode="External"/><Relationship Id="rId_hyperlink_6335" Type="http://schemas.openxmlformats.org/officeDocument/2006/relationships/hyperlink" Target="https://b2beez.ru/images/detailed/174/orig_0qqe-4j.jpg" TargetMode="External"/><Relationship Id="rId_hyperlink_6336" Type="http://schemas.openxmlformats.org/officeDocument/2006/relationships/hyperlink" Target="https://b2beez.ru/images/detailed/174/6286958205.jpg" TargetMode="External"/><Relationship Id="rId_hyperlink_6337" Type="http://schemas.openxmlformats.org/officeDocument/2006/relationships/hyperlink" Target="https://b2beez.ru/images/detailed/173/6322032857.jpg" TargetMode="External"/><Relationship Id="rId_hyperlink_6338" Type="http://schemas.openxmlformats.org/officeDocument/2006/relationships/hyperlink" Target="https://b2beez.ru/images/detailed/175/6286958177.jpg" TargetMode="External"/><Relationship Id="rId_hyperlink_6339" Type="http://schemas.openxmlformats.org/officeDocument/2006/relationships/hyperlink" Target="https://b2beez.ru/images/detailed/173/6459369783.jpg" TargetMode="External"/><Relationship Id="rId_hyperlink_6340" Type="http://schemas.openxmlformats.org/officeDocument/2006/relationships/hyperlink" Target="https://b2beez.ru/images/detailed/173/6459374322.jpg" TargetMode="External"/><Relationship Id="rId_hyperlink_6341" Type="http://schemas.openxmlformats.org/officeDocument/2006/relationships/hyperlink" Target="https://b2beez.ru/images/detailed/173/orig_908n-kx.jpg" TargetMode="External"/><Relationship Id="rId_hyperlink_6342" Type="http://schemas.openxmlformats.org/officeDocument/2006/relationships/hyperlink" Target="https://b2beez.ru/images/detailed/175/orig_higk-lq.jpg" TargetMode="External"/><Relationship Id="rId_hyperlink_6343" Type="http://schemas.openxmlformats.org/officeDocument/2006/relationships/hyperlink" Target="https://b2beez.ru/images/detailed/173/orig_03nm-lk.jpg" TargetMode="External"/><Relationship Id="rId_hyperlink_6344" Type="http://schemas.openxmlformats.org/officeDocument/2006/relationships/hyperlink" Target="https://b2beez.ru/images/detailed/174/orig_fiyl-c2.jpg" TargetMode="External"/><Relationship Id="rId_hyperlink_6345" Type="http://schemas.openxmlformats.org/officeDocument/2006/relationships/hyperlink" Target="https://b2beez.ru/images/detailed/175/6099698952.jpg" TargetMode="External"/><Relationship Id="rId_hyperlink_6346" Type="http://schemas.openxmlformats.org/officeDocument/2006/relationships/hyperlink" Target="https://b2beez.ru/images/detailed/172/orig_8j45-or.jpg" TargetMode="External"/><Relationship Id="rId_hyperlink_6347" Type="http://schemas.openxmlformats.org/officeDocument/2006/relationships/hyperlink" Target="https://b2beez.ru/images/detailed/173/orig_rvw1-ec.jpg" TargetMode="External"/><Relationship Id="rId_hyperlink_6348" Type="http://schemas.openxmlformats.org/officeDocument/2006/relationships/hyperlink" Target="https://b2beez.ru/images/detailed/173/6099698922.jpg" TargetMode="External"/><Relationship Id="rId_hyperlink_6349" Type="http://schemas.openxmlformats.org/officeDocument/2006/relationships/hyperlink" Target="https://b2beez.ru/images/detailed/173/6140083287.jpg" TargetMode="External"/><Relationship Id="rId_hyperlink_6350" Type="http://schemas.openxmlformats.org/officeDocument/2006/relationships/hyperlink" Target="https://b2beez.ru/images/detailed/174/6140083287_3zgx-fe.jpg" TargetMode="External"/><Relationship Id="rId_hyperlink_6351" Type="http://schemas.openxmlformats.org/officeDocument/2006/relationships/hyperlink" Target="https://b2beez.ru/images/detailed/174/6286958186.jpg" TargetMode="External"/><Relationship Id="rId_hyperlink_6352" Type="http://schemas.openxmlformats.org/officeDocument/2006/relationships/hyperlink" Target="https://b2beez.ru/images/detailed/174/6286958189.jpg" TargetMode="External"/><Relationship Id="rId_hyperlink_6353" Type="http://schemas.openxmlformats.org/officeDocument/2006/relationships/hyperlink" Target="https://b2beez.ru/images/detailed/174/6286958186_ekt8-cm.jpg" TargetMode="External"/><Relationship Id="rId_hyperlink_6354" Type="http://schemas.openxmlformats.org/officeDocument/2006/relationships/hyperlink" Target="https://b2beez.ru/images/detailed/174/6286958201.jpg" TargetMode="External"/><Relationship Id="rId_hyperlink_6355" Type="http://schemas.openxmlformats.org/officeDocument/2006/relationships/hyperlink" Target="https://b2beez.ru/images/detailed/174/6286958194.jpg" TargetMode="External"/><Relationship Id="rId_hyperlink_6356" Type="http://schemas.openxmlformats.org/officeDocument/2006/relationships/hyperlink" Target="https://b2beez.ru/images/detailed/174/7161573247.jpg" TargetMode="External"/><Relationship Id="rId_hyperlink_6357" Type="http://schemas.openxmlformats.org/officeDocument/2006/relationships/hyperlink" Target="https://b2beez.ru/images/detailed/174/6369246221.jpg" TargetMode="External"/><Relationship Id="rId_hyperlink_6358" Type="http://schemas.openxmlformats.org/officeDocument/2006/relationships/hyperlink" Target="https://b2beez.ru/images/detailed/173/6286958220.jpg" TargetMode="External"/><Relationship Id="rId_hyperlink_6359" Type="http://schemas.openxmlformats.org/officeDocument/2006/relationships/hyperlink" Target="https://b2beez.ru/images/detailed/173/6286958207.jpg" TargetMode="External"/><Relationship Id="rId_hyperlink_6360" Type="http://schemas.openxmlformats.org/officeDocument/2006/relationships/hyperlink" Target="https://b2beez.ru/images/detailed/173/6099698910.jpg" TargetMode="External"/><Relationship Id="rId_hyperlink_6361" Type="http://schemas.openxmlformats.org/officeDocument/2006/relationships/hyperlink" Target="https://b2beez.ru/images/detailed/173/6286958198.jpg" TargetMode="External"/><Relationship Id="rId_hyperlink_6362" Type="http://schemas.openxmlformats.org/officeDocument/2006/relationships/hyperlink" Target="https://b2beez.ru/images/detailed/174/orig_rhus-97.jpg" TargetMode="External"/><Relationship Id="rId_hyperlink_6363" Type="http://schemas.openxmlformats.org/officeDocument/2006/relationships/hyperlink" Target="https://b2beez.ru/images/detailed/174/orig_3gp2-dp.jpg" TargetMode="External"/><Relationship Id="rId_hyperlink_6364" Type="http://schemas.openxmlformats.org/officeDocument/2006/relationships/hyperlink" Target="https://b2beez.ru/images/detailed/174/orig_3mql-xe.jpg" TargetMode="External"/><Relationship Id="rId_hyperlink_6365" Type="http://schemas.openxmlformats.org/officeDocument/2006/relationships/hyperlink" Target="https://b2beez.ru/images/detailed/174/orig_wdln-x6.jpg" TargetMode="External"/><Relationship Id="rId_hyperlink_6366" Type="http://schemas.openxmlformats.org/officeDocument/2006/relationships/hyperlink" Target="https://b2beez.ru/images/detailed/174/orig_qpvb-u3.jpg" TargetMode="External"/><Relationship Id="rId_hyperlink_6367" Type="http://schemas.openxmlformats.org/officeDocument/2006/relationships/hyperlink" Target="https://b2beez.ru/images/detailed/174/orig_ug2f-up.jpg" TargetMode="External"/><Relationship Id="rId_hyperlink_6368" Type="http://schemas.openxmlformats.org/officeDocument/2006/relationships/hyperlink" Target="https://b2beez.ru/images/detailed/174/orig_xwmo-ki.jpg" TargetMode="External"/><Relationship Id="rId_hyperlink_6369" Type="http://schemas.openxmlformats.org/officeDocument/2006/relationships/hyperlink" Target="https://b2beez.ru/images/detailed/174/orig_br14-92.jpg" TargetMode="External"/><Relationship Id="rId_hyperlink_6370" Type="http://schemas.openxmlformats.org/officeDocument/2006/relationships/hyperlink" Target="https://b2beez.ru/images/detailed/174/orig_py1o-7c.jpg" TargetMode="External"/><Relationship Id="rId_hyperlink_6371" Type="http://schemas.openxmlformats.org/officeDocument/2006/relationships/hyperlink" Target="https://b2beez.ru/images/detailed/174/orig_yit6-98.jpg" TargetMode="External"/><Relationship Id="rId_hyperlink_6372" Type="http://schemas.openxmlformats.org/officeDocument/2006/relationships/hyperlink" Target="https://b2beez.ru/images/detailed/174/7161567767.jpg" TargetMode="External"/><Relationship Id="rId_hyperlink_6373" Type="http://schemas.openxmlformats.org/officeDocument/2006/relationships/hyperlink" Target="https://b2beez.ru/images/detailed/174/7161569431.jpg" TargetMode="External"/><Relationship Id="rId_hyperlink_6374" Type="http://schemas.openxmlformats.org/officeDocument/2006/relationships/hyperlink" Target="https://b2beez.ru/images/detailed/174/7161571462.jpg" TargetMode="External"/><Relationship Id="rId_hyperlink_6375" Type="http://schemas.openxmlformats.org/officeDocument/2006/relationships/hyperlink" Target="https://b2beez.ru/images/detailed/174/6286958175.jpg" TargetMode="External"/><Relationship Id="rId_hyperlink_6376" Type="http://schemas.openxmlformats.org/officeDocument/2006/relationships/hyperlink" Target="https://b2beez.ru/images/detailed/174/6286958175_t8ak-k3.jpg" TargetMode="External"/><Relationship Id="rId_hyperlink_6377" Type="http://schemas.openxmlformats.org/officeDocument/2006/relationships/hyperlink" Target="https://b2beez.ru/images/detailed/174/6286958175_yits-6x.jpg" TargetMode="External"/><Relationship Id="rId_hyperlink_6378" Type="http://schemas.openxmlformats.org/officeDocument/2006/relationships/hyperlink" Target="https://b2beez.ru/images/detailed/174/6286958184.jpg" TargetMode="External"/><Relationship Id="rId_hyperlink_6379" Type="http://schemas.openxmlformats.org/officeDocument/2006/relationships/hyperlink" Target="https://b2beez.ru/images/detailed/174/6286958179.jpg" TargetMode="External"/><Relationship Id="rId_hyperlink_6380" Type="http://schemas.openxmlformats.org/officeDocument/2006/relationships/hyperlink" Target="https://b2beez.ru/images/detailed/174/6286958179_2xw2-n0.jpg" TargetMode="External"/><Relationship Id="rId_hyperlink_6381" Type="http://schemas.openxmlformats.org/officeDocument/2006/relationships/hyperlink" Target="https://b2beez.ru/images/detailed/175/6286958182_ym2y-u6.jpg" TargetMode="External"/><Relationship Id="rId_hyperlink_6382" Type="http://schemas.openxmlformats.org/officeDocument/2006/relationships/hyperlink" Target="https://b2beez.ru/images/detailed/175/orig_10wf-h2.jpg" TargetMode="External"/><Relationship Id="rId_hyperlink_6383" Type="http://schemas.openxmlformats.org/officeDocument/2006/relationships/hyperlink" Target="https://b2beez.ru/images/detailed/175/orig_d7y4-kx.jpg" TargetMode="External"/><Relationship Id="rId_hyperlink_6384" Type="http://schemas.openxmlformats.org/officeDocument/2006/relationships/hyperlink" Target="https://b2beez.ru/images/detailed/175/orig_naag-s3.jpg" TargetMode="External"/><Relationship Id="rId_hyperlink_6385" Type="http://schemas.openxmlformats.org/officeDocument/2006/relationships/hyperlink" Target="https://b2beez.ru/images/detailed/175/orig_m5iz-cv.jpg" TargetMode="External"/><Relationship Id="rId_hyperlink_6386" Type="http://schemas.openxmlformats.org/officeDocument/2006/relationships/hyperlink" Target="https://b2beez.ru/images/detailed/173/6286958185.jpg" TargetMode="External"/><Relationship Id="rId_hyperlink_6387" Type="http://schemas.openxmlformats.org/officeDocument/2006/relationships/hyperlink" Target="https://b2beez.ru/images/detailed/173/7161494268.jpg" TargetMode="External"/><Relationship Id="rId_hyperlink_6388" Type="http://schemas.openxmlformats.org/officeDocument/2006/relationships/hyperlink" Target="https://b2beez.ru/images/detailed/174/6286958188.jpg" TargetMode="External"/><Relationship Id="rId_hyperlink_6389" Type="http://schemas.openxmlformats.org/officeDocument/2006/relationships/hyperlink" Target="https://b2beez.ru/images/detailed/205/1_2we1-vb.jpg" TargetMode="External"/><Relationship Id="rId_hyperlink_6390" Type="http://schemas.openxmlformats.org/officeDocument/2006/relationships/hyperlink" Target="https://b2beez.ru/images/detailed/205/1_fux3-s5.jpg" TargetMode="External"/><Relationship Id="rId_hyperlink_6391" Type="http://schemas.openxmlformats.org/officeDocument/2006/relationships/hyperlink" Target="https://b2beez.ru/images/detailed/205/1_4hyu-lq.jpg" TargetMode="External"/><Relationship Id="rId_hyperlink_6392" Type="http://schemas.openxmlformats.org/officeDocument/2006/relationships/hyperlink" Target="https://b2beez.ru/images/detailed/205/1_1a6h-h0.jpg" TargetMode="External"/><Relationship Id="rId_hyperlink_6393" Type="http://schemas.openxmlformats.org/officeDocument/2006/relationships/hyperlink" Target="https://b2beez.ru/images/detailed/175/orig_lomu-3p.jpg" TargetMode="External"/><Relationship Id="rId_hyperlink_6394" Type="http://schemas.openxmlformats.org/officeDocument/2006/relationships/hyperlink" Target="https://b2beez.ru/images/detailed/171/6476146900.jpg" TargetMode="External"/><Relationship Id="rId_hyperlink_6395" Type="http://schemas.openxmlformats.org/officeDocument/2006/relationships/hyperlink" Target="https://b2beez.ru/images/detailed/173/orig_zgc6-ml.jpg" TargetMode="External"/><Relationship Id="rId_hyperlink_6396" Type="http://schemas.openxmlformats.org/officeDocument/2006/relationships/hyperlink" Target="https://b2beez.ru/images/detailed/171/6476145804.jpg" TargetMode="External"/><Relationship Id="rId_hyperlink_6397" Type="http://schemas.openxmlformats.org/officeDocument/2006/relationships/hyperlink" Target="https://b2beez.ru/images/detailed/171/orig_pvs3-su.jpg" TargetMode="External"/><Relationship Id="rId_hyperlink_6398" Type="http://schemas.openxmlformats.org/officeDocument/2006/relationships/hyperlink" Target="https://b2beez.ru/images/detailed/175/6116910931.jpg" TargetMode="External"/><Relationship Id="rId_hyperlink_6399" Type="http://schemas.openxmlformats.org/officeDocument/2006/relationships/hyperlink" Target="https://b2beez.ru/images/detailed/184/6459353220.jpg" TargetMode="External"/><Relationship Id="rId_hyperlink_6400" Type="http://schemas.openxmlformats.org/officeDocument/2006/relationships/hyperlink" Target="https://b2beez.ru/images/detailed/185/6116910935.jpg" TargetMode="External"/><Relationship Id="rId_hyperlink_6401" Type="http://schemas.openxmlformats.org/officeDocument/2006/relationships/hyperlink" Target="https://b2beez.ru/images/detailed/185/6116692145.jpg" TargetMode="External"/><Relationship Id="rId_hyperlink_6402" Type="http://schemas.openxmlformats.org/officeDocument/2006/relationships/hyperlink" Target="https://b2beez.ru/images/detailed/185/6116910934.jpg" TargetMode="External"/><Relationship Id="rId_hyperlink_6403" Type="http://schemas.openxmlformats.org/officeDocument/2006/relationships/hyperlink" Target="https://b2beez.ru/images/detailed/185/6116910945.jpg" TargetMode="External"/><Relationship Id="rId_hyperlink_6404" Type="http://schemas.openxmlformats.org/officeDocument/2006/relationships/hyperlink" Target="https://b2beez.ru/images/detailed/185/6116910952.jpg" TargetMode="External"/><Relationship Id="rId_hyperlink_6405" Type="http://schemas.openxmlformats.org/officeDocument/2006/relationships/hyperlink" Target="https://b2beez.ru/images/detailed/185/6459355426.jpg" TargetMode="External"/><Relationship Id="rId_hyperlink_6406" Type="http://schemas.openxmlformats.org/officeDocument/2006/relationships/hyperlink" Target="https://b2beez.ru/images/detailed/184/6459360749.jpg" TargetMode="External"/><Relationship Id="rId_hyperlink_6407" Type="http://schemas.openxmlformats.org/officeDocument/2006/relationships/hyperlink" Target="https://b2beez.ru/images/detailed/185/6459358180.jpg" TargetMode="External"/><Relationship Id="rId_hyperlink_6408" Type="http://schemas.openxmlformats.org/officeDocument/2006/relationships/hyperlink" Target="https://b2beez.ru/images/detailed/177/6856838595.jpg" TargetMode="External"/><Relationship Id="rId_hyperlink_6409" Type="http://schemas.openxmlformats.org/officeDocument/2006/relationships/hyperlink" Target="https://b2beez.ru/images/detailed/176/orig_iwwm-fn.png" TargetMode="External"/><Relationship Id="rId_hyperlink_6410" Type="http://schemas.openxmlformats.org/officeDocument/2006/relationships/hyperlink" Target="https://b2beez.ru/images/detailed/177/6856907109.jpg" TargetMode="External"/><Relationship Id="rId_hyperlink_6411" Type="http://schemas.openxmlformats.org/officeDocument/2006/relationships/hyperlink" Target="https://b2beez.ru/images/detailed/178/6856860473.jpg" TargetMode="External"/><Relationship Id="rId_hyperlink_6412" Type="http://schemas.openxmlformats.org/officeDocument/2006/relationships/hyperlink" Target="https://b2beez.ru/images/detailed/177/6856864349.jpg" TargetMode="External"/><Relationship Id="rId_hyperlink_6413" Type="http://schemas.openxmlformats.org/officeDocument/2006/relationships/hyperlink" Target="https://b2beez.ru/images/detailed/177/6856851249.jpg" TargetMode="External"/><Relationship Id="rId_hyperlink_6414" Type="http://schemas.openxmlformats.org/officeDocument/2006/relationships/hyperlink" Target="https://b2beez.ru/images/detailed/177/6856875848.jpg" TargetMode="External"/><Relationship Id="rId_hyperlink_6415" Type="http://schemas.openxmlformats.org/officeDocument/2006/relationships/hyperlink" Target="https://b2beez.ru/images/detailed/177/6856834596.jpg" TargetMode="External"/><Relationship Id="rId_hyperlink_6416" Type="http://schemas.openxmlformats.org/officeDocument/2006/relationships/hyperlink" Target="https://b2beez.ru/images/detailed/177/6856893006.jpg" TargetMode="External"/><Relationship Id="rId_hyperlink_6417" Type="http://schemas.openxmlformats.org/officeDocument/2006/relationships/hyperlink" Target="https://b2beez.ru/images/detailed/178/6856894236.jpg" TargetMode="External"/><Relationship Id="rId_hyperlink_6418" Type="http://schemas.openxmlformats.org/officeDocument/2006/relationships/hyperlink" Target="https://b2beez.ru/images/detailed/176/6856891704.jpg" TargetMode="External"/><Relationship Id="rId_hyperlink_6419" Type="http://schemas.openxmlformats.org/officeDocument/2006/relationships/hyperlink" Target="https://b2beez.ru/images/detailed/176/6856853185.jpg" TargetMode="External"/><Relationship Id="rId_hyperlink_6420" Type="http://schemas.openxmlformats.org/officeDocument/2006/relationships/hyperlink" Target="https://b2beez.ru/images/detailed/176/6856887000.jpg" TargetMode="External"/><Relationship Id="rId_hyperlink_6421" Type="http://schemas.openxmlformats.org/officeDocument/2006/relationships/hyperlink" Target="https://b2beez.ru/images/detailed/176/6856884487.jpg" TargetMode="External"/><Relationship Id="rId_hyperlink_6422" Type="http://schemas.openxmlformats.org/officeDocument/2006/relationships/hyperlink" Target="https://b2beez.ru/images/detailed/178/6856879375.jpg" TargetMode="External"/><Relationship Id="rId_hyperlink_6423" Type="http://schemas.openxmlformats.org/officeDocument/2006/relationships/hyperlink" Target="https://b2beez.ru/images/detailed/176/orig.png" TargetMode="External"/><Relationship Id="rId_hyperlink_6424" Type="http://schemas.openxmlformats.org/officeDocument/2006/relationships/hyperlink" Target="https://b2beez.ru/images/detailed/177/6856872908.jpg" TargetMode="External"/><Relationship Id="rId_hyperlink_6425" Type="http://schemas.openxmlformats.org/officeDocument/2006/relationships/hyperlink" Target="https://b2beez.ru/images/detailed/177/6856831302.jpg" TargetMode="External"/><Relationship Id="rId_hyperlink_6426" Type="http://schemas.openxmlformats.org/officeDocument/2006/relationships/hyperlink" Target="https://b2beez.ru/images/detailed/178/6856833555.jpg" TargetMode="External"/><Relationship Id="rId_hyperlink_6427" Type="http://schemas.openxmlformats.org/officeDocument/2006/relationships/hyperlink" Target="https://b2beez.ru/images/detailed/176/6856862154.jpg" TargetMode="External"/><Relationship Id="rId_hyperlink_6428" Type="http://schemas.openxmlformats.org/officeDocument/2006/relationships/hyperlink" Target="https://b2beez.ru/images/detailed/176/orig_00zp-9i.png" TargetMode="External"/><Relationship Id="rId_hyperlink_6429" Type="http://schemas.openxmlformats.org/officeDocument/2006/relationships/hyperlink" Target="https://b2beez.ru/images/detailed/177/6856860164.jpg" TargetMode="External"/><Relationship Id="rId_hyperlink_6430" Type="http://schemas.openxmlformats.org/officeDocument/2006/relationships/hyperlink" Target="https://b2beez.ru/images/detailed/178/6856853480.jpg" TargetMode="External"/><Relationship Id="rId_hyperlink_6431" Type="http://schemas.openxmlformats.org/officeDocument/2006/relationships/hyperlink" Target="https://b2beez.ru/images/detailed/178/6856851321.jpg" TargetMode="External"/><Relationship Id="rId_hyperlink_6432" Type="http://schemas.openxmlformats.org/officeDocument/2006/relationships/hyperlink" Target="https://b2beez.ru/images/detailed/182/6856850010.jpg" TargetMode="External"/><Relationship Id="rId_hyperlink_6433" Type="http://schemas.openxmlformats.org/officeDocument/2006/relationships/hyperlink" Target="https://b2beez.ru/images/detailed/182/6856848103.jpg" TargetMode="External"/><Relationship Id="rId_hyperlink_6434" Type="http://schemas.openxmlformats.org/officeDocument/2006/relationships/hyperlink" Target="https://b2beez.ru/images/detailed/178/6856844439.jpg" TargetMode="External"/><Relationship Id="rId_hyperlink_6435" Type="http://schemas.openxmlformats.org/officeDocument/2006/relationships/hyperlink" Target="https://b2beez.ru/images/detailed/179/6856843897.jpg" TargetMode="External"/><Relationship Id="rId_hyperlink_6436" Type="http://schemas.openxmlformats.org/officeDocument/2006/relationships/hyperlink" Target="https://b2beez.ru/images/detailed/177/6856840925.jpg" TargetMode="External"/><Relationship Id="rId_hyperlink_6437" Type="http://schemas.openxmlformats.org/officeDocument/2006/relationships/hyperlink" Target="https://b2beez.ru/images/detailed/176/6856838275.jpg" TargetMode="External"/><Relationship Id="rId_hyperlink_6438" Type="http://schemas.openxmlformats.org/officeDocument/2006/relationships/hyperlink" Target="https://b2beez.ru/images/detailed/176/6856835314.jpg" TargetMode="External"/><Relationship Id="rId_hyperlink_6439" Type="http://schemas.openxmlformats.org/officeDocument/2006/relationships/hyperlink" Target="https://b2beez.ru/images/detailed/176/6856832305.jpg" TargetMode="External"/><Relationship Id="rId_hyperlink_6440" Type="http://schemas.openxmlformats.org/officeDocument/2006/relationships/hyperlink" Target="https://b2beez.ru/images/detailed/178/orig_xt70-zl.jpg" TargetMode="External"/><Relationship Id="rId_hyperlink_6441" Type="http://schemas.openxmlformats.org/officeDocument/2006/relationships/hyperlink" Target="https://b2beez.ru/images/detailed/176/6354792144.jpg" TargetMode="External"/><Relationship Id="rId_hyperlink_6442" Type="http://schemas.openxmlformats.org/officeDocument/2006/relationships/hyperlink" Target="https://b2beez.ru/images/detailed/177/6368509656.jpg" TargetMode="External"/><Relationship Id="rId_hyperlink_6443" Type="http://schemas.openxmlformats.org/officeDocument/2006/relationships/hyperlink" Target="https://b2beez.ru/images/detailed/177/6354792260.jpg" TargetMode="External"/><Relationship Id="rId_hyperlink_6444" Type="http://schemas.openxmlformats.org/officeDocument/2006/relationships/hyperlink" Target="https://b2beez.ru/images/detailed/176/6354792086.jpg" TargetMode="External"/><Relationship Id="rId_hyperlink_6445" Type="http://schemas.openxmlformats.org/officeDocument/2006/relationships/hyperlink" Target="https://b2beez.ru/images/detailed/177/orig_6q01-f4.jpg" TargetMode="External"/><Relationship Id="rId_hyperlink_6446" Type="http://schemas.openxmlformats.org/officeDocument/2006/relationships/hyperlink" Target="https://b2beez.ru/images/detailed/0/" TargetMode="External"/><Relationship Id="rId_hyperlink_6447" Type="http://schemas.openxmlformats.org/officeDocument/2006/relationships/hyperlink" Target="https://b2beez.ru/images/detailed/178/6483652156.jpg" TargetMode="External"/><Relationship Id="rId_hyperlink_6448" Type="http://schemas.openxmlformats.org/officeDocument/2006/relationships/hyperlink" Target="https://b2beez.ru/images/detailed/177/orig_dw0c-s2.jpg" TargetMode="External"/><Relationship Id="rId_hyperlink_6449" Type="http://schemas.openxmlformats.org/officeDocument/2006/relationships/hyperlink" Target="https://b2beez.ru/images/detailed/177/6354792171.jpg" TargetMode="External"/><Relationship Id="rId_hyperlink_6450" Type="http://schemas.openxmlformats.org/officeDocument/2006/relationships/hyperlink" Target="https://b2beez.ru/images/detailed/178/orig_b3js-y2.jpg" TargetMode="External"/><Relationship Id="rId_hyperlink_6451" Type="http://schemas.openxmlformats.org/officeDocument/2006/relationships/hyperlink" Target="https://b2beez.ru/images/detailed/182/6169092809.jpg" TargetMode="External"/><Relationship Id="rId_hyperlink_6452" Type="http://schemas.openxmlformats.org/officeDocument/2006/relationships/hyperlink" Target="https://b2beez.ru/images/detailed/182/orig_sbin-p4.jpg" TargetMode="External"/><Relationship Id="rId_hyperlink_6453" Type="http://schemas.openxmlformats.org/officeDocument/2006/relationships/hyperlink" Target="https://b2beez.ru/images/detailed/182/orig_eo5i-mj.jpg" TargetMode="External"/><Relationship Id="rId_hyperlink_6454" Type="http://schemas.openxmlformats.org/officeDocument/2006/relationships/hyperlink" Target="https://b2beez.ru/images/detailed/166/6167664201.jpg" TargetMode="External"/><Relationship Id="rId_hyperlink_6455" Type="http://schemas.openxmlformats.org/officeDocument/2006/relationships/hyperlink" Target="https://b2beez.ru/images/detailed/0/" TargetMode="External"/><Relationship Id="rId_hyperlink_6456" Type="http://schemas.openxmlformats.org/officeDocument/2006/relationships/hyperlink" Target="https://b2beez.ru/images/detailed/176/orig_opav-4d.jpg" TargetMode="External"/><Relationship Id="rId_hyperlink_6457" Type="http://schemas.openxmlformats.org/officeDocument/2006/relationships/hyperlink" Target="https://b2beez.ru/images/detailed/0/" TargetMode="External"/><Relationship Id="rId_hyperlink_6458" Type="http://schemas.openxmlformats.org/officeDocument/2006/relationships/hyperlink" Target="https://b2beez.ru/images/detailed/0/" TargetMode="External"/><Relationship Id="rId_hyperlink_6459" Type="http://schemas.openxmlformats.org/officeDocument/2006/relationships/hyperlink" Target="https://b2beez.ru/images/detailed/0/" TargetMode="External"/><Relationship Id="rId_hyperlink_6460" Type="http://schemas.openxmlformats.org/officeDocument/2006/relationships/hyperlink" Target="https://b2beez.ru/images/detailed/0/" TargetMode="External"/><Relationship Id="rId_hyperlink_6461" Type="http://schemas.openxmlformats.org/officeDocument/2006/relationships/hyperlink" Target="https://b2beez.ru/images/detailed/178/6856792579.jpg" TargetMode="External"/><Relationship Id="rId_hyperlink_6462" Type="http://schemas.openxmlformats.org/officeDocument/2006/relationships/hyperlink" Target="https://b2beez.ru/images/detailed/173/6856791112.jpg" TargetMode="External"/><Relationship Id="rId_hyperlink_6463" Type="http://schemas.openxmlformats.org/officeDocument/2006/relationships/hyperlink" Target="https://b2beez.ru/images/detailed/176/orig_560c-fi.jpg" TargetMode="External"/><Relationship Id="rId_hyperlink_6464" Type="http://schemas.openxmlformats.org/officeDocument/2006/relationships/hyperlink" Target="https://b2beez.ru/images/detailed/176/orig_gg1k-6f.jpg" TargetMode="External"/><Relationship Id="rId_hyperlink_6465" Type="http://schemas.openxmlformats.org/officeDocument/2006/relationships/hyperlink" Target="https://b2beez.ru/images/detailed/176/orig_ig1t-c5.jpg" TargetMode="External"/><Relationship Id="rId_hyperlink_6466" Type="http://schemas.openxmlformats.org/officeDocument/2006/relationships/hyperlink" Target="https://b2beez.ru/images/detailed/176/6169092873.jpg" TargetMode="External"/><Relationship Id="rId_hyperlink_6467" Type="http://schemas.openxmlformats.org/officeDocument/2006/relationships/hyperlink" Target="https://b2beez.ru/images/detailed/177/orig_v435-rk.jpg" TargetMode="External"/><Relationship Id="rId_hyperlink_6468" Type="http://schemas.openxmlformats.org/officeDocument/2006/relationships/hyperlink" Target="https://b2beez.ru/images/detailed/177/6094842571.jpg" TargetMode="External"/><Relationship Id="rId_hyperlink_6469" Type="http://schemas.openxmlformats.org/officeDocument/2006/relationships/hyperlink" Target="https://b2beez.ru/images/detailed/177/6169092885.jpg" TargetMode="External"/><Relationship Id="rId_hyperlink_6470" Type="http://schemas.openxmlformats.org/officeDocument/2006/relationships/hyperlink" Target="https://b2beez.ru/images/detailed/177/6169092854.jpg" TargetMode="External"/><Relationship Id="rId_hyperlink_6471" Type="http://schemas.openxmlformats.org/officeDocument/2006/relationships/hyperlink" Target="https://b2beez.ru/images/detailed/177/orig_dq8v-0w.jpg" TargetMode="External"/><Relationship Id="rId_hyperlink_6472" Type="http://schemas.openxmlformats.org/officeDocument/2006/relationships/hyperlink" Target="https://b2beez.ru/images/detailed/177/orig_7z72-my.jpg" TargetMode="External"/><Relationship Id="rId_hyperlink_6473" Type="http://schemas.openxmlformats.org/officeDocument/2006/relationships/hyperlink" Target="https://b2beez.ru/images/detailed/177/6354792031.jpg" TargetMode="External"/><Relationship Id="rId_hyperlink_6474" Type="http://schemas.openxmlformats.org/officeDocument/2006/relationships/hyperlink" Target="https://b2beez.ru/images/detailed/177/6169092887.jpg" TargetMode="External"/><Relationship Id="rId_hyperlink_6475" Type="http://schemas.openxmlformats.org/officeDocument/2006/relationships/hyperlink" Target="https://b2beez.ru/images/detailed/177/6169092822.jpg" TargetMode="External"/><Relationship Id="rId_hyperlink_6476" Type="http://schemas.openxmlformats.org/officeDocument/2006/relationships/hyperlink" Target="https://b2beez.ru/images/detailed/176/6169092846.jpg" TargetMode="External"/><Relationship Id="rId_hyperlink_6477" Type="http://schemas.openxmlformats.org/officeDocument/2006/relationships/hyperlink" Target="https://b2beez.ru/images/detailed/177/6354792204.jpg" TargetMode="External"/><Relationship Id="rId_hyperlink_6478" Type="http://schemas.openxmlformats.org/officeDocument/2006/relationships/hyperlink" Target="https://b2beez.ru/images/detailed/177/6354792066.jpg" TargetMode="External"/><Relationship Id="rId_hyperlink_6479" Type="http://schemas.openxmlformats.org/officeDocument/2006/relationships/hyperlink" Target="https://b2beez.ru/images/detailed/177/orig_l3gd-y2.jpg" TargetMode="External"/><Relationship Id="rId_hyperlink_6480" Type="http://schemas.openxmlformats.org/officeDocument/2006/relationships/hyperlink" Target="https://b2beez.ru/images/detailed/178/6169092900.jpg" TargetMode="External"/><Relationship Id="rId_hyperlink_6481" Type="http://schemas.openxmlformats.org/officeDocument/2006/relationships/hyperlink" Target="https://b2beez.ru/images/detailed/48/orig_bbdk-y6.jpg" TargetMode="External"/><Relationship Id="rId_hyperlink_6482" Type="http://schemas.openxmlformats.org/officeDocument/2006/relationships/hyperlink" Target="https://b2beez.ru/images/detailed/167/orig_dk19-wv.jpg" TargetMode="External"/><Relationship Id="rId_hyperlink_6483" Type="http://schemas.openxmlformats.org/officeDocument/2006/relationships/hyperlink" Target="https://b2beez.ru/images/detailed/167/orig_pj5m-5e.jpg" TargetMode="External"/><Relationship Id="rId_hyperlink_6484" Type="http://schemas.openxmlformats.org/officeDocument/2006/relationships/hyperlink" Target="https://b2beez.ru/images/detailed/167/orig_c7kb-lk.jpg" TargetMode="External"/><Relationship Id="rId_hyperlink_6485" Type="http://schemas.openxmlformats.org/officeDocument/2006/relationships/hyperlink" Target="https://b2beez.ru/images/detailed/167/orig_mojb-2v.jpg" TargetMode="External"/><Relationship Id="rId_hyperlink_6486" Type="http://schemas.openxmlformats.org/officeDocument/2006/relationships/hyperlink" Target="https://b2beez.ru/images/detailed/0/" TargetMode="External"/><Relationship Id="rId_hyperlink_6487" Type="http://schemas.openxmlformats.org/officeDocument/2006/relationships/hyperlink" Target="https://b2beez.ru/images/detailed/0/" TargetMode="External"/><Relationship Id="rId_hyperlink_6488" Type="http://schemas.openxmlformats.org/officeDocument/2006/relationships/hyperlink" Target="https://b2beez.ru/images/detailed/0/" TargetMode="External"/><Relationship Id="rId_hyperlink_6489" Type="http://schemas.openxmlformats.org/officeDocument/2006/relationships/hyperlink" Target="https://b2beez.ru/images/detailed/0/" TargetMode="External"/><Relationship Id="rId_hyperlink_6490" Type="http://schemas.openxmlformats.org/officeDocument/2006/relationships/hyperlink" Target="https://b2beez.ru/images/detailed/204/P-4263-U1_70mg-l5.jpg" TargetMode="External"/><Relationship Id="rId_hyperlink_6491" Type="http://schemas.openxmlformats.org/officeDocument/2006/relationships/hyperlink" Target="https://b2beez.ru/images/detailed/0/" TargetMode="External"/><Relationship Id="rId_hyperlink_6492" Type="http://schemas.openxmlformats.org/officeDocument/2006/relationships/hyperlink" Target="https://b2beez.ru/images/detailed/204/P-1070-U2.jpg" TargetMode="External"/><Relationship Id="rId_hyperlink_6493" Type="http://schemas.openxmlformats.org/officeDocument/2006/relationships/hyperlink" Target="https://b2beez.ru/images/detailed/0/" TargetMode="External"/><Relationship Id="rId_hyperlink_6494" Type="http://schemas.openxmlformats.org/officeDocument/2006/relationships/hyperlink" Target="https://b2beez.ru/images/detailed/0/" TargetMode="External"/><Relationship Id="rId_hyperlink_6495" Type="http://schemas.openxmlformats.org/officeDocument/2006/relationships/hyperlink" Target="https://b2beez.ru/images/detailed/204/P-6286-U1.jpg" TargetMode="External"/><Relationship Id="rId_hyperlink_6496" Type="http://schemas.openxmlformats.org/officeDocument/2006/relationships/hyperlink" Target="https://b2beez.ru/images/detailed/0/" TargetMode="External"/><Relationship Id="rId_hyperlink_6497" Type="http://schemas.openxmlformats.org/officeDocument/2006/relationships/hyperlink" Target="https://b2beez.ru/images/detailed/204/D-601-U1.jpg" TargetMode="External"/><Relationship Id="rId_hyperlink_6498" Type="http://schemas.openxmlformats.org/officeDocument/2006/relationships/hyperlink" Target="https://b2beez.ru/images/detailed/0/" TargetMode="External"/><Relationship Id="rId_hyperlink_6499" Type="http://schemas.openxmlformats.org/officeDocument/2006/relationships/hyperlink" Target="https://b2beez.ru/images/detailed/0/" TargetMode="External"/><Relationship Id="rId_hyperlink_6500" Type="http://schemas.openxmlformats.org/officeDocument/2006/relationships/hyperlink" Target="https://b2beez.ru/images/detailed/0/" TargetMode="External"/><Relationship Id="rId_hyperlink_6501" Type="http://schemas.openxmlformats.org/officeDocument/2006/relationships/hyperlink" Target="https://b2beez.ru/images/detailed/0/" TargetMode="External"/><Relationship Id="rId_hyperlink_6502" Type="http://schemas.openxmlformats.org/officeDocument/2006/relationships/hyperlink" Target="https://b2beez.ru/images/detailed/0/" TargetMode="External"/><Relationship Id="rId_hyperlink_6503" Type="http://schemas.openxmlformats.org/officeDocument/2006/relationships/hyperlink" Target="https://b2beez.ru/images/detailed/0/" TargetMode="External"/><Relationship Id="rId_hyperlink_6504" Type="http://schemas.openxmlformats.org/officeDocument/2006/relationships/hyperlink" Target="https://b2beez.ru/images/detailed/0/" TargetMode="External"/><Relationship Id="rId_hyperlink_6505" Type="http://schemas.openxmlformats.org/officeDocument/2006/relationships/hyperlink" Target="https://b2beez.ru/images/detailed/0/" TargetMode="External"/><Relationship Id="rId_hyperlink_6506" Type="http://schemas.openxmlformats.org/officeDocument/2006/relationships/hyperlink" Target="https://b2beez.ru/images/detailed/0/" TargetMode="External"/><Relationship Id="rId_hyperlink_6507" Type="http://schemas.openxmlformats.org/officeDocument/2006/relationships/hyperlink" Target="https://b2beez.ru/images/detailed/0/" TargetMode="External"/><Relationship Id="rId_hyperlink_6508" Type="http://schemas.openxmlformats.org/officeDocument/2006/relationships/hyperlink" Target="https://b2beez.ru/images/detailed/0/" TargetMode="External"/><Relationship Id="rId_hyperlink_6509" Type="http://schemas.openxmlformats.org/officeDocument/2006/relationships/hyperlink" Target="https://b2beez.ru/images/detailed/0/" TargetMode="External"/><Relationship Id="rId_hyperlink_6510" Type="http://schemas.openxmlformats.org/officeDocument/2006/relationships/hyperlink" Target="https://b2beez.ru/images/detailed/0/" TargetMode="External"/><Relationship Id="rId_hyperlink_6511" Type="http://schemas.openxmlformats.org/officeDocument/2006/relationships/hyperlink" Target="https://b2beez.ru/images/detailed/0/" TargetMode="External"/><Relationship Id="rId_hyperlink_6512" Type="http://schemas.openxmlformats.org/officeDocument/2006/relationships/hyperlink" Target="https://b2beez.ru/images/detailed/204/K-6270-U1.jpg" TargetMode="External"/><Relationship Id="rId_hyperlink_6513" Type="http://schemas.openxmlformats.org/officeDocument/2006/relationships/hyperlink" Target="https://b2beez.ru/images/detailed/0/" TargetMode="External"/><Relationship Id="rId_hyperlink_6514" Type="http://schemas.openxmlformats.org/officeDocument/2006/relationships/hyperlink" Target="https://b2beez.ru/images/detailed/0/" TargetMode="External"/><Relationship Id="rId_hyperlink_6515" Type="http://schemas.openxmlformats.org/officeDocument/2006/relationships/hyperlink" Target="https://b2beez.ru/images/detailed/0/" TargetMode="External"/><Relationship Id="rId_hyperlink_6516" Type="http://schemas.openxmlformats.org/officeDocument/2006/relationships/hyperlink" Target="https://b2beez.ru/images/detailed/0/" TargetMode="External"/><Relationship Id="rId_hyperlink_6517" Type="http://schemas.openxmlformats.org/officeDocument/2006/relationships/hyperlink" Target="https://b2beez.ru/images/detailed/204/C-762-U1.jpg" TargetMode="External"/><Relationship Id="rId_hyperlink_6518" Type="http://schemas.openxmlformats.org/officeDocument/2006/relationships/hyperlink" Target="https://b2beez.ru/images/detailed/204/0100_0307-U1.jpg" TargetMode="External"/><Relationship Id="rId_hyperlink_6519" Type="http://schemas.openxmlformats.org/officeDocument/2006/relationships/hyperlink" Target="https://b2beez.ru/images/detailed/0/" TargetMode="External"/><Relationship Id="rId_hyperlink_6520" Type="http://schemas.openxmlformats.org/officeDocument/2006/relationships/hyperlink" Target="https://b2beez.ru/images/detailed/0/" TargetMode="External"/><Relationship Id="rId_hyperlink_6521" Type="http://schemas.openxmlformats.org/officeDocument/2006/relationships/hyperlink" Target="https://b2beez.ru/images/detailed/0/" TargetMode="External"/><Relationship Id="rId_hyperlink_6522" Type="http://schemas.openxmlformats.org/officeDocument/2006/relationships/hyperlink" Target="https://b2beez.ru/images/detailed/0/" TargetMode="External"/><Relationship Id="rId_hyperlink_6523" Type="http://schemas.openxmlformats.org/officeDocument/2006/relationships/hyperlink" Target="https://b2beez.ru/images/detailed/0/" TargetMode="External"/><Relationship Id="rId_hyperlink_6524" Type="http://schemas.openxmlformats.org/officeDocument/2006/relationships/hyperlink" Target="https://b2beez.ru/images/detailed/0/" TargetMode="External"/><Relationship Id="rId_hyperlink_6525" Type="http://schemas.openxmlformats.org/officeDocument/2006/relationships/hyperlink" Target="https://b2beez.ru/images/detailed/0/" TargetMode="External"/><Relationship Id="rId_hyperlink_6526" Type="http://schemas.openxmlformats.org/officeDocument/2006/relationships/hyperlink" Target="https://b2beez.ru/images/detailed/0/" TargetMode="External"/><Relationship Id="rId_hyperlink_6527" Type="http://schemas.openxmlformats.org/officeDocument/2006/relationships/hyperlink" Target="https://b2beez.ru/images/detailed/0/" TargetMode="External"/><Relationship Id="rId_hyperlink_6528" Type="http://schemas.openxmlformats.org/officeDocument/2006/relationships/hyperlink" Target="https://b2beez.ru/images/detailed/0/" TargetMode="External"/><Relationship Id="rId_hyperlink_6529" Type="http://schemas.openxmlformats.org/officeDocument/2006/relationships/hyperlink" Target="https://b2beez.ru/images/detailed/0/" TargetMode="External"/><Relationship Id="rId_hyperlink_6530" Type="http://schemas.openxmlformats.org/officeDocument/2006/relationships/hyperlink" Target="https://b2beez.ru/images/detailed/0/" TargetMode="External"/><Relationship Id="rId_hyperlink_6531" Type="http://schemas.openxmlformats.org/officeDocument/2006/relationships/hyperlink" Target="https://b2beez.ru/images/detailed/0/" TargetMode="External"/><Relationship Id="rId_hyperlink_6532" Type="http://schemas.openxmlformats.org/officeDocument/2006/relationships/hyperlink" Target="https://b2beez.ru/images/detailed/0/" TargetMode="External"/><Relationship Id="rId_hyperlink_6533" Type="http://schemas.openxmlformats.org/officeDocument/2006/relationships/hyperlink" Target="https://b2beez.ru/images/detailed/0/" TargetMode="External"/><Relationship Id="rId_hyperlink_6534" Type="http://schemas.openxmlformats.org/officeDocument/2006/relationships/hyperlink" Target="https://b2beez.ru/images/detailed/0/" TargetMode="External"/><Relationship Id="rId_hyperlink_6535" Type="http://schemas.openxmlformats.org/officeDocument/2006/relationships/hyperlink" Target="https://b2beez.ru/images/detailed/204/Z-290-U2.jpg" TargetMode="External"/><Relationship Id="rId_hyperlink_6536" Type="http://schemas.openxmlformats.org/officeDocument/2006/relationships/hyperlink" Target="https://b2beez.ru/images/detailed/0/" TargetMode="External"/><Relationship Id="rId_hyperlink_6537" Type="http://schemas.openxmlformats.org/officeDocument/2006/relationships/hyperlink" Target="https://b2beez.ru/images/detailed/0/" TargetMode="External"/><Relationship Id="rId_hyperlink_6538" Type="http://schemas.openxmlformats.org/officeDocument/2006/relationships/hyperlink" Target="https://b2beez.ru/images/detailed/0/" TargetMode="External"/><Relationship Id="rId_hyperlink_6539" Type="http://schemas.openxmlformats.org/officeDocument/2006/relationships/hyperlink" Target="https://b2beez.ru/images/detailed/204/D-1554-U1-2.jpg" TargetMode="External"/><Relationship Id="rId_hyperlink_6540" Type="http://schemas.openxmlformats.org/officeDocument/2006/relationships/hyperlink" Target="https://b2beez.ru/images/detailed/0/" TargetMode="External"/><Relationship Id="rId_hyperlink_6541" Type="http://schemas.openxmlformats.org/officeDocument/2006/relationships/hyperlink" Target="https://b2beez.ru/images/detailed/0/" TargetMode="External"/><Relationship Id="rId_hyperlink_6542" Type="http://schemas.openxmlformats.org/officeDocument/2006/relationships/hyperlink" Target="https://b2beez.ru/images/detailed/0/" TargetMode="External"/><Relationship Id="rId_hyperlink_6543" Type="http://schemas.openxmlformats.org/officeDocument/2006/relationships/hyperlink" Target="https://b2beez.ru/images/detailed/0/" TargetMode="External"/><Relationship Id="rId_hyperlink_6544" Type="http://schemas.openxmlformats.org/officeDocument/2006/relationships/hyperlink" Target="https://b2beez.ru/images/detailed/0/" TargetMode="External"/><Relationship Id="rId_hyperlink_6545" Type="http://schemas.openxmlformats.org/officeDocument/2006/relationships/hyperlink" Target="https://b2beez.ru/images/detailed/204/P-5381-U2.jpg" TargetMode="External"/><Relationship Id="rId_hyperlink_6546" Type="http://schemas.openxmlformats.org/officeDocument/2006/relationships/hyperlink" Target="https://b2beez.ru/images/detailed/204/O-678-U3.jpg" TargetMode="External"/><Relationship Id="rId_hyperlink_6547" Type="http://schemas.openxmlformats.org/officeDocument/2006/relationships/hyperlink" Target="https://b2beez.ru/images/detailed/0/" TargetMode="External"/><Relationship Id="rId_hyperlink_6548" Type="http://schemas.openxmlformats.org/officeDocument/2006/relationships/hyperlink" Target="https://b2beez.ru/images/detailed/0/" TargetMode="External"/><Relationship Id="rId_hyperlink_6549" Type="http://schemas.openxmlformats.org/officeDocument/2006/relationships/hyperlink" Target="https://b2beez.ru/images/detailed/0/" TargetMode="External"/><Relationship Id="rId_hyperlink_6550" Type="http://schemas.openxmlformats.org/officeDocument/2006/relationships/hyperlink" Target="https://b2beez.ru/images/detailed/0/" TargetMode="External"/><Relationship Id="rId_hyperlink_6551" Type="http://schemas.openxmlformats.org/officeDocument/2006/relationships/hyperlink" Target="https://b2beez.ru/images/detailed/0/" TargetMode="External"/><Relationship Id="rId_hyperlink_6552" Type="http://schemas.openxmlformats.org/officeDocument/2006/relationships/hyperlink" Target="https://b2beez.ru/images/detailed/204/D-4674-U1.jpg" TargetMode="External"/><Relationship Id="rId_hyperlink_6553" Type="http://schemas.openxmlformats.org/officeDocument/2006/relationships/hyperlink" Target="https://b2beez.ru/images/detailed/204/P-5304-U1.jpg" TargetMode="External"/><Relationship Id="rId_hyperlink_6554" Type="http://schemas.openxmlformats.org/officeDocument/2006/relationships/hyperlink" Target="https://b2beez.ru/images/detailed/0/" TargetMode="External"/><Relationship Id="rId_hyperlink_6555" Type="http://schemas.openxmlformats.org/officeDocument/2006/relationships/hyperlink" Target="https://b2beez.ru/images/detailed/0/" TargetMode="External"/><Relationship Id="rId_hyperlink_6556" Type="http://schemas.openxmlformats.org/officeDocument/2006/relationships/hyperlink" Target="https://b2beez.ru/images/detailed/0/" TargetMode="External"/><Relationship Id="rId_hyperlink_6557" Type="http://schemas.openxmlformats.org/officeDocument/2006/relationships/hyperlink" Target="https://b2beez.ru/images/detailed/0/" TargetMode="External"/><Relationship Id="rId_hyperlink_6558" Type="http://schemas.openxmlformats.org/officeDocument/2006/relationships/hyperlink" Target="https://b2beez.ru/images/detailed/0/" TargetMode="External"/><Relationship Id="rId_hyperlink_6559" Type="http://schemas.openxmlformats.org/officeDocument/2006/relationships/hyperlink" Target="https://b2beez.ru/images/detailed/0/" TargetMode="External"/><Relationship Id="rId_hyperlink_6560" Type="http://schemas.openxmlformats.org/officeDocument/2006/relationships/hyperlink" Target="https://b2beez.ru/images/detailed/0/" TargetMode="External"/><Relationship Id="rId_hyperlink_6561" Type="http://schemas.openxmlformats.org/officeDocument/2006/relationships/hyperlink" Target="https://b2beez.ru/images/detailed/0/" TargetMode="External"/><Relationship Id="rId_hyperlink_6562" Type="http://schemas.openxmlformats.org/officeDocument/2006/relationships/hyperlink" Target="https://b2beez.ru/images/detailed/0/" TargetMode="External"/><Relationship Id="rId_hyperlink_6563" Type="http://schemas.openxmlformats.org/officeDocument/2006/relationships/hyperlink" Target="https://b2beez.ru/images/detailed/0/" TargetMode="External"/><Relationship Id="rId_hyperlink_6564" Type="http://schemas.openxmlformats.org/officeDocument/2006/relationships/hyperlink" Target="https://b2beez.ru/images/detailed/0/" TargetMode="External"/><Relationship Id="rId_hyperlink_6565" Type="http://schemas.openxmlformats.org/officeDocument/2006/relationships/hyperlink" Target="https://b2beez.ru/images/detailed/0/" TargetMode="External"/><Relationship Id="rId_hyperlink_6566" Type="http://schemas.openxmlformats.org/officeDocument/2006/relationships/hyperlink" Target="https://b2beez.ru/images/detailed/0/" TargetMode="External"/><Relationship Id="rId_hyperlink_6567" Type="http://schemas.openxmlformats.org/officeDocument/2006/relationships/hyperlink" Target="https://b2beez.ru/images/detailed/0/" TargetMode="External"/><Relationship Id="rId_hyperlink_6568" Type="http://schemas.openxmlformats.org/officeDocument/2006/relationships/hyperlink" Target="https://b2beez.ru/images/detailed/0/" TargetMode="External"/><Relationship Id="rId_hyperlink_6569" Type="http://schemas.openxmlformats.org/officeDocument/2006/relationships/hyperlink" Target="https://b2beez.ru/images/detailed/0/" TargetMode="External"/><Relationship Id="rId_hyperlink_6570" Type="http://schemas.openxmlformats.org/officeDocument/2006/relationships/hyperlink" Target="https://b2beez.ru/images/detailed/0/" TargetMode="External"/><Relationship Id="rId_hyperlink_6571" Type="http://schemas.openxmlformats.org/officeDocument/2006/relationships/hyperlink" Target="https://b2beez.ru/images/detailed/0/" TargetMode="External"/><Relationship Id="rId_hyperlink_6572" Type="http://schemas.openxmlformats.org/officeDocument/2006/relationships/hyperlink" Target="https://b2beez.ru/images/detailed/0/" TargetMode="External"/><Relationship Id="rId_hyperlink_6573" Type="http://schemas.openxmlformats.org/officeDocument/2006/relationships/hyperlink" Target="https://b2beez.ru/images/detailed/0/" TargetMode="External"/><Relationship Id="rId_hyperlink_6574" Type="http://schemas.openxmlformats.org/officeDocument/2006/relationships/hyperlink" Target="https://b2beez.ru/images/detailed/0/" TargetMode="External"/><Relationship Id="rId_hyperlink_6575" Type="http://schemas.openxmlformats.org/officeDocument/2006/relationships/hyperlink" Target="https://b2beez.ru/images/detailed/0/" TargetMode="External"/><Relationship Id="rId_hyperlink_6576" Type="http://schemas.openxmlformats.org/officeDocument/2006/relationships/hyperlink" Target="https://b2beez.ru/images/detailed/0/" TargetMode="External"/><Relationship Id="rId_hyperlink_6577" Type="http://schemas.openxmlformats.org/officeDocument/2006/relationships/hyperlink" Target="https://b2beez.ru/images/detailed/204/P-5403-U3.jpg" TargetMode="External"/><Relationship Id="rId_hyperlink_6578" Type="http://schemas.openxmlformats.org/officeDocument/2006/relationships/hyperlink" Target="https://b2beez.ru/images/detailed/0/" TargetMode="External"/><Relationship Id="rId_hyperlink_6579" Type="http://schemas.openxmlformats.org/officeDocument/2006/relationships/hyperlink" Target="https://b2beez.ru/images/detailed/0/" TargetMode="External"/><Relationship Id="rId_hyperlink_6580" Type="http://schemas.openxmlformats.org/officeDocument/2006/relationships/hyperlink" Target="https://b2beez.ru/images/detailed/0/" TargetMode="External"/><Relationship Id="rId_hyperlink_6581" Type="http://schemas.openxmlformats.org/officeDocument/2006/relationships/hyperlink" Target="https://b2beez.ru/images/detailed/0/" TargetMode="External"/><Relationship Id="rId_hyperlink_6582" Type="http://schemas.openxmlformats.org/officeDocument/2006/relationships/hyperlink" Target="https://b2beez.ru/images/detailed/0/" TargetMode="External"/><Relationship Id="rId_hyperlink_6583" Type="http://schemas.openxmlformats.org/officeDocument/2006/relationships/hyperlink" Target="https://b2beez.ru/images/detailed/0/" TargetMode="External"/><Relationship Id="rId_hyperlink_6584" Type="http://schemas.openxmlformats.org/officeDocument/2006/relationships/hyperlink" Target="https://b2beez.ru/images/detailed/0/" TargetMode="External"/><Relationship Id="rId_hyperlink_6585" Type="http://schemas.openxmlformats.org/officeDocument/2006/relationships/hyperlink" Target="https://b2beez.ru/images/detailed/0/" TargetMode="External"/><Relationship Id="rId_hyperlink_6586" Type="http://schemas.openxmlformats.org/officeDocument/2006/relationships/hyperlink" Target="https://b2beez.ru/images/detailed/0/" TargetMode="External"/><Relationship Id="rId_hyperlink_6587" Type="http://schemas.openxmlformats.org/officeDocument/2006/relationships/hyperlink" Target="https://b2beez.ru/images/detailed/0/" TargetMode="External"/><Relationship Id="rId_hyperlink_6588" Type="http://schemas.openxmlformats.org/officeDocument/2006/relationships/hyperlink" Target="https://b2beez.ru/images/detailed/204/Z-153-U1.jpg" TargetMode="External"/><Relationship Id="rId_hyperlink_6589" Type="http://schemas.openxmlformats.org/officeDocument/2006/relationships/hyperlink" Target="https://b2beez.ru/images/detailed/0/" TargetMode="External"/><Relationship Id="rId_hyperlink_6590" Type="http://schemas.openxmlformats.org/officeDocument/2006/relationships/hyperlink" Target="https://b2beez.ru/images/detailed/0/" TargetMode="External"/><Relationship Id="rId_hyperlink_6591" Type="http://schemas.openxmlformats.org/officeDocument/2006/relationships/hyperlink" Target="https://b2beez.ru/images/detailed/204/d-1546-u1.jpg" TargetMode="External"/><Relationship Id="rId_hyperlink_6592" Type="http://schemas.openxmlformats.org/officeDocument/2006/relationships/hyperlink" Target="https://b2beez.ru/images/detailed/0/" TargetMode="External"/><Relationship Id="rId_hyperlink_6593" Type="http://schemas.openxmlformats.org/officeDocument/2006/relationships/hyperlink" Target="https://b2beez.ru/images/detailed/0/" TargetMode="External"/><Relationship Id="rId_hyperlink_6594" Type="http://schemas.openxmlformats.org/officeDocument/2006/relationships/hyperlink" Target="https://b2beez.ru/images/detailed/0/" TargetMode="External"/><Relationship Id="rId_hyperlink_6595" Type="http://schemas.openxmlformats.org/officeDocument/2006/relationships/hyperlink" Target="https://b2beez.ru/images/detailed/0/" TargetMode="External"/><Relationship Id="rId_hyperlink_6596" Type="http://schemas.openxmlformats.org/officeDocument/2006/relationships/hyperlink" Target="https://b2beez.ru/images/detailed/0/" TargetMode="External"/><Relationship Id="rId_hyperlink_6597" Type="http://schemas.openxmlformats.org/officeDocument/2006/relationships/hyperlink" Target="https://b2beez.ru/images/detailed/0/" TargetMode="External"/><Relationship Id="rId_hyperlink_6598" Type="http://schemas.openxmlformats.org/officeDocument/2006/relationships/hyperlink" Target="https://b2beez.ru/images/detailed/0/" TargetMode="External"/><Relationship Id="rId_hyperlink_6599" Type="http://schemas.openxmlformats.org/officeDocument/2006/relationships/hyperlink" Target="https://b2beez.ru/images/detailed/0/" TargetMode="External"/><Relationship Id="rId_hyperlink_6600" Type="http://schemas.openxmlformats.org/officeDocument/2006/relationships/hyperlink" Target="https://b2beez.ru/images/detailed/0/" TargetMode="External"/><Relationship Id="rId_hyperlink_6601" Type="http://schemas.openxmlformats.org/officeDocument/2006/relationships/hyperlink" Target="https://b2beez.ru/images/detailed/0/" TargetMode="External"/><Relationship Id="rId_hyperlink_6602" Type="http://schemas.openxmlformats.org/officeDocument/2006/relationships/hyperlink" Target="https://b2beez.ru/images/detailed/0/" TargetMode="External"/><Relationship Id="rId_hyperlink_6603" Type="http://schemas.openxmlformats.org/officeDocument/2006/relationships/hyperlink" Target="https://b2beez.ru/images/detailed/0/" TargetMode="External"/><Relationship Id="rId_hyperlink_6604" Type="http://schemas.openxmlformats.org/officeDocument/2006/relationships/hyperlink" Target="https://b2beez.ru/images/detailed/0/" TargetMode="External"/><Relationship Id="rId_hyperlink_6605" Type="http://schemas.openxmlformats.org/officeDocument/2006/relationships/hyperlink" Target="https://b2beez.ru/images/detailed/0/" TargetMode="External"/><Relationship Id="rId_hyperlink_6606" Type="http://schemas.openxmlformats.org/officeDocument/2006/relationships/hyperlink" Target="https://b2beez.ru/images/detailed/0/" TargetMode="External"/><Relationship Id="rId_hyperlink_6607" Type="http://schemas.openxmlformats.org/officeDocument/2006/relationships/hyperlink" Target="https://b2beez.ru/images/detailed/204/D-5161-U1.jpg" TargetMode="External"/><Relationship Id="rId_hyperlink_6608" Type="http://schemas.openxmlformats.org/officeDocument/2006/relationships/hyperlink" Target="https://b2beez.ru/images/detailed/0/" TargetMode="External"/><Relationship Id="rId_hyperlink_6609" Type="http://schemas.openxmlformats.org/officeDocument/2006/relationships/hyperlink" Target="https://b2beez.ru/images/detailed/0/" TargetMode="External"/><Relationship Id="rId_hyperlink_6610" Type="http://schemas.openxmlformats.org/officeDocument/2006/relationships/hyperlink" Target="https://b2beez.ru/images/detailed/0/" TargetMode="External"/><Relationship Id="rId_hyperlink_6611" Type="http://schemas.openxmlformats.org/officeDocument/2006/relationships/hyperlink" Target="https://b2beez.ru/images/detailed/0/" TargetMode="External"/><Relationship Id="rId_hyperlink_6612" Type="http://schemas.openxmlformats.org/officeDocument/2006/relationships/hyperlink" Target="https://b2beez.ru/images/detailed/204/D-4526-U1.jpg" TargetMode="External"/><Relationship Id="rId_hyperlink_6613" Type="http://schemas.openxmlformats.org/officeDocument/2006/relationships/hyperlink" Target="https://b2beez.ru/images/detailed/0/" TargetMode="External"/><Relationship Id="rId_hyperlink_6614" Type="http://schemas.openxmlformats.org/officeDocument/2006/relationships/hyperlink" Target="https://b2beez.ru/images/detailed/0/" TargetMode="External"/><Relationship Id="rId_hyperlink_6615" Type="http://schemas.openxmlformats.org/officeDocument/2006/relationships/hyperlink" Target="https://b2beez.ru/images/detailed/204/D-1555-U1.jpg" TargetMode="External"/><Relationship Id="rId_hyperlink_6616" Type="http://schemas.openxmlformats.org/officeDocument/2006/relationships/hyperlink" Target="https://b2beez.ru/images/detailed/0/" TargetMode="External"/><Relationship Id="rId_hyperlink_6617" Type="http://schemas.openxmlformats.org/officeDocument/2006/relationships/hyperlink" Target="https://b2beez.ru/images/detailed/204/Z-868-U7.jpg" TargetMode="External"/><Relationship Id="rId_hyperlink_6618" Type="http://schemas.openxmlformats.org/officeDocument/2006/relationships/hyperlink" Target="https://b2beez.ru/images/detailed/204/F-53-U1-2.jpg" TargetMode="External"/><Relationship Id="rId_hyperlink_6619" Type="http://schemas.openxmlformats.org/officeDocument/2006/relationships/hyperlink" Target="https://b2beez.ru/images/detailed/0/" TargetMode="External"/><Relationship Id="rId_hyperlink_6620" Type="http://schemas.openxmlformats.org/officeDocument/2006/relationships/hyperlink" Target="https://b2beez.ru/images/detailed/204/G-2959-U2.jpg" TargetMode="External"/><Relationship Id="rId_hyperlink_6621" Type="http://schemas.openxmlformats.org/officeDocument/2006/relationships/hyperlink" Target="https://b2beez.ru/images/detailed/0/" TargetMode="External"/><Relationship Id="rId_hyperlink_6622" Type="http://schemas.openxmlformats.org/officeDocument/2006/relationships/hyperlink" Target="https://b2beez.ru/images/detailed/0/" TargetMode="External"/><Relationship Id="rId_hyperlink_6623" Type="http://schemas.openxmlformats.org/officeDocument/2006/relationships/hyperlink" Target="https://b2beez.ru/images/detailed/0/" TargetMode="External"/><Relationship Id="rId_hyperlink_6624" Type="http://schemas.openxmlformats.org/officeDocument/2006/relationships/hyperlink" Target="https://b2beez.ru/images/detailed/0/" TargetMode="External"/><Relationship Id="rId_hyperlink_6625" Type="http://schemas.openxmlformats.org/officeDocument/2006/relationships/hyperlink" Target="https://b2beez.ru/images/detailed/0/" TargetMode="External"/><Relationship Id="rId_hyperlink_6626" Type="http://schemas.openxmlformats.org/officeDocument/2006/relationships/hyperlink" Target="https://b2beez.ru/images/detailed/0/" TargetMode="External"/><Relationship Id="rId_hyperlink_6627" Type="http://schemas.openxmlformats.org/officeDocument/2006/relationships/hyperlink" Target="https://b2beez.ru/images/detailed/204/D-1449-U2-2.jpg" TargetMode="External"/><Relationship Id="rId_hyperlink_6628" Type="http://schemas.openxmlformats.org/officeDocument/2006/relationships/hyperlink" Target="https://b2beez.ru/images/detailed/0/" TargetMode="External"/><Relationship Id="rId_hyperlink_6629" Type="http://schemas.openxmlformats.org/officeDocument/2006/relationships/hyperlink" Target="https://b2beez.ru/images/detailed/0/" TargetMode="External"/><Relationship Id="rId_hyperlink_6630" Type="http://schemas.openxmlformats.org/officeDocument/2006/relationships/hyperlink" Target="https://b2beez.ru/images/detailed/0/" TargetMode="External"/><Relationship Id="rId_hyperlink_6631" Type="http://schemas.openxmlformats.org/officeDocument/2006/relationships/hyperlink" Target="https://b2beez.ru/images/detailed/0/" TargetMode="External"/><Relationship Id="rId_hyperlink_6632" Type="http://schemas.openxmlformats.org/officeDocument/2006/relationships/hyperlink" Target="https://b2beez.ru/images/detailed/0/" TargetMode="External"/><Relationship Id="rId_hyperlink_6633" Type="http://schemas.openxmlformats.org/officeDocument/2006/relationships/hyperlink" Target="https://b2beez.ru/images/detailed/0/" TargetMode="External"/><Relationship Id="rId_hyperlink_6634" Type="http://schemas.openxmlformats.org/officeDocument/2006/relationships/hyperlink" Target="https://b2beez.ru/images/detailed/204/1610_4667-U1.jpg" TargetMode="External"/><Relationship Id="rId_hyperlink_6635" Type="http://schemas.openxmlformats.org/officeDocument/2006/relationships/hyperlink" Target="https://b2beez.ru/images/detailed/0/" TargetMode="External"/><Relationship Id="rId_hyperlink_6636" Type="http://schemas.openxmlformats.org/officeDocument/2006/relationships/hyperlink" Target="https://b2beez.ru/images/detailed/0/" TargetMode="External"/><Relationship Id="rId_hyperlink_6637" Type="http://schemas.openxmlformats.org/officeDocument/2006/relationships/hyperlink" Target="https://b2beez.ru/images/detailed/0/" TargetMode="External"/><Relationship Id="rId_hyperlink_6638" Type="http://schemas.openxmlformats.org/officeDocument/2006/relationships/hyperlink" Target="https://b2beez.ru/images/detailed/48/orig_l5db-mu.jpg" TargetMode="External"/><Relationship Id="rId_hyperlink_6639" Type="http://schemas.openxmlformats.org/officeDocument/2006/relationships/hyperlink" Target="https://b2beez.ru/images/detailed/172/orig_e4mo-g2.jpg" TargetMode="External"/><Relationship Id="rId_hyperlink_6640" Type="http://schemas.openxmlformats.org/officeDocument/2006/relationships/hyperlink" Target="https://b2beez.ru/images/detailed/172/orig_3844-qc.jpg" TargetMode="External"/><Relationship Id="rId_hyperlink_6641" Type="http://schemas.openxmlformats.org/officeDocument/2006/relationships/hyperlink" Target="https://b2beez.ru/images/detailed/0/" TargetMode="External"/><Relationship Id="rId_hyperlink_6642" Type="http://schemas.openxmlformats.org/officeDocument/2006/relationships/hyperlink" Target="https://b2beez.ru/images/detailed/0/" TargetMode="External"/><Relationship Id="rId_hyperlink_6643" Type="http://schemas.openxmlformats.org/officeDocument/2006/relationships/hyperlink" Target="https://b2beez.ru/images/detailed/171/6914011524.jpg" TargetMode="External"/><Relationship Id="rId_hyperlink_6644" Type="http://schemas.openxmlformats.org/officeDocument/2006/relationships/hyperlink" Target="https://b2beez.ru/images/detailed/0/" TargetMode="External"/><Relationship Id="rId_hyperlink_6645" Type="http://schemas.openxmlformats.org/officeDocument/2006/relationships/hyperlink" Target="https://b2beez.ru/images/detailed/172/orig_48r5-ii.jpg" TargetMode="External"/><Relationship Id="rId_hyperlink_6646" Type="http://schemas.openxmlformats.org/officeDocument/2006/relationships/hyperlink" Target="https://b2beez.ru/images/detailed/172/orig_rkmt-fe.jpg" TargetMode="External"/><Relationship Id="rId_hyperlink_6647" Type="http://schemas.openxmlformats.org/officeDocument/2006/relationships/hyperlink" Target="https://b2beez.ru/images/detailed/172/orig_x9kh-2r.jpg" TargetMode="External"/><Relationship Id="rId_hyperlink_6648" Type="http://schemas.openxmlformats.org/officeDocument/2006/relationships/hyperlink" Target="https://b2beez.ru/images/detailed/155/orig_2xo0-fy.jpg" TargetMode="External"/><Relationship Id="rId_hyperlink_6649" Type="http://schemas.openxmlformats.org/officeDocument/2006/relationships/hyperlink" Target="https://b2beez.ru/images/detailed/155/orig_vyev-pf.jpg" TargetMode="External"/><Relationship Id="rId_hyperlink_6650" Type="http://schemas.openxmlformats.org/officeDocument/2006/relationships/hyperlink" Target="https://b2beez.ru/images/detailed/155/orig_8rk3-sl.jpg" TargetMode="External"/><Relationship Id="rId_hyperlink_6651" Type="http://schemas.openxmlformats.org/officeDocument/2006/relationships/hyperlink" Target="https://b2beez.ru/images/detailed/155/orig_6bli-yy.jpg" TargetMode="External"/><Relationship Id="rId_hyperlink_6652" Type="http://schemas.openxmlformats.org/officeDocument/2006/relationships/hyperlink" Target="https://b2beez.ru/images/detailed/171/orig_hpdp-4p.jpg" TargetMode="External"/><Relationship Id="rId_hyperlink_6653" Type="http://schemas.openxmlformats.org/officeDocument/2006/relationships/hyperlink" Target="https://b2beez.ru/images/detailed/171/orig_cb5e-p5.jpg" TargetMode="External"/><Relationship Id="rId_hyperlink_6654" Type="http://schemas.openxmlformats.org/officeDocument/2006/relationships/hyperlink" Target="https://b2beez.ru/images/detailed/173/orig_jvjd-bh.jpg" TargetMode="External"/><Relationship Id="rId_hyperlink_6655" Type="http://schemas.openxmlformats.org/officeDocument/2006/relationships/hyperlink" Target="https://b2beez.ru/images/detailed/171/orig_7ur2-o7.jpg" TargetMode="External"/><Relationship Id="rId_hyperlink_6656" Type="http://schemas.openxmlformats.org/officeDocument/2006/relationships/hyperlink" Target="https://b2beez.ru/images/detailed/171/orig_2i1a-ha.jpg" TargetMode="External"/><Relationship Id="rId_hyperlink_6657" Type="http://schemas.openxmlformats.org/officeDocument/2006/relationships/hyperlink" Target="https://b2beez.ru/images/detailed/171/orig_r2n2-ii.jpg" TargetMode="External"/><Relationship Id="rId_hyperlink_6658" Type="http://schemas.openxmlformats.org/officeDocument/2006/relationships/hyperlink" Target="https://b2beez.ru/images/detailed/171/orig_j5nz-91.jpg" TargetMode="External"/><Relationship Id="rId_hyperlink_6659" Type="http://schemas.openxmlformats.org/officeDocument/2006/relationships/hyperlink" Target="https://b2beez.ru/images/detailed/171/orig_y5td-ig.jpg" TargetMode="External"/><Relationship Id="rId_hyperlink_6660" Type="http://schemas.openxmlformats.org/officeDocument/2006/relationships/hyperlink" Target="https://b2beez.ru/images/detailed/172/orig_k6z4-71.jpg" TargetMode="External"/><Relationship Id="rId_hyperlink_6661" Type="http://schemas.openxmlformats.org/officeDocument/2006/relationships/hyperlink" Target="https://b2beez.ru/images/detailed/172/orig_hb5j-5c.jpg" TargetMode="External"/><Relationship Id="rId_hyperlink_6662" Type="http://schemas.openxmlformats.org/officeDocument/2006/relationships/hyperlink" Target="https://b2beez.ru/images/detailed/172/6204244100.jpg" TargetMode="External"/><Relationship Id="rId_hyperlink_6663" Type="http://schemas.openxmlformats.org/officeDocument/2006/relationships/hyperlink" Target="https://b2beez.ru/images/detailed/172/orig_f35t-td.jpg" TargetMode="External"/><Relationship Id="rId_hyperlink_6664" Type="http://schemas.openxmlformats.org/officeDocument/2006/relationships/hyperlink" Target="https://b2beez.ru/images/detailed/172/orig_phvj-7z.jpg" TargetMode="External"/><Relationship Id="rId_hyperlink_6665" Type="http://schemas.openxmlformats.org/officeDocument/2006/relationships/hyperlink" Target="https://b2beez.ru/images/detailed/172/orig_754s-kd.jpg" TargetMode="External"/><Relationship Id="rId_hyperlink_6666" Type="http://schemas.openxmlformats.org/officeDocument/2006/relationships/hyperlink" Target="https://b2beez.ru/images/detailed/172/orig_dje3-om.jpg" TargetMode="External"/><Relationship Id="rId_hyperlink_6667" Type="http://schemas.openxmlformats.org/officeDocument/2006/relationships/hyperlink" Target="https://b2beez.ru/images/detailed/172/orig_kxzx-p1.jpg" TargetMode="External"/><Relationship Id="rId_hyperlink_6668" Type="http://schemas.openxmlformats.org/officeDocument/2006/relationships/hyperlink" Target="https://b2beez.ru/images/detailed/171/orig_fd45-9u.jpg" TargetMode="External"/><Relationship Id="rId_hyperlink_6669" Type="http://schemas.openxmlformats.org/officeDocument/2006/relationships/hyperlink" Target="https://b2beez.ru/images/detailed/171/orig_uutw-qe.jpg" TargetMode="External"/><Relationship Id="rId_hyperlink_6670" Type="http://schemas.openxmlformats.org/officeDocument/2006/relationships/hyperlink" Target="https://b2beez.ru/images/detailed/171/orig_50y5-7q.jpg" TargetMode="External"/><Relationship Id="rId_hyperlink_6671" Type="http://schemas.openxmlformats.org/officeDocument/2006/relationships/hyperlink" Target="https://b2beez.ru/images/detailed/171/orig_ok4m-ix.jpg" TargetMode="External"/><Relationship Id="rId_hyperlink_6672" Type="http://schemas.openxmlformats.org/officeDocument/2006/relationships/hyperlink" Target="https://b2beez.ru/images/detailed/171/orig_v7up-6r.jpg" TargetMode="External"/><Relationship Id="rId_hyperlink_6673" Type="http://schemas.openxmlformats.org/officeDocument/2006/relationships/hyperlink" Target="https://b2beez.ru/images/detailed/171/orig_kgjn-g9.jpg" TargetMode="External"/><Relationship Id="rId_hyperlink_6674" Type="http://schemas.openxmlformats.org/officeDocument/2006/relationships/hyperlink" Target="https://b2beez.ru/images/detailed/172/orig_f4n9-if.jpg" TargetMode="External"/><Relationship Id="rId_hyperlink_6675" Type="http://schemas.openxmlformats.org/officeDocument/2006/relationships/hyperlink" Target="https://b2beez.ru/images/detailed/184/6809460375.jpg" TargetMode="External"/><Relationship Id="rId_hyperlink_6676" Type="http://schemas.openxmlformats.org/officeDocument/2006/relationships/hyperlink" Target="https://b2beez.ru/images/detailed/186/orig_ek5i-fi.jpg" TargetMode="External"/><Relationship Id="rId_hyperlink_6677" Type="http://schemas.openxmlformats.org/officeDocument/2006/relationships/hyperlink" Target="https://b2beez.ru/images/detailed/186/orig_zrtn-8e.jpg" TargetMode="External"/><Relationship Id="rId_hyperlink_6678" Type="http://schemas.openxmlformats.org/officeDocument/2006/relationships/hyperlink" Target="https://b2beez.ru/images/detailed/187/orig_dvq0-ox.jpg" TargetMode="External"/><Relationship Id="rId_hyperlink_6679" Type="http://schemas.openxmlformats.org/officeDocument/2006/relationships/hyperlink" Target="https://b2beez.ru/images/detailed/187/orig_pvsn-h3.jpg" TargetMode="External"/><Relationship Id="rId_hyperlink_6680" Type="http://schemas.openxmlformats.org/officeDocument/2006/relationships/hyperlink" Target="https://b2beez.ru/images/detailed/187/orig_v8yr-jp.jpg" TargetMode="External"/><Relationship Id="rId_hyperlink_6681" Type="http://schemas.openxmlformats.org/officeDocument/2006/relationships/hyperlink" Target="https://b2beez.ru/images/detailed/187/orig_zwry-q7.jpg" TargetMode="External"/><Relationship Id="rId_hyperlink_6682" Type="http://schemas.openxmlformats.org/officeDocument/2006/relationships/hyperlink" Target="https://b2beez.ru/images/detailed/187/orig_6zch-of.jpg" TargetMode="External"/><Relationship Id="rId_hyperlink_6683" Type="http://schemas.openxmlformats.org/officeDocument/2006/relationships/hyperlink" Target="https://b2beez.ru/images/detailed/187/orig_kbwx-84.jpg" TargetMode="External"/><Relationship Id="rId_hyperlink_6684" Type="http://schemas.openxmlformats.org/officeDocument/2006/relationships/hyperlink" Target="https://b2beez.ru/images/detailed/187/orig_0xha-ce.jpg" TargetMode="External"/><Relationship Id="rId_hyperlink_6685" Type="http://schemas.openxmlformats.org/officeDocument/2006/relationships/hyperlink" Target="https://b2beez.ru/images/detailed/187/orig_efxf-t9.jpg" TargetMode="External"/><Relationship Id="rId_hyperlink_6686" Type="http://schemas.openxmlformats.org/officeDocument/2006/relationships/hyperlink" Target="https://b2beez.ru/images/detailed/187/orig_ou0j-0r.jpg" TargetMode="External"/><Relationship Id="rId_hyperlink_6687" Type="http://schemas.openxmlformats.org/officeDocument/2006/relationships/hyperlink" Target="https://b2beez.ru/images/detailed/187/orig_mb53-oz.jpg" TargetMode="External"/><Relationship Id="rId_hyperlink_6688" Type="http://schemas.openxmlformats.org/officeDocument/2006/relationships/hyperlink" Target="https://b2beez.ru/images/detailed/187/orig_74le-uh.jpg" TargetMode="External"/><Relationship Id="rId_hyperlink_6689" Type="http://schemas.openxmlformats.org/officeDocument/2006/relationships/hyperlink" Target="https://b2beez.ru/images/detailed/176/orig_onbh-cb.jpg" TargetMode="External"/><Relationship Id="rId_hyperlink_6690" Type="http://schemas.openxmlformats.org/officeDocument/2006/relationships/hyperlink" Target="https://b2beez.ru/images/detailed/176/orig_zwhd-vo.jpg" TargetMode="External"/><Relationship Id="rId_hyperlink_6691" Type="http://schemas.openxmlformats.org/officeDocument/2006/relationships/hyperlink" Target="https://b2beez.ru/images/detailed/176/orig_xtjh-ip.jpg" TargetMode="External"/><Relationship Id="rId_hyperlink_6692" Type="http://schemas.openxmlformats.org/officeDocument/2006/relationships/hyperlink" Target="https://b2beez.ru/images/detailed/176/orig_occ9-4w.jpg" TargetMode="External"/><Relationship Id="rId_hyperlink_6693" Type="http://schemas.openxmlformats.org/officeDocument/2006/relationships/hyperlink" Target="https://b2beez.ru/images/detailed/176/orig_f4nm-5l.jpg" TargetMode="External"/><Relationship Id="rId_hyperlink_6694" Type="http://schemas.openxmlformats.org/officeDocument/2006/relationships/hyperlink" Target="https://b2beez.ru/images/detailed/176/orig_id6x-ld.jpg" TargetMode="External"/><Relationship Id="rId_hyperlink_6695" Type="http://schemas.openxmlformats.org/officeDocument/2006/relationships/hyperlink" Target="https://b2beez.ru/images/detailed/177/orig_hevq-mn.jpg" TargetMode="External"/><Relationship Id="rId_hyperlink_6696" Type="http://schemas.openxmlformats.org/officeDocument/2006/relationships/hyperlink" Target="https://b2beez.ru/images/detailed/177/orig_fumc-hl.jpg" TargetMode="External"/><Relationship Id="rId_hyperlink_6697" Type="http://schemas.openxmlformats.org/officeDocument/2006/relationships/hyperlink" Target="https://b2beez.ru/images/detailed/177/orig_bsg5-wa.jpg" TargetMode="External"/><Relationship Id="rId_hyperlink_6698" Type="http://schemas.openxmlformats.org/officeDocument/2006/relationships/hyperlink" Target="https://b2beez.ru/images/detailed/177/orig_ynna-bh.jpg" TargetMode="External"/><Relationship Id="rId_hyperlink_6699" Type="http://schemas.openxmlformats.org/officeDocument/2006/relationships/hyperlink" Target="https://b2beez.ru/images/detailed/176/orig_7d1l-ba.jpg" TargetMode="External"/><Relationship Id="rId_hyperlink_6700" Type="http://schemas.openxmlformats.org/officeDocument/2006/relationships/hyperlink" Target="https://b2beez.ru/images/detailed/176/orig_yepd-mh.jpg" TargetMode="External"/><Relationship Id="rId_hyperlink_6701" Type="http://schemas.openxmlformats.org/officeDocument/2006/relationships/hyperlink" Target="https://b2beez.ru/images/detailed/187/orig_bppv-xi.jpg" TargetMode="External"/><Relationship Id="rId_hyperlink_6702" Type="http://schemas.openxmlformats.org/officeDocument/2006/relationships/hyperlink" Target="https://b2beez.ru/images/detailed/187/orig_mdd0-7b.jpg" TargetMode="External"/><Relationship Id="rId_hyperlink_6703" Type="http://schemas.openxmlformats.org/officeDocument/2006/relationships/hyperlink" Target="https://b2beez.ru/images/detailed/187/orig_j77h-yf.jpg" TargetMode="External"/><Relationship Id="rId_hyperlink_6704" Type="http://schemas.openxmlformats.org/officeDocument/2006/relationships/hyperlink" Target="https://b2beez.ru/images/detailed/187/orig_ykfx-75.jpg" TargetMode="External"/><Relationship Id="rId_hyperlink_6705" Type="http://schemas.openxmlformats.org/officeDocument/2006/relationships/hyperlink" Target="https://b2beez.ru/images/detailed/187/orig_ffs8-dy.jpg" TargetMode="External"/><Relationship Id="rId_hyperlink_6706" Type="http://schemas.openxmlformats.org/officeDocument/2006/relationships/hyperlink" Target="https://b2beez.ru/images/detailed/187/orig_if52-gy.jpg" TargetMode="External"/><Relationship Id="rId_hyperlink_6707" Type="http://schemas.openxmlformats.org/officeDocument/2006/relationships/hyperlink" Target="https://b2beez.ru/images/detailed/187/orig_y27s-ik.jpg" TargetMode="External"/><Relationship Id="rId_hyperlink_6708" Type="http://schemas.openxmlformats.org/officeDocument/2006/relationships/hyperlink" Target="https://b2beez.ru/images/detailed/187/orig_gjyf-u1.jpg" TargetMode="External"/><Relationship Id="rId_hyperlink_6709" Type="http://schemas.openxmlformats.org/officeDocument/2006/relationships/hyperlink" Target="https://b2beez.ru/images/detailed/187/orig_rnst-cc.jpg" TargetMode="External"/><Relationship Id="rId_hyperlink_6710" Type="http://schemas.openxmlformats.org/officeDocument/2006/relationships/hyperlink" Target="https://b2beez.ru/images/detailed/187/orig_3f7f-yq.jpg" TargetMode="External"/><Relationship Id="rId_hyperlink_6711" Type="http://schemas.openxmlformats.org/officeDocument/2006/relationships/hyperlink" Target="https://b2beez.ru/images/detailed/177/orig_r1v3-tg.jpg" TargetMode="External"/><Relationship Id="rId_hyperlink_6712" Type="http://schemas.openxmlformats.org/officeDocument/2006/relationships/hyperlink" Target="https://b2beez.ru/images/detailed/177/orig_1sg0-mf.jpg" TargetMode="External"/><Relationship Id="rId_hyperlink_6713" Type="http://schemas.openxmlformats.org/officeDocument/2006/relationships/hyperlink" Target="https://b2beez.ru/images/detailed/187/orig_5bsn-n7.jpg" TargetMode="External"/><Relationship Id="rId_hyperlink_6714" Type="http://schemas.openxmlformats.org/officeDocument/2006/relationships/hyperlink" Target="https://b2beez.ru/images/detailed/175/orig_ew23-1b.jpg" TargetMode="External"/><Relationship Id="rId_hyperlink_6715" Type="http://schemas.openxmlformats.org/officeDocument/2006/relationships/hyperlink" Target="https://b2beez.ru/images/detailed/175/6702902310.jpg" TargetMode="External"/><Relationship Id="rId_hyperlink_6716" Type="http://schemas.openxmlformats.org/officeDocument/2006/relationships/hyperlink" Target="https://b2beez.ru/images/detailed/175/orig_rkdj-wz.jpg" TargetMode="External"/><Relationship Id="rId_hyperlink_6717" Type="http://schemas.openxmlformats.org/officeDocument/2006/relationships/hyperlink" Target="https://b2beez.ru/images/detailed/175/orig_h24f-vh.png" TargetMode="External"/><Relationship Id="rId_hyperlink_6718" Type="http://schemas.openxmlformats.org/officeDocument/2006/relationships/hyperlink" Target="https://b2beez.ru/images/detailed/187/orig_8ld0-ga.jpg" TargetMode="External"/><Relationship Id="rId_hyperlink_6719" Type="http://schemas.openxmlformats.org/officeDocument/2006/relationships/hyperlink" Target="https://b2beez.ru/images/detailed/187/orig_yd0h-qh.jpg" TargetMode="External"/><Relationship Id="rId_hyperlink_6720" Type="http://schemas.openxmlformats.org/officeDocument/2006/relationships/hyperlink" Target="https://b2beez.ru/images/detailed/187/orig_q9eq-7u.jpg" TargetMode="External"/><Relationship Id="rId_hyperlink_6721" Type="http://schemas.openxmlformats.org/officeDocument/2006/relationships/hyperlink" Target="https://b2beez.ru/images/detailed/187/orig_w5sr-mg.jpg" TargetMode="External"/><Relationship Id="rId_hyperlink_6722" Type="http://schemas.openxmlformats.org/officeDocument/2006/relationships/hyperlink" Target="https://b2beez.ru/images/detailed/177/orig_svwj-gq.jpg" TargetMode="External"/><Relationship Id="rId_hyperlink_6723" Type="http://schemas.openxmlformats.org/officeDocument/2006/relationships/hyperlink" Target="https://b2beez.ru/images/detailed/177/orig_wq7n-g0.jpg" TargetMode="External"/><Relationship Id="rId_hyperlink_6724" Type="http://schemas.openxmlformats.org/officeDocument/2006/relationships/hyperlink" Target="https://b2beez.ru/images/detailed/187/orig_a657-kj.jpg" TargetMode="External"/><Relationship Id="rId_hyperlink_6725" Type="http://schemas.openxmlformats.org/officeDocument/2006/relationships/hyperlink" Target="https://b2beez.ru/images/detailed/187/orig_08di-kr.jpg" TargetMode="External"/><Relationship Id="rId_hyperlink_6726" Type="http://schemas.openxmlformats.org/officeDocument/2006/relationships/hyperlink" Target="https://b2beez.ru/images/detailed/187/orig_02qt-m2.jpg" TargetMode="External"/><Relationship Id="rId_hyperlink_6727" Type="http://schemas.openxmlformats.org/officeDocument/2006/relationships/hyperlink" Target="https://b2beez.ru/images/detailed/187/orig_wxtr-28.jpg" TargetMode="External"/><Relationship Id="rId_hyperlink_6728" Type="http://schemas.openxmlformats.org/officeDocument/2006/relationships/hyperlink" Target="https://b2beez.ru/images/detailed/187/orig_019f-fp.jpg" TargetMode="External"/><Relationship Id="rId_hyperlink_6729" Type="http://schemas.openxmlformats.org/officeDocument/2006/relationships/hyperlink" Target="https://b2beez.ru/images/detailed/187/orig_eic8-40.jpg" TargetMode="External"/><Relationship Id="rId_hyperlink_6730" Type="http://schemas.openxmlformats.org/officeDocument/2006/relationships/hyperlink" Target="https://b2beez.ru/images/detailed/187/orig_7jxb-la.jpg" TargetMode="External"/><Relationship Id="rId_hyperlink_6731" Type="http://schemas.openxmlformats.org/officeDocument/2006/relationships/hyperlink" Target="https://b2beez.ru/images/detailed/177/orig_y2vm-vt.jpg" TargetMode="External"/><Relationship Id="rId_hyperlink_6732" Type="http://schemas.openxmlformats.org/officeDocument/2006/relationships/hyperlink" Target="https://b2beez.ru/images/detailed/177/orig_35cj-u4.jpg" TargetMode="External"/><Relationship Id="rId_hyperlink_6733" Type="http://schemas.openxmlformats.org/officeDocument/2006/relationships/hyperlink" Target="https://b2beez.ru/images/detailed/177/orig_z1bl-59.jpg" TargetMode="External"/><Relationship Id="rId_hyperlink_6734" Type="http://schemas.openxmlformats.org/officeDocument/2006/relationships/hyperlink" Target="https://b2beez.ru/images/detailed/187/orig_any8-2t.jpg" TargetMode="External"/><Relationship Id="rId_hyperlink_6735" Type="http://schemas.openxmlformats.org/officeDocument/2006/relationships/hyperlink" Target="https://b2beez.ru/images/detailed/187/orig_gphq-7g.jpg" TargetMode="External"/><Relationship Id="rId_hyperlink_6736" Type="http://schemas.openxmlformats.org/officeDocument/2006/relationships/hyperlink" Target="https://b2beez.ru/images/detailed/187/orig_cvov-1g.jpg" TargetMode="External"/><Relationship Id="rId_hyperlink_6737" Type="http://schemas.openxmlformats.org/officeDocument/2006/relationships/hyperlink" Target="https://b2beez.ru/images/detailed/182/orig_vfh8-sz.jpg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to-express.org/" TargetMode="External"/><Relationship Id="rId_hyperlink_2" Type="http://schemas.openxmlformats.org/officeDocument/2006/relationships/hyperlink" Target="https://youtu.be/Mm0SVGZVv3g" TargetMode="External"/><Relationship Id="rId_hyperlink_3" Type="http://schemas.openxmlformats.org/officeDocument/2006/relationships/hyperlink" Target="https://youtu.be/DUqeb25lW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G1048576"/>
  <sheetViews>
    <sheetView tabSelected="1" workbookViewId="0" showGridLines="true" showRowColHeaders="1">
      <pane ySplit="8" activePane="bottomLeft" state="frozen" topLeftCell="A9"/>
      <selection pane="bottomLeft" activeCell="G6975" sqref="G6975"/>
    </sheetView>
  </sheetViews>
  <sheetFormatPr defaultRowHeight="14.4" defaultColWidth="8.6796875" outlineLevelRow="0" outlineLevelCol="0"/>
  <cols>
    <col min="1" max="1" width="11" customWidth="true" style="1"/>
    <col min="2" max="2" width="114" customWidth="true" style="1"/>
    <col min="4" max="4" width="12" customWidth="true" style="1"/>
    <col min="6" max="6" width="16" customWidth="true" style="1"/>
    <col min="7" max="7" width="9.10" customWidth="true" style="17"/>
  </cols>
  <sheetData>
    <row r="1" spans="1:7" customHeight="1" ht="14.25">
      <c r="A1" s="2"/>
      <c r="B1" s="2"/>
      <c r="C1" s="2"/>
      <c r="D1" s="2"/>
      <c r="E1" s="2"/>
      <c r="F1" s="2"/>
    </row>
    <row r="2" spans="1:7" customHeight="1" ht="17.35">
      <c r="A2" s="3" t="s">
        <v>0</v>
      </c>
      <c r="B2" s="3"/>
      <c r="C2" s="3"/>
      <c r="D2" s="3"/>
      <c r="E2" s="3"/>
      <c r="F2" s="3"/>
    </row>
    <row r="3" spans="1:7" customHeight="1" ht="30">
      <c r="A3" s="4" t="s">
        <v>1</v>
      </c>
      <c r="B3" s="4"/>
      <c r="C3" s="4"/>
      <c r="D3" s="4"/>
      <c r="E3" s="4"/>
      <c r="F3" s="4"/>
    </row>
    <row r="4" spans="1:7" customHeight="1" ht="19.5">
      <c r="A4" s="5" t="s">
        <v>2</v>
      </c>
      <c r="B4" s="5"/>
      <c r="C4" s="5"/>
      <c r="D4" s="5"/>
      <c r="E4" s="5"/>
      <c r="F4" s="5"/>
    </row>
    <row r="5" spans="1:7" customHeight="1" ht="19.5">
      <c r="A5" s="6" t="s">
        <v>3</v>
      </c>
      <c r="B5" s="6"/>
      <c r="C5" s="6"/>
      <c r="D5" s="6"/>
      <c r="E5" s="6"/>
      <c r="F5" s="6"/>
    </row>
    <row r="6" spans="1:7" customHeight="1" ht="19.7">
      <c r="A6" s="7"/>
      <c r="B6" s="8" t="s">
        <v>4</v>
      </c>
      <c r="E6" s="7" t="s">
        <v>5</v>
      </c>
      <c r="F6" s="7">
        <f>SUM(E9:E23567)</f>
        <v>0</v>
      </c>
    </row>
    <row r="7" spans="1:7" customHeight="1" ht="19.7">
      <c r="A7" s="1" t="s">
        <v>6</v>
      </c>
      <c r="B7" s="9">
        <v>0</v>
      </c>
    </row>
    <row r="8" spans="1:7" customHeight="1" ht="14.25">
      <c r="A8" s="10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7">
        <v>6978</v>
      </c>
    </row>
    <row r="9" spans="1:7">
      <c r="A9" s="16"/>
      <c r="B9" s="16" t="s">
        <v>13</v>
      </c>
      <c r="C9" s="16"/>
      <c r="D9" s="16"/>
      <c r="E9" s="16"/>
      <c r="F9" s="16"/>
    </row>
    <row r="10" spans="1:7">
      <c r="A10" s="1" t="s">
        <v>14</v>
      </c>
      <c r="B10" s="1" t="s">
        <v>15</v>
      </c>
      <c r="C10">
        <f>(1-(B7/100))*1000</f>
        <v>1000</v>
      </c>
      <c r="D10" s="1">
        <v>0</v>
      </c>
      <c r="E10">
        <f>D10*C10</f>
        <v>0</v>
      </c>
      <c r="F10" s="1" t="s">
        <v>16</v>
      </c>
      <c r="G10" s="17">
        <v>72157</v>
      </c>
    </row>
    <row r="11" spans="1:7">
      <c r="A11" s="16"/>
      <c r="B11" s="16" t="s">
        <v>13</v>
      </c>
      <c r="C11" s="16"/>
      <c r="D11" s="16"/>
      <c r="E11" s="16"/>
      <c r="F11" s="16"/>
    </row>
    <row r="12" spans="1:7">
      <c r="A12" s="1" t="s">
        <v>17</v>
      </c>
      <c r="B12" s="1" t="s">
        <v>18</v>
      </c>
      <c r="C12">
        <f>(1-(B7/100))*1238.76</f>
        <v>1238.76</v>
      </c>
      <c r="D12" s="1">
        <v>0</v>
      </c>
      <c r="E12">
        <f>D12*C12</f>
        <v>0</v>
      </c>
      <c r="F12" s="1" t="s">
        <v>19</v>
      </c>
      <c r="G12" s="17">
        <v>63112</v>
      </c>
    </row>
    <row r="13" spans="1:7">
      <c r="A13" s="1" t="s">
        <v>20</v>
      </c>
      <c r="B13" s="1" t="s">
        <v>21</v>
      </c>
      <c r="C13">
        <f>(1-(B7/100))*1014.81</f>
        <v>1014.81</v>
      </c>
      <c r="D13" s="1">
        <v>0</v>
      </c>
      <c r="E13">
        <f>D13*C13</f>
        <v>0</v>
      </c>
      <c r="F13" s="1" t="s">
        <v>22</v>
      </c>
      <c r="G13" s="17">
        <v>63114</v>
      </c>
    </row>
    <row r="14" spans="1:7">
      <c r="A14" s="1" t="s">
        <v>23</v>
      </c>
      <c r="B14" s="1" t="s">
        <v>24</v>
      </c>
      <c r="C14">
        <f>(1-(B7/100))*1269.24</f>
        <v>1269.24</v>
      </c>
      <c r="D14" s="1">
        <v>0</v>
      </c>
      <c r="E14">
        <f>D14*C14</f>
        <v>0</v>
      </c>
      <c r="F14" s="1" t="s">
        <v>25</v>
      </c>
      <c r="G14" s="17">
        <v>70222</v>
      </c>
    </row>
    <row r="15" spans="1:7">
      <c r="A15" s="1" t="s">
        <v>26</v>
      </c>
      <c r="B15" s="1" t="s">
        <v>27</v>
      </c>
      <c r="C15">
        <f>(1-(B7/100))*1293.94</f>
        <v>1293.94</v>
      </c>
      <c r="D15" s="1">
        <v>0</v>
      </c>
      <c r="E15">
        <f>D15*C15</f>
        <v>0</v>
      </c>
      <c r="F15" s="1" t="s">
        <v>28</v>
      </c>
      <c r="G15" s="17">
        <v>71097</v>
      </c>
    </row>
    <row r="16" spans="1:7">
      <c r="A16" s="1" t="s">
        <v>29</v>
      </c>
      <c r="B16" s="1" t="s">
        <v>30</v>
      </c>
      <c r="C16">
        <f>(1-(B7/100))*1040.93</f>
        <v>1040.93</v>
      </c>
      <c r="D16" s="1">
        <v>0</v>
      </c>
      <c r="E16">
        <f>D16*C16</f>
        <v>0</v>
      </c>
      <c r="F16" s="1" t="s">
        <v>16</v>
      </c>
      <c r="G16" s="17">
        <v>71928</v>
      </c>
    </row>
    <row r="17" spans="1:7">
      <c r="A17" s="1" t="s">
        <v>31</v>
      </c>
      <c r="B17" s="1" t="s">
        <v>32</v>
      </c>
      <c r="C17">
        <f>(1-(B7/100))*1412.99</f>
        <v>1412.99</v>
      </c>
      <c r="D17" s="1">
        <v>0</v>
      </c>
      <c r="E17">
        <f>D17*C17</f>
        <v>0</v>
      </c>
      <c r="F17" s="1" t="s">
        <v>33</v>
      </c>
      <c r="G17" s="17">
        <v>72280</v>
      </c>
    </row>
    <row r="18" spans="1:7">
      <c r="A18" s="1" t="s">
        <v>34</v>
      </c>
      <c r="B18" s="1" t="s">
        <v>35</v>
      </c>
      <c r="C18">
        <f>(1-(B7/100))*1297.47</f>
        <v>1297.47</v>
      </c>
      <c r="D18" s="1">
        <v>0</v>
      </c>
      <c r="E18">
        <f>D18*C18</f>
        <v>0</v>
      </c>
      <c r="F18" s="1" t="s">
        <v>36</v>
      </c>
      <c r="G18" s="17">
        <v>73461</v>
      </c>
    </row>
    <row r="19" spans="1:7">
      <c r="A19" s="1" t="s">
        <v>37</v>
      </c>
      <c r="B19" s="1" t="s">
        <v>38</v>
      </c>
      <c r="C19">
        <f>(1-(B7/100))*3091.3</f>
        <v>3091.3</v>
      </c>
      <c r="D19" s="1">
        <v>0</v>
      </c>
      <c r="E19">
        <f>D19*C19</f>
        <v>0</v>
      </c>
      <c r="F19" s="1" t="s">
        <v>39</v>
      </c>
      <c r="G19" s="17">
        <v>74301</v>
      </c>
    </row>
    <row r="20" spans="1:7">
      <c r="A20" s="1" t="s">
        <v>40</v>
      </c>
      <c r="B20" s="1" t="s">
        <v>41</v>
      </c>
      <c r="C20">
        <f>(1-(B7/100))*2089.4</f>
        <v>2089.4</v>
      </c>
      <c r="D20" s="1">
        <v>0</v>
      </c>
      <c r="E20">
        <f>D20*C20</f>
        <v>0</v>
      </c>
      <c r="F20" s="1" t="s">
        <v>42</v>
      </c>
      <c r="G20" s="17">
        <v>86366</v>
      </c>
    </row>
    <row r="21" spans="1:7">
      <c r="A21" s="1" t="s">
        <v>43</v>
      </c>
      <c r="B21" s="1" t="s">
        <v>44</v>
      </c>
      <c r="C21">
        <f>(1-(B7/100))*3069.4</f>
        <v>3069.4</v>
      </c>
      <c r="D21" s="1">
        <v>0</v>
      </c>
      <c r="E21">
        <f>D21*C21</f>
        <v>0</v>
      </c>
      <c r="F21" s="1" t="s">
        <v>45</v>
      </c>
      <c r="G21" s="17">
        <v>88066</v>
      </c>
    </row>
    <row r="22" spans="1:7">
      <c r="A22" s="16"/>
      <c r="B22" s="16" t="s">
        <v>46</v>
      </c>
      <c r="C22" s="16"/>
      <c r="D22" s="16"/>
      <c r="E22" s="16"/>
      <c r="F22" s="16"/>
    </row>
    <row r="23" spans="1:7">
      <c r="A23" s="1" t="s">
        <v>47</v>
      </c>
      <c r="B23" s="1" t="s">
        <v>48</v>
      </c>
      <c r="C23">
        <f>(1-(B7/100))*32.49</f>
        <v>32.49</v>
      </c>
      <c r="D23" s="1">
        <v>0</v>
      </c>
      <c r="E23">
        <f>D23*C23</f>
        <v>0</v>
      </c>
      <c r="F23" s="1" t="s">
        <v>49</v>
      </c>
      <c r="G23" s="17">
        <v>84392</v>
      </c>
    </row>
    <row r="24" spans="1:7">
      <c r="A24" s="16"/>
      <c r="B24" s="16" t="s">
        <v>50</v>
      </c>
      <c r="C24" s="16"/>
      <c r="D24" s="16"/>
      <c r="E24" s="16"/>
      <c r="F24" s="16"/>
    </row>
    <row r="25" spans="1:7">
      <c r="A25" s="16"/>
      <c r="B25" s="16" t="s">
        <v>51</v>
      </c>
      <c r="C25" s="16"/>
      <c r="D25" s="16"/>
      <c r="E25" s="16"/>
      <c r="F25" s="16"/>
    </row>
    <row r="26" spans="1:7">
      <c r="A26" s="16"/>
      <c r="B26" s="16" t="s">
        <v>52</v>
      </c>
      <c r="C26" s="16"/>
      <c r="D26" s="16"/>
      <c r="E26" s="16"/>
      <c r="F26" s="16"/>
    </row>
    <row r="27" spans="1:7">
      <c r="A27" s="1" t="s">
        <v>53</v>
      </c>
      <c r="B27" s="1" t="s">
        <v>54</v>
      </c>
      <c r="C27">
        <f>(1-(B7/100))*1788.53</f>
        <v>1788.53</v>
      </c>
      <c r="D27" s="1">
        <v>0</v>
      </c>
      <c r="E27">
        <f>D27*C27</f>
        <v>0</v>
      </c>
      <c r="F27" s="1" t="s">
        <v>55</v>
      </c>
      <c r="G27" s="17">
        <v>72130</v>
      </c>
    </row>
    <row r="28" spans="1:7">
      <c r="A28" s="1" t="s">
        <v>56</v>
      </c>
      <c r="B28" s="1" t="s">
        <v>57</v>
      </c>
      <c r="C28">
        <f>(1-(B7/100))*44.22</f>
        <v>44.22</v>
      </c>
      <c r="D28" s="1">
        <v>0</v>
      </c>
      <c r="E28">
        <f>D28*C28</f>
        <v>0</v>
      </c>
      <c r="F28" s="1" t="s">
        <v>58</v>
      </c>
      <c r="G28" s="17">
        <v>74315</v>
      </c>
    </row>
    <row r="29" spans="1:7">
      <c r="A29" s="1" t="s">
        <v>59</v>
      </c>
      <c r="B29" s="1" t="s">
        <v>60</v>
      </c>
      <c r="C29">
        <f>(1-(B7/100))*1249.12</f>
        <v>1249.12</v>
      </c>
      <c r="D29" s="1">
        <v>0</v>
      </c>
      <c r="E29">
        <f>D29*C29</f>
        <v>0</v>
      </c>
      <c r="F29" s="1" t="s">
        <v>16</v>
      </c>
      <c r="G29" s="17">
        <v>87892</v>
      </c>
    </row>
    <row r="30" spans="1:7">
      <c r="A30" s="1" t="s">
        <v>61</v>
      </c>
      <c r="B30" s="1" t="s">
        <v>62</v>
      </c>
      <c r="C30">
        <f>(1-(B7/100))*2466.89</f>
        <v>2466.89</v>
      </c>
      <c r="D30" s="1">
        <v>0</v>
      </c>
      <c r="E30">
        <f>D30*C30</f>
        <v>0</v>
      </c>
      <c r="F30" s="1" t="s">
        <v>63</v>
      </c>
      <c r="G30" s="17">
        <v>88170</v>
      </c>
    </row>
    <row r="31" spans="1:7">
      <c r="A31" s="16"/>
      <c r="B31" s="16" t="s">
        <v>64</v>
      </c>
      <c r="C31" s="16"/>
      <c r="D31" s="16"/>
      <c r="E31" s="16"/>
      <c r="F31" s="16"/>
    </row>
    <row r="32" spans="1:7">
      <c r="A32" s="1" t="s">
        <v>65</v>
      </c>
      <c r="B32" s="1" t="s">
        <v>66</v>
      </c>
      <c r="C32">
        <f>(1-(B7/100))*57.12</f>
        <v>57.12</v>
      </c>
      <c r="D32" s="1">
        <v>0</v>
      </c>
      <c r="E32">
        <f>D32*C32</f>
        <v>0</v>
      </c>
      <c r="F32" s="1" t="s">
        <v>67</v>
      </c>
      <c r="G32" s="17">
        <v>64789</v>
      </c>
    </row>
    <row r="33" spans="1:7">
      <c r="A33" s="1" t="s">
        <v>68</v>
      </c>
      <c r="B33" s="1" t="s">
        <v>69</v>
      </c>
      <c r="C33">
        <f>(1-(B7/100))*57.12</f>
        <v>57.12</v>
      </c>
      <c r="D33" s="1">
        <v>0</v>
      </c>
      <c r="E33">
        <f>D33*C33</f>
        <v>0</v>
      </c>
      <c r="F33" s="1" t="s">
        <v>70</v>
      </c>
      <c r="G33" s="17">
        <v>64933</v>
      </c>
    </row>
    <row r="34" spans="1:7">
      <c r="A34" s="1" t="s">
        <v>71</v>
      </c>
      <c r="B34" s="1" t="s">
        <v>72</v>
      </c>
      <c r="C34">
        <f>(1-(B7/100))*57.12</f>
        <v>57.12</v>
      </c>
      <c r="D34" s="1">
        <v>0</v>
      </c>
      <c r="E34">
        <f>D34*C34</f>
        <v>0</v>
      </c>
      <c r="F34" s="1" t="s">
        <v>73</v>
      </c>
      <c r="G34" s="17">
        <v>69307</v>
      </c>
    </row>
    <row r="35" spans="1:7">
      <c r="A35" s="1" t="s">
        <v>74</v>
      </c>
      <c r="B35" s="1" t="s">
        <v>75</v>
      </c>
      <c r="C35">
        <f>(1-(B7/100))*57.12</f>
        <v>57.12</v>
      </c>
      <c r="D35" s="1">
        <v>0</v>
      </c>
      <c r="E35">
        <f>D35*C35</f>
        <v>0</v>
      </c>
      <c r="F35" s="1" t="s">
        <v>76</v>
      </c>
      <c r="G35" s="17">
        <v>69312</v>
      </c>
    </row>
    <row r="36" spans="1:7">
      <c r="A36" s="1" t="s">
        <v>77</v>
      </c>
      <c r="B36" s="1" t="s">
        <v>78</v>
      </c>
      <c r="C36">
        <f>(1-(B7/100))*71.85</f>
        <v>71.85</v>
      </c>
      <c r="D36" s="1">
        <v>0</v>
      </c>
      <c r="E36">
        <f>D36*C36</f>
        <v>0</v>
      </c>
      <c r="F36" s="1" t="s">
        <v>79</v>
      </c>
      <c r="G36" s="17">
        <v>69315</v>
      </c>
    </row>
    <row r="37" spans="1:7">
      <c r="A37" s="1" t="s">
        <v>80</v>
      </c>
      <c r="B37" s="1" t="s">
        <v>81</v>
      </c>
      <c r="C37">
        <f>(1-(B7/100))*57.12</f>
        <v>57.12</v>
      </c>
      <c r="D37" s="1">
        <v>0</v>
      </c>
      <c r="E37">
        <f>D37*C37</f>
        <v>0</v>
      </c>
      <c r="F37" s="1" t="s">
        <v>82</v>
      </c>
      <c r="G37" s="17">
        <v>71132</v>
      </c>
    </row>
    <row r="38" spans="1:7">
      <c r="A38" s="1" t="s">
        <v>83</v>
      </c>
      <c r="B38" s="1" t="s">
        <v>84</v>
      </c>
      <c r="C38">
        <f>(1-(B7/100))*183.39</f>
        <v>183.39</v>
      </c>
      <c r="D38" s="1">
        <v>0</v>
      </c>
      <c r="E38">
        <f>D38*C38</f>
        <v>0</v>
      </c>
      <c r="F38" s="1" t="s">
        <v>85</v>
      </c>
      <c r="G38" s="17">
        <v>73199</v>
      </c>
    </row>
    <row r="39" spans="1:7">
      <c r="A39" s="1" t="s">
        <v>86</v>
      </c>
      <c r="B39" s="1" t="s">
        <v>87</v>
      </c>
      <c r="C39">
        <f>(1-(B7/100))*183.39</f>
        <v>183.39</v>
      </c>
      <c r="D39" s="1">
        <v>0</v>
      </c>
      <c r="E39">
        <f>D39*C39</f>
        <v>0</v>
      </c>
      <c r="F39" s="1" t="s">
        <v>88</v>
      </c>
      <c r="G39" s="17">
        <v>73200</v>
      </c>
    </row>
    <row r="40" spans="1:7">
      <c r="A40" s="1" t="s">
        <v>89</v>
      </c>
      <c r="B40" s="1" t="s">
        <v>90</v>
      </c>
      <c r="C40">
        <f>(1-(B7/100))*183.39</f>
        <v>183.39</v>
      </c>
      <c r="D40" s="1">
        <v>0</v>
      </c>
      <c r="E40">
        <f>D40*C40</f>
        <v>0</v>
      </c>
      <c r="F40" s="1" t="s">
        <v>91</v>
      </c>
      <c r="G40" s="17">
        <v>73201</v>
      </c>
    </row>
    <row r="41" spans="1:7">
      <c r="A41" s="1" t="s">
        <v>92</v>
      </c>
      <c r="B41" s="1" t="s">
        <v>93</v>
      </c>
      <c r="C41">
        <f>(1-(B7/100))*183.39</f>
        <v>183.39</v>
      </c>
      <c r="D41" s="1">
        <v>0</v>
      </c>
      <c r="E41">
        <f>D41*C41</f>
        <v>0</v>
      </c>
      <c r="F41" s="1" t="s">
        <v>94</v>
      </c>
      <c r="G41" s="17">
        <v>73202</v>
      </c>
    </row>
    <row r="42" spans="1:7">
      <c r="A42" s="1" t="s">
        <v>95</v>
      </c>
      <c r="B42" s="1" t="s">
        <v>96</v>
      </c>
      <c r="C42">
        <f>(1-(B7/100))*183.39</f>
        <v>183.39</v>
      </c>
      <c r="D42" s="1">
        <v>0</v>
      </c>
      <c r="E42">
        <f>D42*C42</f>
        <v>0</v>
      </c>
      <c r="F42" s="1" t="s">
        <v>97</v>
      </c>
      <c r="G42" s="17">
        <v>73203</v>
      </c>
    </row>
    <row r="43" spans="1:7">
      <c r="A43" s="1" t="s">
        <v>98</v>
      </c>
      <c r="B43" s="1" t="s">
        <v>99</v>
      </c>
      <c r="C43">
        <f>(1-(B7/100))*183.39</f>
        <v>183.39</v>
      </c>
      <c r="D43" s="1">
        <v>0</v>
      </c>
      <c r="E43">
        <f>D43*C43</f>
        <v>0</v>
      </c>
      <c r="F43" s="1" t="s">
        <v>100</v>
      </c>
      <c r="G43" s="17">
        <v>73204</v>
      </c>
    </row>
    <row r="44" spans="1:7">
      <c r="A44" s="1" t="s">
        <v>101</v>
      </c>
      <c r="B44" s="1" t="s">
        <v>102</v>
      </c>
      <c r="C44">
        <f>(1-(B7/100))*183.39</f>
        <v>183.39</v>
      </c>
      <c r="D44" s="1">
        <v>0</v>
      </c>
      <c r="E44">
        <f>D44*C44</f>
        <v>0</v>
      </c>
      <c r="F44" s="1" t="s">
        <v>103</v>
      </c>
      <c r="G44" s="17">
        <v>73205</v>
      </c>
    </row>
    <row r="45" spans="1:7">
      <c r="A45" s="1" t="s">
        <v>104</v>
      </c>
      <c r="B45" s="1" t="s">
        <v>105</v>
      </c>
      <c r="C45">
        <f>(1-(B7/100))*183.39</f>
        <v>183.39</v>
      </c>
      <c r="D45" s="1">
        <v>0</v>
      </c>
      <c r="E45">
        <f>D45*C45</f>
        <v>0</v>
      </c>
      <c r="F45" s="1" t="s">
        <v>106</v>
      </c>
      <c r="G45" s="17">
        <v>73206</v>
      </c>
    </row>
    <row r="46" spans="1:7">
      <c r="A46" s="1" t="s">
        <v>107</v>
      </c>
      <c r="B46" s="1" t="s">
        <v>108</v>
      </c>
      <c r="C46">
        <f>(1-(B7/100))*183.39</f>
        <v>183.39</v>
      </c>
      <c r="D46" s="1">
        <v>0</v>
      </c>
      <c r="E46">
        <f>D46*C46</f>
        <v>0</v>
      </c>
      <c r="F46" s="1" t="s">
        <v>109</v>
      </c>
      <c r="G46" s="17">
        <v>73207</v>
      </c>
    </row>
    <row r="47" spans="1:7">
      <c r="A47" s="1" t="s">
        <v>110</v>
      </c>
      <c r="B47" s="1" t="s">
        <v>111</v>
      </c>
      <c r="C47">
        <f>(1-(B7/100))*183.39</f>
        <v>183.39</v>
      </c>
      <c r="D47" s="1">
        <v>0</v>
      </c>
      <c r="E47">
        <f>D47*C47</f>
        <v>0</v>
      </c>
      <c r="F47" s="1" t="s">
        <v>112</v>
      </c>
      <c r="G47" s="17">
        <v>73208</v>
      </c>
    </row>
    <row r="48" spans="1:7">
      <c r="A48" s="1" t="s">
        <v>113</v>
      </c>
      <c r="B48" s="1" t="s">
        <v>114</v>
      </c>
      <c r="C48">
        <f>(1-(B7/100))*183.39</f>
        <v>183.39</v>
      </c>
      <c r="D48" s="1">
        <v>0</v>
      </c>
      <c r="E48">
        <f>D48*C48</f>
        <v>0</v>
      </c>
      <c r="F48" s="1" t="s">
        <v>115</v>
      </c>
      <c r="G48" s="17">
        <v>73209</v>
      </c>
    </row>
    <row r="49" spans="1:7">
      <c r="A49" s="1" t="s">
        <v>116</v>
      </c>
      <c r="B49" s="1" t="s">
        <v>117</v>
      </c>
      <c r="C49">
        <f>(1-(B7/100))*183.39</f>
        <v>183.39</v>
      </c>
      <c r="D49" s="1">
        <v>0</v>
      </c>
      <c r="E49">
        <f>D49*C49</f>
        <v>0</v>
      </c>
      <c r="F49" s="1" t="s">
        <v>118</v>
      </c>
      <c r="G49" s="17">
        <v>73211</v>
      </c>
    </row>
    <row r="50" spans="1:7">
      <c r="A50" s="1" t="s">
        <v>119</v>
      </c>
      <c r="B50" s="1" t="s">
        <v>120</v>
      </c>
      <c r="C50">
        <f>(1-(B7/100))*183.39</f>
        <v>183.39</v>
      </c>
      <c r="D50" s="1">
        <v>0</v>
      </c>
      <c r="E50">
        <f>D50*C50</f>
        <v>0</v>
      </c>
      <c r="F50" s="1" t="s">
        <v>121</v>
      </c>
      <c r="G50" s="17">
        <v>73212</v>
      </c>
    </row>
    <row r="51" spans="1:7">
      <c r="A51" s="1" t="s">
        <v>122</v>
      </c>
      <c r="B51" s="1" t="s">
        <v>123</v>
      </c>
      <c r="C51">
        <f>(1-(B7/100))*183.39</f>
        <v>183.39</v>
      </c>
      <c r="D51" s="1">
        <v>0</v>
      </c>
      <c r="E51">
        <f>D51*C51</f>
        <v>0</v>
      </c>
      <c r="F51" s="1" t="s">
        <v>124</v>
      </c>
      <c r="G51" s="17">
        <v>73213</v>
      </c>
    </row>
    <row r="52" spans="1:7">
      <c r="A52" s="1" t="s">
        <v>125</v>
      </c>
      <c r="B52" s="1" t="s">
        <v>126</v>
      </c>
      <c r="C52">
        <f>(1-(B7/100))*185.54</f>
        <v>185.54</v>
      </c>
      <c r="D52" s="1">
        <v>0</v>
      </c>
      <c r="E52">
        <f>D52*C52</f>
        <v>0</v>
      </c>
      <c r="F52" s="1" t="s">
        <v>127</v>
      </c>
      <c r="G52" s="17">
        <v>73214</v>
      </c>
    </row>
    <row r="53" spans="1:7">
      <c r="A53" s="1" t="s">
        <v>128</v>
      </c>
      <c r="B53" s="1" t="s">
        <v>129</v>
      </c>
      <c r="C53">
        <f>(1-(B7/100))*56.21</f>
        <v>56.21</v>
      </c>
      <c r="D53" s="1">
        <v>0</v>
      </c>
      <c r="E53">
        <f>D53*C53</f>
        <v>0</v>
      </c>
      <c r="F53" s="1" t="s">
        <v>130</v>
      </c>
      <c r="G53" s="17">
        <v>73625</v>
      </c>
    </row>
    <row r="54" spans="1:7">
      <c r="A54" s="1" t="s">
        <v>131</v>
      </c>
      <c r="B54" s="1" t="s">
        <v>132</v>
      </c>
      <c r="C54">
        <f>(1-(B7/100))*71.85</f>
        <v>71.85</v>
      </c>
      <c r="D54" s="1">
        <v>0</v>
      </c>
      <c r="E54">
        <f>D54*C54</f>
        <v>0</v>
      </c>
      <c r="F54" s="1" t="s">
        <v>133</v>
      </c>
      <c r="G54" s="17">
        <v>74358</v>
      </c>
    </row>
    <row r="55" spans="1:7">
      <c r="A55" s="1" t="s">
        <v>134</v>
      </c>
      <c r="B55" s="1" t="s">
        <v>135</v>
      </c>
      <c r="C55">
        <f>(1-(B7/100))*57.12</f>
        <v>57.12</v>
      </c>
      <c r="D55" s="1">
        <v>0</v>
      </c>
      <c r="E55">
        <f>D55*C55</f>
        <v>0</v>
      </c>
      <c r="F55" s="1" t="s">
        <v>136</v>
      </c>
      <c r="G55" s="17">
        <v>74375</v>
      </c>
    </row>
    <row r="56" spans="1:7">
      <c r="A56" s="1" t="s">
        <v>137</v>
      </c>
      <c r="B56" s="1" t="s">
        <v>138</v>
      </c>
      <c r="C56">
        <f>(1-(B7/100))*56.21</f>
        <v>56.21</v>
      </c>
      <c r="D56" s="1">
        <v>0</v>
      </c>
      <c r="E56">
        <f>D56*C56</f>
        <v>0</v>
      </c>
      <c r="F56" s="1" t="s">
        <v>139</v>
      </c>
      <c r="G56" s="17">
        <v>74376</v>
      </c>
    </row>
    <row r="57" spans="1:7">
      <c r="A57" s="1" t="s">
        <v>140</v>
      </c>
      <c r="B57" s="1" t="s">
        <v>141</v>
      </c>
      <c r="C57">
        <f>(1-(B7/100))*77.99</f>
        <v>77.99</v>
      </c>
      <c r="D57" s="1">
        <v>0</v>
      </c>
      <c r="E57">
        <f>D57*C57</f>
        <v>0</v>
      </c>
      <c r="F57" s="1" t="s">
        <v>142</v>
      </c>
      <c r="G57" s="17">
        <v>74378</v>
      </c>
    </row>
    <row r="58" spans="1:7">
      <c r="A58" s="1" t="s">
        <v>143</v>
      </c>
      <c r="B58" s="1" t="s">
        <v>144</v>
      </c>
      <c r="C58">
        <f>(1-(B7/100))*66.9</f>
        <v>66.9</v>
      </c>
      <c r="D58" s="1">
        <v>0</v>
      </c>
      <c r="E58">
        <f>D58*C58</f>
        <v>0</v>
      </c>
      <c r="F58" s="1" t="s">
        <v>145</v>
      </c>
      <c r="G58" s="17">
        <v>74383</v>
      </c>
    </row>
    <row r="59" spans="1:7">
      <c r="A59" s="1" t="s">
        <v>146</v>
      </c>
      <c r="B59" s="1" t="s">
        <v>147</v>
      </c>
      <c r="C59">
        <f>(1-(B7/100))*56.21</f>
        <v>56.21</v>
      </c>
      <c r="D59" s="1">
        <v>0</v>
      </c>
      <c r="E59">
        <f>D59*C59</f>
        <v>0</v>
      </c>
      <c r="F59" s="1" t="s">
        <v>148</v>
      </c>
      <c r="G59" s="17">
        <v>74384</v>
      </c>
    </row>
    <row r="60" spans="1:7">
      <c r="A60" s="1" t="s">
        <v>149</v>
      </c>
      <c r="B60" s="1" t="s">
        <v>150</v>
      </c>
      <c r="C60">
        <f>(1-(B7/100))*57.12</f>
        <v>57.12</v>
      </c>
      <c r="D60" s="1">
        <v>0</v>
      </c>
      <c r="E60">
        <f>D60*C60</f>
        <v>0</v>
      </c>
      <c r="F60" s="1" t="s">
        <v>151</v>
      </c>
      <c r="G60" s="17">
        <v>74386</v>
      </c>
    </row>
    <row r="61" spans="1:7">
      <c r="A61" s="1" t="s">
        <v>152</v>
      </c>
      <c r="B61" s="1" t="s">
        <v>153</v>
      </c>
      <c r="C61">
        <f>(1-(B7/100))*66.9</f>
        <v>66.9</v>
      </c>
      <c r="D61" s="1">
        <v>0</v>
      </c>
      <c r="E61">
        <f>D61*C61</f>
        <v>0</v>
      </c>
      <c r="F61" s="1" t="s">
        <v>154</v>
      </c>
      <c r="G61" s="17">
        <v>74392</v>
      </c>
    </row>
    <row r="62" spans="1:7">
      <c r="A62" s="1" t="s">
        <v>155</v>
      </c>
      <c r="B62" s="1" t="s">
        <v>156</v>
      </c>
      <c r="C62">
        <f>(1-(B7/100))*92.38</f>
        <v>92.38</v>
      </c>
      <c r="D62" s="1">
        <v>0</v>
      </c>
      <c r="E62">
        <f>D62*C62</f>
        <v>0</v>
      </c>
      <c r="F62" s="1" t="s">
        <v>157</v>
      </c>
      <c r="G62" s="17">
        <v>74396</v>
      </c>
    </row>
    <row r="63" spans="1:7">
      <c r="A63" s="1" t="s">
        <v>158</v>
      </c>
      <c r="B63" s="1" t="s">
        <v>159</v>
      </c>
      <c r="C63">
        <f>(1-(B7/100))*57.12</f>
        <v>57.12</v>
      </c>
      <c r="D63" s="1">
        <v>0</v>
      </c>
      <c r="E63">
        <f>D63*C63</f>
        <v>0</v>
      </c>
      <c r="F63" s="1" t="s">
        <v>160</v>
      </c>
      <c r="G63" s="17">
        <v>74397</v>
      </c>
    </row>
    <row r="64" spans="1:7">
      <c r="A64" s="1" t="s">
        <v>161</v>
      </c>
      <c r="B64" s="1" t="s">
        <v>162</v>
      </c>
      <c r="C64">
        <f>(1-(B7/100))*71.85</f>
        <v>71.85</v>
      </c>
      <c r="D64" s="1">
        <v>0</v>
      </c>
      <c r="E64">
        <f>D64*C64</f>
        <v>0</v>
      </c>
      <c r="F64" s="1" t="s">
        <v>163</v>
      </c>
      <c r="G64" s="17">
        <v>74402</v>
      </c>
    </row>
    <row r="65" spans="1:7">
      <c r="A65" s="1" t="s">
        <v>164</v>
      </c>
      <c r="B65" s="1" t="s">
        <v>165</v>
      </c>
      <c r="C65">
        <f>(1-(B7/100))*71.85</f>
        <v>71.85</v>
      </c>
      <c r="D65" s="1">
        <v>0</v>
      </c>
      <c r="E65">
        <f>D65*C65</f>
        <v>0</v>
      </c>
      <c r="F65" s="1" t="s">
        <v>166</v>
      </c>
      <c r="G65" s="17">
        <v>74409</v>
      </c>
    </row>
    <row r="66" spans="1:7">
      <c r="A66" s="1" t="s">
        <v>167</v>
      </c>
      <c r="B66" s="1" t="s">
        <v>168</v>
      </c>
      <c r="C66">
        <f>(1-(B7/100))*53.99</f>
        <v>53.99</v>
      </c>
      <c r="D66" s="1">
        <v>0</v>
      </c>
      <c r="E66">
        <f>D66*C66</f>
        <v>0</v>
      </c>
      <c r="F66" s="1" t="s">
        <v>169</v>
      </c>
      <c r="G66" s="17">
        <v>74410</v>
      </c>
    </row>
    <row r="67" spans="1:7">
      <c r="A67" s="1" t="s">
        <v>170</v>
      </c>
      <c r="B67" s="1" t="s">
        <v>171</v>
      </c>
      <c r="C67">
        <f>(1-(B7/100))*57.12</f>
        <v>57.12</v>
      </c>
      <c r="D67" s="1">
        <v>0</v>
      </c>
      <c r="E67">
        <f>D67*C67</f>
        <v>0</v>
      </c>
      <c r="F67" s="1" t="s">
        <v>172</v>
      </c>
      <c r="G67" s="17">
        <v>74411</v>
      </c>
    </row>
    <row r="68" spans="1:7">
      <c r="A68" s="1" t="s">
        <v>173</v>
      </c>
      <c r="B68" s="1" t="s">
        <v>174</v>
      </c>
      <c r="C68">
        <f>(1-(B7/100))*57.12</f>
        <v>57.12</v>
      </c>
      <c r="D68" s="1">
        <v>0</v>
      </c>
      <c r="E68">
        <f>D68*C68</f>
        <v>0</v>
      </c>
      <c r="F68" s="1" t="s">
        <v>175</v>
      </c>
      <c r="G68" s="17">
        <v>74413</v>
      </c>
    </row>
    <row r="69" spans="1:7">
      <c r="A69" s="1" t="s">
        <v>176</v>
      </c>
      <c r="B69" s="1" t="s">
        <v>177</v>
      </c>
      <c r="C69">
        <f>(1-(B7/100))*57.12</f>
        <v>57.12</v>
      </c>
      <c r="D69" s="1">
        <v>0</v>
      </c>
      <c r="E69">
        <f>D69*C69</f>
        <v>0</v>
      </c>
      <c r="F69" s="1" t="s">
        <v>178</v>
      </c>
      <c r="G69" s="17">
        <v>74416</v>
      </c>
    </row>
    <row r="70" spans="1:7">
      <c r="A70" s="1" t="s">
        <v>179</v>
      </c>
      <c r="B70" s="1" t="s">
        <v>138</v>
      </c>
      <c r="C70">
        <f>(1-(B7/100))*57.12</f>
        <v>57.12</v>
      </c>
      <c r="D70" s="1">
        <v>0</v>
      </c>
      <c r="E70">
        <f>D70*C70</f>
        <v>0</v>
      </c>
      <c r="F70" s="1" t="s">
        <v>180</v>
      </c>
      <c r="G70" s="17">
        <v>85586</v>
      </c>
    </row>
    <row r="71" spans="1:7">
      <c r="A71" s="16"/>
      <c r="B71" s="16" t="s">
        <v>181</v>
      </c>
      <c r="C71" s="16"/>
      <c r="D71" s="16"/>
      <c r="E71" s="16"/>
      <c r="F71" s="16"/>
    </row>
    <row r="72" spans="1:7">
      <c r="A72" s="16"/>
      <c r="B72" s="16" t="s">
        <v>182</v>
      </c>
      <c r="C72" s="16"/>
      <c r="D72" s="16"/>
      <c r="E72" s="16"/>
      <c r="F72" s="16"/>
    </row>
    <row r="73" spans="1:7">
      <c r="A73" s="1">
        <v>4310304</v>
      </c>
      <c r="B73" s="1" t="s">
        <v>183</v>
      </c>
      <c r="C73">
        <f>(1-(B7/100))*155.05</f>
        <v>155.05</v>
      </c>
      <c r="D73" s="1">
        <v>0</v>
      </c>
      <c r="E73">
        <f>D73*C73</f>
        <v>0</v>
      </c>
      <c r="F73" s="1" t="s">
        <v>184</v>
      </c>
      <c r="G73" s="17">
        <v>64315</v>
      </c>
    </row>
    <row r="74" spans="1:7">
      <c r="A74" s="1">
        <v>7310307</v>
      </c>
      <c r="B74" s="1" t="s">
        <v>185</v>
      </c>
      <c r="C74">
        <f>(1-(B7/100))*155.05</f>
        <v>155.05</v>
      </c>
      <c r="D74" s="1">
        <v>0</v>
      </c>
      <c r="E74">
        <f>D74*C74</f>
        <v>0</v>
      </c>
      <c r="F74" s="1" t="s">
        <v>186</v>
      </c>
      <c r="G74" s="17">
        <v>65493</v>
      </c>
    </row>
    <row r="75" spans="1:7">
      <c r="A75" s="1">
        <v>6310306</v>
      </c>
      <c r="B75" s="1" t="s">
        <v>187</v>
      </c>
      <c r="C75">
        <f>(1-(B7/100))*155.05</f>
        <v>155.05</v>
      </c>
      <c r="D75" s="1">
        <v>0</v>
      </c>
      <c r="E75">
        <f>D75*C75</f>
        <v>0</v>
      </c>
      <c r="F75" s="1" t="s">
        <v>188</v>
      </c>
      <c r="G75" s="17">
        <v>65494</v>
      </c>
    </row>
    <row r="76" spans="1:7">
      <c r="A76" s="1" t="s">
        <v>189</v>
      </c>
      <c r="B76" s="1" t="s">
        <v>190</v>
      </c>
      <c r="C76">
        <f>(1-(B7/100))*168.07</f>
        <v>168.07</v>
      </c>
      <c r="D76" s="1">
        <v>0</v>
      </c>
      <c r="E76">
        <f>D76*C76</f>
        <v>0</v>
      </c>
      <c r="F76" s="1" t="s">
        <v>191</v>
      </c>
      <c r="G76" s="17">
        <v>71800</v>
      </c>
    </row>
    <row r="77" spans="1:7">
      <c r="A77" s="1" t="s">
        <v>192</v>
      </c>
      <c r="B77" s="1" t="s">
        <v>193</v>
      </c>
      <c r="C77">
        <f>(1-(B7/100))*234.25</f>
        <v>234.25</v>
      </c>
      <c r="D77" s="1">
        <v>0</v>
      </c>
      <c r="E77">
        <f>D77*C77</f>
        <v>0</v>
      </c>
      <c r="F77" s="1" t="s">
        <v>194</v>
      </c>
      <c r="G77" s="17">
        <v>72269</v>
      </c>
    </row>
    <row r="78" spans="1:7">
      <c r="A78" s="1" t="s">
        <v>195</v>
      </c>
      <c r="B78" s="1" t="s">
        <v>196</v>
      </c>
      <c r="C78">
        <f>(1-(B7/100))*1072.3</f>
        <v>1072.3</v>
      </c>
      <c r="D78" s="1">
        <v>0</v>
      </c>
      <c r="E78">
        <f>D78*C78</f>
        <v>0</v>
      </c>
      <c r="F78" s="1" t="s">
        <v>197</v>
      </c>
      <c r="G78" s="17">
        <v>72418</v>
      </c>
    </row>
    <row r="79" spans="1:7">
      <c r="A79" s="1">
        <v>5310305</v>
      </c>
      <c r="B79" s="1" t="s">
        <v>198</v>
      </c>
      <c r="C79">
        <f>(1-(B7/100))*155.05</f>
        <v>155.05</v>
      </c>
      <c r="D79" s="1">
        <v>0</v>
      </c>
      <c r="E79">
        <f>D79*C79</f>
        <v>0</v>
      </c>
      <c r="F79" s="1" t="s">
        <v>199</v>
      </c>
      <c r="G79" s="17">
        <v>72815</v>
      </c>
    </row>
    <row r="80" spans="1:7">
      <c r="A80" s="1" t="s">
        <v>200</v>
      </c>
      <c r="B80" s="1" t="s">
        <v>201</v>
      </c>
      <c r="C80">
        <f>(1-(B7/100))*147.41</f>
        <v>147.41</v>
      </c>
      <c r="D80" s="1">
        <v>0</v>
      </c>
      <c r="E80">
        <f>D80*C80</f>
        <v>0</v>
      </c>
      <c r="F80" s="1" t="s">
        <v>202</v>
      </c>
      <c r="G80" s="17">
        <v>86142</v>
      </c>
    </row>
    <row r="81" spans="1:7">
      <c r="A81" s="16"/>
      <c r="B81" s="16" t="s">
        <v>203</v>
      </c>
      <c r="C81" s="16"/>
      <c r="D81" s="16"/>
      <c r="E81" s="16"/>
      <c r="F81" s="16"/>
    </row>
    <row r="82" spans="1:7">
      <c r="A82" s="1" t="s">
        <v>204</v>
      </c>
      <c r="B82" s="1" t="s">
        <v>205</v>
      </c>
      <c r="C82">
        <f>(1-(B7/100))*187.17</f>
        <v>187.17</v>
      </c>
      <c r="D82" s="1">
        <v>0</v>
      </c>
      <c r="E82">
        <f>D82*C82</f>
        <v>0</v>
      </c>
      <c r="F82" s="1" t="s">
        <v>206</v>
      </c>
      <c r="G82" s="17">
        <v>62804</v>
      </c>
    </row>
    <row r="83" spans="1:7">
      <c r="A83" s="1" t="s">
        <v>207</v>
      </c>
      <c r="B83" s="1" t="s">
        <v>208</v>
      </c>
      <c r="C83">
        <f>(1-(B7/100))*180.46</f>
        <v>180.46</v>
      </c>
      <c r="D83" s="1">
        <v>0</v>
      </c>
      <c r="E83">
        <f>D83*C83</f>
        <v>0</v>
      </c>
      <c r="F83" s="1" t="s">
        <v>209</v>
      </c>
      <c r="G83" s="17">
        <v>62805</v>
      </c>
    </row>
    <row r="84" spans="1:7">
      <c r="A84" s="1" t="s">
        <v>210</v>
      </c>
      <c r="B84" s="1" t="s">
        <v>211</v>
      </c>
      <c r="C84">
        <f>(1-(B7/100))*204</f>
        <v>204</v>
      </c>
      <c r="D84" s="1">
        <v>0</v>
      </c>
      <c r="E84">
        <f>D84*C84</f>
        <v>0</v>
      </c>
      <c r="F84" s="1" t="s">
        <v>212</v>
      </c>
      <c r="G84" s="17">
        <v>62806</v>
      </c>
    </row>
    <row r="85" spans="1:7">
      <c r="A85" s="1" t="s">
        <v>213</v>
      </c>
      <c r="B85" s="1" t="s">
        <v>214</v>
      </c>
      <c r="C85">
        <f>(1-(B7/100))*293.58</f>
        <v>293.58</v>
      </c>
      <c r="D85" s="1">
        <v>0</v>
      </c>
      <c r="E85">
        <f>D85*C85</f>
        <v>0</v>
      </c>
      <c r="F85" s="1" t="s">
        <v>215</v>
      </c>
      <c r="G85" s="17">
        <v>62807</v>
      </c>
    </row>
    <row r="86" spans="1:7">
      <c r="A86" s="1" t="s">
        <v>216</v>
      </c>
      <c r="B86" s="1" t="s">
        <v>217</v>
      </c>
      <c r="C86">
        <f>(1-(B7/100))*209.47</f>
        <v>209.47</v>
      </c>
      <c r="D86" s="1">
        <v>0</v>
      </c>
      <c r="E86">
        <f>D86*C86</f>
        <v>0</v>
      </c>
      <c r="F86" s="1" t="s">
        <v>218</v>
      </c>
      <c r="G86" s="17">
        <v>62812</v>
      </c>
    </row>
    <row r="87" spans="1:7">
      <c r="A87" s="1">
        <v>3299299</v>
      </c>
      <c r="B87" s="1" t="s">
        <v>219</v>
      </c>
      <c r="C87">
        <f>(1-(B7/100))*279.32</f>
        <v>279.32</v>
      </c>
      <c r="D87" s="1">
        <v>0</v>
      </c>
      <c r="E87">
        <f>D87*C87</f>
        <v>0</v>
      </c>
      <c r="F87" s="1" t="s">
        <v>220</v>
      </c>
      <c r="G87" s="17">
        <v>63303</v>
      </c>
    </row>
    <row r="88" spans="1:7">
      <c r="A88" s="1" t="s">
        <v>221</v>
      </c>
      <c r="B88" s="1" t="s">
        <v>222</v>
      </c>
      <c r="C88">
        <f>(1-(B7/100))*291.2</f>
        <v>291.2</v>
      </c>
      <c r="D88" s="1">
        <v>0</v>
      </c>
      <c r="E88">
        <f>D88*C88</f>
        <v>0</v>
      </c>
      <c r="F88" s="1" t="s">
        <v>223</v>
      </c>
      <c r="G88" s="17">
        <v>70005</v>
      </c>
    </row>
    <row r="89" spans="1:7">
      <c r="A89" s="1" t="s">
        <v>224</v>
      </c>
      <c r="B89" s="1" t="s">
        <v>225</v>
      </c>
      <c r="C89">
        <f>(1-(B7/100))*182.8</f>
        <v>182.8</v>
      </c>
      <c r="D89" s="1">
        <v>0</v>
      </c>
      <c r="E89">
        <f>D89*C89</f>
        <v>0</v>
      </c>
      <c r="F89" s="1" t="s">
        <v>226</v>
      </c>
      <c r="G89" s="17">
        <v>70008</v>
      </c>
    </row>
    <row r="90" spans="1:7">
      <c r="A90" s="1" t="s">
        <v>227</v>
      </c>
      <c r="B90" s="1" t="s">
        <v>228</v>
      </c>
      <c r="C90">
        <f>(1-(B7/100))*209.47</f>
        <v>209.47</v>
      </c>
      <c r="D90" s="1">
        <v>0</v>
      </c>
      <c r="E90">
        <f>D90*C90</f>
        <v>0</v>
      </c>
      <c r="F90" s="1" t="s">
        <v>229</v>
      </c>
      <c r="G90" s="17">
        <v>70010</v>
      </c>
    </row>
    <row r="91" spans="1:7">
      <c r="A91" s="1" t="s">
        <v>230</v>
      </c>
      <c r="B91" s="1" t="s">
        <v>231</v>
      </c>
      <c r="C91">
        <f>(1-(B7/100))*180.46</f>
        <v>180.46</v>
      </c>
      <c r="D91" s="1">
        <v>0</v>
      </c>
      <c r="E91">
        <f>D91*C91</f>
        <v>0</v>
      </c>
      <c r="F91" s="1" t="s">
        <v>232</v>
      </c>
      <c r="G91" s="17">
        <v>70011</v>
      </c>
    </row>
    <row r="92" spans="1:7">
      <c r="A92" s="1" t="s">
        <v>233</v>
      </c>
      <c r="B92" s="1" t="s">
        <v>234</v>
      </c>
      <c r="C92">
        <f>(1-(B7/100))*257.44</f>
        <v>257.44</v>
      </c>
      <c r="D92" s="1">
        <v>0</v>
      </c>
      <c r="E92">
        <f>D92*C92</f>
        <v>0</v>
      </c>
      <c r="F92" s="1" t="s">
        <v>235</v>
      </c>
      <c r="G92" s="17">
        <v>71766</v>
      </c>
    </row>
    <row r="93" spans="1:7">
      <c r="A93" s="1" t="s">
        <v>236</v>
      </c>
      <c r="B93" s="1" t="s">
        <v>237</v>
      </c>
      <c r="C93">
        <f>(1-(B7/100))*286.67</f>
        <v>286.67</v>
      </c>
      <c r="D93" s="1">
        <v>0</v>
      </c>
      <c r="E93">
        <f>D93*C93</f>
        <v>0</v>
      </c>
      <c r="F93" s="1" t="s">
        <v>238</v>
      </c>
      <c r="G93" s="17">
        <v>71786</v>
      </c>
    </row>
    <row r="94" spans="1:7">
      <c r="A94" s="1" t="s">
        <v>239</v>
      </c>
      <c r="B94" s="1" t="s">
        <v>240</v>
      </c>
      <c r="C94">
        <f>(1-(B7/100))*260.23</f>
        <v>260.23</v>
      </c>
      <c r="D94" s="1">
        <v>0</v>
      </c>
      <c r="E94">
        <f>D94*C94</f>
        <v>0</v>
      </c>
      <c r="F94" s="1" t="s">
        <v>241</v>
      </c>
      <c r="G94" s="17">
        <v>71789</v>
      </c>
    </row>
    <row r="95" spans="1:7">
      <c r="A95" s="1" t="s">
        <v>242</v>
      </c>
      <c r="B95" s="1" t="s">
        <v>243</v>
      </c>
      <c r="C95">
        <f>(1-(B7/100))*624.56</f>
        <v>624.56</v>
      </c>
      <c r="D95" s="1">
        <v>0</v>
      </c>
      <c r="E95">
        <f>D95*C95</f>
        <v>0</v>
      </c>
      <c r="F95" s="1" t="s">
        <v>244</v>
      </c>
      <c r="G95" s="17">
        <v>72245</v>
      </c>
    </row>
    <row r="96" spans="1:7">
      <c r="A96" s="1" t="s">
        <v>245</v>
      </c>
      <c r="B96" s="1" t="s">
        <v>246</v>
      </c>
      <c r="C96">
        <f>(1-(B7/100))*204</f>
        <v>204</v>
      </c>
      <c r="D96" s="1">
        <v>0</v>
      </c>
      <c r="E96">
        <f>D96*C96</f>
        <v>0</v>
      </c>
      <c r="F96" s="1" t="s">
        <v>247</v>
      </c>
      <c r="G96" s="17">
        <v>87421</v>
      </c>
    </row>
    <row r="97" spans="1:7">
      <c r="A97" s="1" t="s">
        <v>248</v>
      </c>
      <c r="B97" s="1" t="s">
        <v>249</v>
      </c>
      <c r="C97">
        <f>(1-(B7/100))*264.41</f>
        <v>264.41</v>
      </c>
      <c r="D97" s="1">
        <v>0</v>
      </c>
      <c r="E97">
        <f>D97*C97</f>
        <v>0</v>
      </c>
      <c r="F97" s="1" t="s">
        <v>250</v>
      </c>
      <c r="G97" s="17">
        <v>87422</v>
      </c>
    </row>
    <row r="98" spans="1:7">
      <c r="A98" s="1" t="s">
        <v>251</v>
      </c>
      <c r="B98" s="1" t="s">
        <v>252</v>
      </c>
      <c r="C98">
        <f>(1-(B7/100))*1431.32</f>
        <v>1431.32</v>
      </c>
      <c r="D98" s="1">
        <v>0</v>
      </c>
      <c r="E98">
        <f>D98*C98</f>
        <v>0</v>
      </c>
      <c r="F98" s="1" t="s">
        <v>253</v>
      </c>
      <c r="G98" s="17">
        <v>87423</v>
      </c>
    </row>
    <row r="99" spans="1:7">
      <c r="A99" s="16"/>
      <c r="B99" s="16" t="s">
        <v>254</v>
      </c>
      <c r="C99" s="16"/>
      <c r="D99" s="16"/>
      <c r="E99" s="16"/>
      <c r="F99" s="16"/>
    </row>
    <row r="100" spans="1:7">
      <c r="A100" s="16"/>
      <c r="B100" s="16" t="s">
        <v>255</v>
      </c>
      <c r="C100" s="16"/>
      <c r="D100" s="16"/>
      <c r="E100" s="16"/>
      <c r="F100" s="16"/>
    </row>
    <row r="101" spans="1:7">
      <c r="A101" s="16"/>
      <c r="B101" s="16" t="s">
        <v>256</v>
      </c>
      <c r="C101" s="16"/>
      <c r="D101" s="16"/>
      <c r="E101" s="16"/>
      <c r="F101" s="16"/>
    </row>
    <row r="102" spans="1:7">
      <c r="A102" s="16"/>
      <c r="B102" s="16" t="s">
        <v>257</v>
      </c>
      <c r="C102" s="16"/>
      <c r="D102" s="16"/>
      <c r="E102" s="16"/>
      <c r="F102" s="16"/>
    </row>
    <row r="103" spans="1:7">
      <c r="A103" s="16"/>
      <c r="B103" s="16" t="s">
        <v>258</v>
      </c>
      <c r="C103" s="16"/>
      <c r="D103" s="16"/>
      <c r="E103" s="16"/>
      <c r="F103" s="16"/>
    </row>
    <row r="104" spans="1:7">
      <c r="A104" s="1" t="s">
        <v>259</v>
      </c>
      <c r="B104" s="1" t="s">
        <v>260</v>
      </c>
      <c r="C104">
        <f>(1-(B7/100))*918.23</f>
        <v>918.23</v>
      </c>
      <c r="D104" s="1">
        <v>0</v>
      </c>
      <c r="E104">
        <f>D104*C104</f>
        <v>0</v>
      </c>
      <c r="F104" s="1" t="s">
        <v>261</v>
      </c>
      <c r="G104" s="17">
        <v>73760</v>
      </c>
    </row>
    <row r="105" spans="1:7">
      <c r="A105" s="1" t="s">
        <v>262</v>
      </c>
      <c r="B105" s="1" t="s">
        <v>263</v>
      </c>
      <c r="C105">
        <f>(1-(B7/100))*264.48</f>
        <v>264.48</v>
      </c>
      <c r="D105" s="1">
        <v>0</v>
      </c>
      <c r="E105">
        <f>D105*C105</f>
        <v>0</v>
      </c>
      <c r="F105" s="1" t="s">
        <v>264</v>
      </c>
      <c r="G105" s="17">
        <v>76758</v>
      </c>
    </row>
    <row r="106" spans="1:7">
      <c r="A106" s="1" t="s">
        <v>265</v>
      </c>
      <c r="B106" s="1" t="s">
        <v>266</v>
      </c>
      <c r="C106">
        <f>(1-(B7/100))*27.02</f>
        <v>27.02</v>
      </c>
      <c r="D106" s="1">
        <v>0</v>
      </c>
      <c r="E106">
        <f>D106*C106</f>
        <v>0</v>
      </c>
      <c r="F106" s="1" t="s">
        <v>267</v>
      </c>
      <c r="G106" s="17">
        <v>84324</v>
      </c>
    </row>
    <row r="107" spans="1:7">
      <c r="A107" s="1" t="s">
        <v>268</v>
      </c>
      <c r="B107" s="1" t="s">
        <v>269</v>
      </c>
      <c r="C107">
        <f>(1-(B7/100))*250.71</f>
        <v>250.71</v>
      </c>
      <c r="D107" s="1">
        <v>0</v>
      </c>
      <c r="E107">
        <f>D107*C107</f>
        <v>0</v>
      </c>
      <c r="F107" s="1" t="s">
        <v>270</v>
      </c>
      <c r="G107" s="17">
        <v>85136</v>
      </c>
    </row>
    <row r="108" spans="1:7">
      <c r="A108" s="1" t="s">
        <v>271</v>
      </c>
      <c r="B108" s="1" t="s">
        <v>272</v>
      </c>
      <c r="C108">
        <f>(1-(B7/100))*618.6</f>
        <v>618.6</v>
      </c>
      <c r="D108" s="1">
        <v>0</v>
      </c>
      <c r="E108">
        <f>D108*C108</f>
        <v>0</v>
      </c>
      <c r="F108" s="1" t="s">
        <v>273</v>
      </c>
      <c r="G108" s="17">
        <v>85313</v>
      </c>
    </row>
    <row r="109" spans="1:7">
      <c r="A109" s="1" t="s">
        <v>274</v>
      </c>
      <c r="B109" s="1" t="s">
        <v>275</v>
      </c>
      <c r="C109">
        <f>(1-(B7/100))*618.6</f>
        <v>618.6</v>
      </c>
      <c r="D109" s="1">
        <v>0</v>
      </c>
      <c r="E109">
        <f>D109*C109</f>
        <v>0</v>
      </c>
      <c r="F109" s="1" t="s">
        <v>276</v>
      </c>
      <c r="G109" s="17">
        <v>85315</v>
      </c>
    </row>
    <row r="110" spans="1:7">
      <c r="A110" s="1" t="s">
        <v>277</v>
      </c>
      <c r="B110" s="1" t="s">
        <v>278</v>
      </c>
      <c r="C110">
        <f>(1-(B7/100))*436.38</f>
        <v>436.38</v>
      </c>
      <c r="D110" s="1">
        <v>0</v>
      </c>
      <c r="E110">
        <f>D110*C110</f>
        <v>0</v>
      </c>
      <c r="F110" s="1" t="s">
        <v>279</v>
      </c>
      <c r="G110" s="17">
        <v>85325</v>
      </c>
    </row>
    <row r="111" spans="1:7">
      <c r="A111" s="1" t="s">
        <v>280</v>
      </c>
      <c r="B111" s="1" t="s">
        <v>281</v>
      </c>
      <c r="C111">
        <f>(1-(B7/100))*466.12</f>
        <v>466.12</v>
      </c>
      <c r="D111" s="1">
        <v>0</v>
      </c>
      <c r="E111">
        <f>D111*C111</f>
        <v>0</v>
      </c>
      <c r="F111" s="1" t="s">
        <v>282</v>
      </c>
      <c r="G111" s="17">
        <v>85326</v>
      </c>
    </row>
    <row r="112" spans="1:7">
      <c r="A112" s="1" t="s">
        <v>283</v>
      </c>
      <c r="B112" s="1" t="s">
        <v>284</v>
      </c>
      <c r="C112">
        <f>(1-(B7/100))*712.59</f>
        <v>712.59</v>
      </c>
      <c r="D112" s="1">
        <v>0</v>
      </c>
      <c r="E112">
        <f>D112*C112</f>
        <v>0</v>
      </c>
      <c r="F112" s="1" t="s">
        <v>285</v>
      </c>
      <c r="G112" s="17">
        <v>85337</v>
      </c>
    </row>
    <row r="113" spans="1:7">
      <c r="A113" s="1" t="s">
        <v>286</v>
      </c>
      <c r="B113" s="1" t="s">
        <v>287</v>
      </c>
      <c r="C113">
        <f>(1-(B7/100))*260.08</f>
        <v>260.08</v>
      </c>
      <c r="D113" s="1">
        <v>0</v>
      </c>
      <c r="E113">
        <f>D113*C113</f>
        <v>0</v>
      </c>
      <c r="F113" s="1" t="s">
        <v>288</v>
      </c>
      <c r="G113" s="17">
        <v>85424</v>
      </c>
    </row>
    <row r="114" spans="1:7">
      <c r="A114" s="1" t="s">
        <v>289</v>
      </c>
      <c r="B114" s="1" t="s">
        <v>290</v>
      </c>
      <c r="C114">
        <f>(1-(B7/100))*197.86</f>
        <v>197.86</v>
      </c>
      <c r="D114" s="1">
        <v>0</v>
      </c>
      <c r="E114">
        <f>D114*C114</f>
        <v>0</v>
      </c>
      <c r="F114" s="1" t="s">
        <v>291</v>
      </c>
      <c r="G114" s="17">
        <v>85425</v>
      </c>
    </row>
    <row r="115" spans="1:7">
      <c r="A115" s="1" t="s">
        <v>292</v>
      </c>
      <c r="B115" s="1" t="s">
        <v>293</v>
      </c>
      <c r="C115">
        <f>(1-(B7/100))*264.79</f>
        <v>264.79</v>
      </c>
      <c r="D115" s="1">
        <v>0</v>
      </c>
      <c r="E115">
        <f>D115*C115</f>
        <v>0</v>
      </c>
      <c r="F115" s="1" t="s">
        <v>294</v>
      </c>
      <c r="G115" s="17">
        <v>85486</v>
      </c>
    </row>
    <row r="116" spans="1:7">
      <c r="A116" s="1" t="s">
        <v>295</v>
      </c>
      <c r="B116" s="1" t="s">
        <v>296</v>
      </c>
      <c r="C116">
        <f>(1-(B7/100))*211.42</f>
        <v>211.42</v>
      </c>
      <c r="D116" s="1">
        <v>0</v>
      </c>
      <c r="E116">
        <f>D116*C116</f>
        <v>0</v>
      </c>
      <c r="F116" s="1" t="s">
        <v>297</v>
      </c>
      <c r="G116" s="17">
        <v>85487</v>
      </c>
    </row>
    <row r="117" spans="1:7">
      <c r="A117" s="16"/>
      <c r="B117" s="16" t="s">
        <v>298</v>
      </c>
      <c r="C117" s="16"/>
      <c r="D117" s="16"/>
      <c r="E117" s="16"/>
      <c r="F117" s="16"/>
    </row>
    <row r="118" spans="1:7">
      <c r="A118" s="16"/>
      <c r="B118" s="16" t="s">
        <v>299</v>
      </c>
      <c r="C118" s="16"/>
      <c r="D118" s="16"/>
      <c r="E118" s="16"/>
      <c r="F118" s="16"/>
    </row>
    <row r="119" spans="1:7">
      <c r="A119" s="16"/>
      <c r="B119" s="16" t="s">
        <v>300</v>
      </c>
      <c r="C119" s="16"/>
      <c r="D119" s="16"/>
      <c r="E119" s="16"/>
      <c r="F119" s="16"/>
    </row>
    <row r="120" spans="1:7">
      <c r="A120" s="16"/>
      <c r="B120" s="16" t="s">
        <v>301</v>
      </c>
      <c r="C120" s="16"/>
      <c r="D120" s="16"/>
      <c r="E120" s="16"/>
      <c r="F120" s="16"/>
    </row>
    <row r="121" spans="1:7">
      <c r="A121" s="16"/>
      <c r="B121" s="16" t="s">
        <v>302</v>
      </c>
      <c r="C121" s="16"/>
      <c r="D121" s="16"/>
      <c r="E121" s="16"/>
      <c r="F121" s="16"/>
    </row>
    <row r="122" spans="1:7">
      <c r="A122" s="16"/>
      <c r="B122" s="16" t="s">
        <v>303</v>
      </c>
      <c r="C122" s="16"/>
      <c r="D122" s="16"/>
      <c r="E122" s="16"/>
      <c r="F122" s="16"/>
    </row>
    <row r="123" spans="1:7">
      <c r="A123" s="16"/>
      <c r="B123" s="16" t="s">
        <v>304</v>
      </c>
      <c r="C123" s="16"/>
      <c r="D123" s="16"/>
      <c r="E123" s="16"/>
      <c r="F123" s="16"/>
    </row>
    <row r="124" spans="1:7">
      <c r="A124" s="1" t="s">
        <v>305</v>
      </c>
      <c r="B124" s="1" t="s">
        <v>306</v>
      </c>
      <c r="C124">
        <f>(1-(B7/100))*171.92</f>
        <v>171.92</v>
      </c>
      <c r="D124" s="1">
        <v>0</v>
      </c>
      <c r="E124">
        <f>D124*C124</f>
        <v>0</v>
      </c>
      <c r="F124" s="1" t="s">
        <v>16</v>
      </c>
      <c r="G124" s="17">
        <v>76765</v>
      </c>
    </row>
    <row r="125" spans="1:7">
      <c r="A125" s="1" t="s">
        <v>307</v>
      </c>
      <c r="B125" s="1" t="s">
        <v>308</v>
      </c>
      <c r="C125">
        <f>(1-(B7/100))*171.92</f>
        <v>171.92</v>
      </c>
      <c r="D125" s="1">
        <v>0</v>
      </c>
      <c r="E125">
        <f>D125*C125</f>
        <v>0</v>
      </c>
      <c r="F125" s="1" t="s">
        <v>16</v>
      </c>
      <c r="G125" s="17">
        <v>76767</v>
      </c>
    </row>
    <row r="126" spans="1:7">
      <c r="A126" s="1" t="s">
        <v>309</v>
      </c>
      <c r="B126" s="1" t="s">
        <v>310</v>
      </c>
      <c r="C126">
        <f>(1-(B7/100))*293.29</f>
        <v>293.29</v>
      </c>
      <c r="D126" s="1">
        <v>0</v>
      </c>
      <c r="E126">
        <f>D126*C126</f>
        <v>0</v>
      </c>
      <c r="F126" s="1" t="s">
        <v>311</v>
      </c>
      <c r="G126" s="17">
        <v>77279</v>
      </c>
    </row>
    <row r="127" spans="1:7">
      <c r="A127" s="1" t="s">
        <v>312</v>
      </c>
      <c r="B127" s="1" t="s">
        <v>313</v>
      </c>
      <c r="C127">
        <f>(1-(B7/100))*1615.68</f>
        <v>1615.68</v>
      </c>
      <c r="D127" s="1">
        <v>0</v>
      </c>
      <c r="E127">
        <f>D127*C127</f>
        <v>0</v>
      </c>
      <c r="F127" s="1" t="s">
        <v>16</v>
      </c>
      <c r="G127" s="17">
        <v>77281</v>
      </c>
    </row>
    <row r="128" spans="1:7">
      <c r="A128" s="1" t="s">
        <v>314</v>
      </c>
      <c r="B128" s="1" t="s">
        <v>315</v>
      </c>
      <c r="C128">
        <f>(1-(B7/100))*1947.91</f>
        <v>1947.91</v>
      </c>
      <c r="D128" s="1">
        <v>0</v>
      </c>
      <c r="E128">
        <f>D128*C128</f>
        <v>0</v>
      </c>
      <c r="F128" s="1" t="s">
        <v>16</v>
      </c>
      <c r="G128" s="17">
        <v>77284</v>
      </c>
    </row>
    <row r="129" spans="1:7">
      <c r="A129" s="1" t="s">
        <v>316</v>
      </c>
      <c r="B129" s="1" t="s">
        <v>317</v>
      </c>
      <c r="C129">
        <f>(1-(B7/100))*422.13</f>
        <v>422.13</v>
      </c>
      <c r="D129" s="1">
        <v>0</v>
      </c>
      <c r="E129">
        <f>D129*C129</f>
        <v>0</v>
      </c>
      <c r="F129" s="1" t="s">
        <v>16</v>
      </c>
      <c r="G129" s="17">
        <v>77299</v>
      </c>
    </row>
    <row r="130" spans="1:7">
      <c r="A130" s="1" t="s">
        <v>318</v>
      </c>
      <c r="B130" s="1" t="s">
        <v>319</v>
      </c>
      <c r="C130">
        <f>(1-(B7/100))*354.94</f>
        <v>354.94</v>
      </c>
      <c r="D130" s="1">
        <v>0</v>
      </c>
      <c r="E130">
        <f>D130*C130</f>
        <v>0</v>
      </c>
      <c r="F130" s="1" t="s">
        <v>320</v>
      </c>
      <c r="G130" s="17">
        <v>77317</v>
      </c>
    </row>
    <row r="131" spans="1:7">
      <c r="A131" s="1" t="s">
        <v>321</v>
      </c>
      <c r="B131" s="1" t="s">
        <v>322</v>
      </c>
      <c r="C131">
        <f>(1-(B7/100))*143.53</f>
        <v>143.53</v>
      </c>
      <c r="D131" s="1">
        <v>0</v>
      </c>
      <c r="E131">
        <f>D131*C131</f>
        <v>0</v>
      </c>
      <c r="F131" s="1" t="s">
        <v>323</v>
      </c>
      <c r="G131" s="17">
        <v>77318</v>
      </c>
    </row>
    <row r="132" spans="1:7">
      <c r="A132" s="1" t="s">
        <v>324</v>
      </c>
      <c r="B132" s="1" t="s">
        <v>325</v>
      </c>
      <c r="C132">
        <f>(1-(B7/100))*2255.45</f>
        <v>2255.45</v>
      </c>
      <c r="D132" s="1">
        <v>0</v>
      </c>
      <c r="E132">
        <f>D132*C132</f>
        <v>0</v>
      </c>
      <c r="F132" s="1" t="s">
        <v>16</v>
      </c>
      <c r="G132" s="17">
        <v>77353</v>
      </c>
    </row>
    <row r="133" spans="1:7">
      <c r="A133" s="1" t="s">
        <v>326</v>
      </c>
      <c r="B133" s="1" t="s">
        <v>327</v>
      </c>
      <c r="C133">
        <f>(1-(B7/100))*100.27</f>
        <v>100.27</v>
      </c>
      <c r="D133" s="1">
        <v>0</v>
      </c>
      <c r="E133">
        <f>D133*C133</f>
        <v>0</v>
      </c>
      <c r="F133" s="1" t="s">
        <v>328</v>
      </c>
      <c r="G133" s="17">
        <v>77358</v>
      </c>
    </row>
    <row r="134" spans="1:7">
      <c r="A134" s="1" t="s">
        <v>329</v>
      </c>
      <c r="B134" s="1" t="s">
        <v>330</v>
      </c>
      <c r="C134">
        <f>(1-(B7/100))*2049.49</f>
        <v>2049.49</v>
      </c>
      <c r="D134" s="1">
        <v>0</v>
      </c>
      <c r="E134">
        <f>D134*C134</f>
        <v>0</v>
      </c>
      <c r="F134" s="1" t="s">
        <v>16</v>
      </c>
      <c r="G134" s="17">
        <v>77389</v>
      </c>
    </row>
    <row r="135" spans="1:7">
      <c r="A135" s="1" t="s">
        <v>331</v>
      </c>
      <c r="B135" s="1" t="s">
        <v>332</v>
      </c>
      <c r="C135">
        <f>(1-(B7/100))*2050.41</f>
        <v>2050.41</v>
      </c>
      <c r="D135" s="1">
        <v>0</v>
      </c>
      <c r="E135">
        <f>D135*C135</f>
        <v>0</v>
      </c>
      <c r="F135" s="1" t="s">
        <v>16</v>
      </c>
      <c r="G135" s="17">
        <v>77395</v>
      </c>
    </row>
    <row r="136" spans="1:7">
      <c r="A136" s="1" t="s">
        <v>333</v>
      </c>
      <c r="B136" s="1" t="s">
        <v>334</v>
      </c>
      <c r="C136">
        <f>(1-(B7/100))*2061.85</f>
        <v>2061.85</v>
      </c>
      <c r="D136" s="1">
        <v>0</v>
      </c>
      <c r="E136">
        <f>D136*C136</f>
        <v>0</v>
      </c>
      <c r="F136" s="1" t="s">
        <v>16</v>
      </c>
      <c r="G136" s="17">
        <v>77396</v>
      </c>
    </row>
    <row r="137" spans="1:7">
      <c r="A137" s="1" t="s">
        <v>335</v>
      </c>
      <c r="B137" s="1" t="s">
        <v>336</v>
      </c>
      <c r="C137">
        <f>(1-(B7/100))*2217.07</f>
        <v>2217.07</v>
      </c>
      <c r="D137" s="1">
        <v>0</v>
      </c>
      <c r="E137">
        <f>D137*C137</f>
        <v>0</v>
      </c>
      <c r="F137" s="1" t="s">
        <v>16</v>
      </c>
      <c r="G137" s="17">
        <v>77398</v>
      </c>
    </row>
    <row r="138" spans="1:7">
      <c r="A138" s="1" t="s">
        <v>337</v>
      </c>
      <c r="B138" s="1" t="s">
        <v>338</v>
      </c>
      <c r="C138">
        <f>(1-(B7/100))*2050.41</f>
        <v>2050.41</v>
      </c>
      <c r="D138" s="1">
        <v>0</v>
      </c>
      <c r="E138">
        <f>D138*C138</f>
        <v>0</v>
      </c>
      <c r="F138" s="1" t="s">
        <v>16</v>
      </c>
      <c r="G138" s="17">
        <v>77415</v>
      </c>
    </row>
    <row r="139" spans="1:7">
      <c r="A139" s="1" t="s">
        <v>339</v>
      </c>
      <c r="B139" s="1" t="s">
        <v>340</v>
      </c>
      <c r="C139">
        <f>(1-(B7/100))*2050.41</f>
        <v>2050.41</v>
      </c>
      <c r="D139" s="1">
        <v>0</v>
      </c>
      <c r="E139">
        <f>D139*C139</f>
        <v>0</v>
      </c>
      <c r="F139" s="1" t="s">
        <v>16</v>
      </c>
      <c r="G139" s="17">
        <v>77417</v>
      </c>
    </row>
    <row r="140" spans="1:7">
      <c r="A140" s="1" t="s">
        <v>341</v>
      </c>
      <c r="B140" s="1" t="s">
        <v>342</v>
      </c>
      <c r="C140">
        <f>(1-(B7/100))*2050.41</f>
        <v>2050.41</v>
      </c>
      <c r="D140" s="1">
        <v>0</v>
      </c>
      <c r="E140">
        <f>D140*C140</f>
        <v>0</v>
      </c>
      <c r="F140" s="1" t="s">
        <v>16</v>
      </c>
      <c r="G140" s="17">
        <v>77418</v>
      </c>
    </row>
    <row r="141" spans="1:7">
      <c r="A141" s="1" t="s">
        <v>343</v>
      </c>
      <c r="B141" s="1" t="s">
        <v>344</v>
      </c>
      <c r="C141">
        <f>(1-(B7/100))*2050.41</f>
        <v>2050.41</v>
      </c>
      <c r="D141" s="1">
        <v>0</v>
      </c>
      <c r="E141">
        <f>D141*C141</f>
        <v>0</v>
      </c>
      <c r="F141" s="1" t="s">
        <v>16</v>
      </c>
      <c r="G141" s="17">
        <v>77419</v>
      </c>
    </row>
    <row r="142" spans="1:7">
      <c r="A142" s="1" t="s">
        <v>345</v>
      </c>
      <c r="B142" s="1" t="s">
        <v>346</v>
      </c>
      <c r="C142">
        <f>(1-(B7/100))*2114.39</f>
        <v>2114.39</v>
      </c>
      <c r="D142" s="1">
        <v>0</v>
      </c>
      <c r="E142">
        <f>D142*C142</f>
        <v>0</v>
      </c>
      <c r="F142" s="1" t="s">
        <v>16</v>
      </c>
      <c r="G142" s="17">
        <v>77423</v>
      </c>
    </row>
    <row r="143" spans="1:7">
      <c r="A143" s="16"/>
      <c r="B143" s="16" t="s">
        <v>347</v>
      </c>
      <c r="C143" s="16"/>
      <c r="D143" s="16"/>
      <c r="E143" s="16"/>
      <c r="F143" s="16"/>
    </row>
    <row r="144" spans="1:7">
      <c r="A144" s="16"/>
      <c r="B144" s="16" t="s">
        <v>348</v>
      </c>
      <c r="C144" s="16"/>
      <c r="D144" s="16"/>
      <c r="E144" s="16"/>
      <c r="F144" s="16"/>
    </row>
    <row r="145" spans="1:7">
      <c r="A145" s="1" t="s">
        <v>349</v>
      </c>
      <c r="B145" s="1" t="s">
        <v>350</v>
      </c>
      <c r="C145">
        <f>(1-(B7/100))*3064.53</f>
        <v>3064.53</v>
      </c>
      <c r="D145" s="1">
        <v>0</v>
      </c>
      <c r="E145">
        <f>D145*C145</f>
        <v>0</v>
      </c>
      <c r="F145" s="1" t="s">
        <v>16</v>
      </c>
      <c r="G145" s="17">
        <v>84193</v>
      </c>
    </row>
    <row r="146" spans="1:7">
      <c r="A146" s="16"/>
      <c r="B146" s="16" t="s">
        <v>351</v>
      </c>
      <c r="C146" s="16"/>
      <c r="D146" s="16"/>
      <c r="E146" s="16"/>
      <c r="F146" s="16"/>
    </row>
    <row r="147" spans="1:7">
      <c r="A147" s="16"/>
      <c r="B147" s="16" t="s">
        <v>352</v>
      </c>
      <c r="C147" s="16"/>
      <c r="D147" s="16"/>
      <c r="E147" s="16"/>
      <c r="F147" s="16"/>
    </row>
    <row r="148" spans="1:7">
      <c r="A148" s="1" t="s">
        <v>353</v>
      </c>
      <c r="B148" s="1" t="s">
        <v>354</v>
      </c>
      <c r="C148">
        <f>(1-(B7/100))*199.06</f>
        <v>199.06</v>
      </c>
      <c r="D148" s="1">
        <v>0</v>
      </c>
      <c r="E148">
        <f>D148*C148</f>
        <v>0</v>
      </c>
      <c r="F148" s="1" t="s">
        <v>355</v>
      </c>
      <c r="G148" s="17">
        <v>65021</v>
      </c>
    </row>
    <row r="149" spans="1:7">
      <c r="A149" s="1" t="s">
        <v>356</v>
      </c>
      <c r="B149" s="1" t="s">
        <v>357</v>
      </c>
      <c r="C149">
        <f>(1-(B7/100))*350.86</f>
        <v>350.86</v>
      </c>
      <c r="D149" s="1">
        <v>0</v>
      </c>
      <c r="E149">
        <f>D149*C149</f>
        <v>0</v>
      </c>
      <c r="F149" s="1" t="s">
        <v>358</v>
      </c>
      <c r="G149" s="17">
        <v>84236</v>
      </c>
    </row>
    <row r="150" spans="1:7">
      <c r="A150" s="1" t="s">
        <v>359</v>
      </c>
      <c r="B150" s="1" t="s">
        <v>360</v>
      </c>
      <c r="C150">
        <f>(1-(B7/100))*326.02</f>
        <v>326.02</v>
      </c>
      <c r="D150" s="1">
        <v>0</v>
      </c>
      <c r="E150">
        <f>D150*C150</f>
        <v>0</v>
      </c>
      <c r="F150" s="1" t="s">
        <v>361</v>
      </c>
      <c r="G150" s="17">
        <v>84237</v>
      </c>
    </row>
    <row r="151" spans="1:7">
      <c r="A151" s="1" t="s">
        <v>362</v>
      </c>
      <c r="B151" s="1" t="s">
        <v>363</v>
      </c>
      <c r="C151">
        <f>(1-(B7/100))*43.69</f>
        <v>43.69</v>
      </c>
      <c r="D151" s="1">
        <v>0</v>
      </c>
      <c r="E151">
        <f>D151*C151</f>
        <v>0</v>
      </c>
      <c r="F151" s="1" t="s">
        <v>364</v>
      </c>
      <c r="G151" s="17">
        <v>84240</v>
      </c>
    </row>
    <row r="152" spans="1:7">
      <c r="A152" s="1" t="s">
        <v>365</v>
      </c>
      <c r="B152" s="1" t="s">
        <v>366</v>
      </c>
      <c r="C152">
        <f>(1-(B7/100))*379.74</f>
        <v>379.74</v>
      </c>
      <c r="D152" s="1">
        <v>0</v>
      </c>
      <c r="E152">
        <f>D152*C152</f>
        <v>0</v>
      </c>
      <c r="F152" s="1" t="s">
        <v>367</v>
      </c>
      <c r="G152" s="17">
        <v>84242</v>
      </c>
    </row>
    <row r="153" spans="1:7">
      <c r="A153" s="1" t="s">
        <v>368</v>
      </c>
      <c r="B153" s="1" t="s">
        <v>369</v>
      </c>
      <c r="C153">
        <f>(1-(B7/100))*326.02</f>
        <v>326.02</v>
      </c>
      <c r="D153" s="1">
        <v>0</v>
      </c>
      <c r="E153">
        <f>D153*C153</f>
        <v>0</v>
      </c>
      <c r="F153" s="1" t="s">
        <v>370</v>
      </c>
      <c r="G153" s="17">
        <v>84243</v>
      </c>
    </row>
    <row r="154" spans="1:7">
      <c r="A154" s="1" t="s">
        <v>371</v>
      </c>
      <c r="B154" s="1" t="s">
        <v>372</v>
      </c>
      <c r="C154">
        <f>(1-(B7/100))*315.58</f>
        <v>315.58</v>
      </c>
      <c r="D154" s="1">
        <v>0</v>
      </c>
      <c r="E154">
        <f>D154*C154</f>
        <v>0</v>
      </c>
      <c r="F154" s="1" t="s">
        <v>373</v>
      </c>
      <c r="G154" s="17">
        <v>84244</v>
      </c>
    </row>
    <row r="155" spans="1:7">
      <c r="A155" s="1" t="s">
        <v>374</v>
      </c>
      <c r="B155" s="1" t="s">
        <v>375</v>
      </c>
      <c r="C155">
        <f>(1-(B7/100))*326.02</f>
        <v>326.02</v>
      </c>
      <c r="D155" s="1">
        <v>0</v>
      </c>
      <c r="E155">
        <f>D155*C155</f>
        <v>0</v>
      </c>
      <c r="F155" s="1" t="s">
        <v>376</v>
      </c>
      <c r="G155" s="17">
        <v>84245</v>
      </c>
    </row>
    <row r="156" spans="1:7">
      <c r="A156" s="1" t="s">
        <v>377</v>
      </c>
      <c r="B156" s="1" t="s">
        <v>378</v>
      </c>
      <c r="C156">
        <f>(1-(B7/100))*326.02</f>
        <v>326.02</v>
      </c>
      <c r="D156" s="1">
        <v>0</v>
      </c>
      <c r="E156">
        <f>D156*C156</f>
        <v>0</v>
      </c>
      <c r="F156" s="1" t="s">
        <v>379</v>
      </c>
      <c r="G156" s="17">
        <v>84247</v>
      </c>
    </row>
    <row r="157" spans="1:7">
      <c r="A157" s="1" t="s">
        <v>380</v>
      </c>
      <c r="B157" s="1" t="s">
        <v>381</v>
      </c>
      <c r="C157">
        <f>(1-(B7/100))*451.41</f>
        <v>451.41</v>
      </c>
      <c r="D157" s="1">
        <v>0</v>
      </c>
      <c r="E157">
        <f>D157*C157</f>
        <v>0</v>
      </c>
      <c r="F157" s="1" t="s">
        <v>382</v>
      </c>
      <c r="G157" s="17">
        <v>84248</v>
      </c>
    </row>
    <row r="158" spans="1:7">
      <c r="A158" s="1" t="s">
        <v>383</v>
      </c>
      <c r="B158" s="1" t="s">
        <v>384</v>
      </c>
      <c r="C158">
        <f>(1-(B7/100))*379.74</f>
        <v>379.74</v>
      </c>
      <c r="D158" s="1">
        <v>0</v>
      </c>
      <c r="E158">
        <f>D158*C158</f>
        <v>0</v>
      </c>
      <c r="F158" s="1" t="s">
        <v>385</v>
      </c>
      <c r="G158" s="17">
        <v>84249</v>
      </c>
    </row>
    <row r="159" spans="1:7">
      <c r="A159" s="1" t="s">
        <v>386</v>
      </c>
      <c r="B159" s="1" t="s">
        <v>387</v>
      </c>
      <c r="C159">
        <f>(1-(B7/100))*326.02</f>
        <v>326.02</v>
      </c>
      <c r="D159" s="1">
        <v>0</v>
      </c>
      <c r="E159">
        <f>D159*C159</f>
        <v>0</v>
      </c>
      <c r="F159" s="1" t="s">
        <v>388</v>
      </c>
      <c r="G159" s="17">
        <v>84250</v>
      </c>
    </row>
    <row r="160" spans="1:7">
      <c r="A160" s="1" t="s">
        <v>389</v>
      </c>
      <c r="B160" s="1" t="s">
        <v>390</v>
      </c>
      <c r="C160">
        <f>(1-(B7/100))*415.59</f>
        <v>415.59</v>
      </c>
      <c r="D160" s="1">
        <v>0</v>
      </c>
      <c r="E160">
        <f>D160*C160</f>
        <v>0</v>
      </c>
      <c r="F160" s="1" t="s">
        <v>391</v>
      </c>
      <c r="G160" s="17">
        <v>84251</v>
      </c>
    </row>
    <row r="161" spans="1:7">
      <c r="A161" s="1" t="s">
        <v>392</v>
      </c>
      <c r="B161" s="1" t="s">
        <v>369</v>
      </c>
      <c r="C161">
        <f>(1-(B7/100))*285.76</f>
        <v>285.76</v>
      </c>
      <c r="D161" s="1">
        <v>0</v>
      </c>
      <c r="E161">
        <f>D161*C161</f>
        <v>0</v>
      </c>
      <c r="F161" s="1" t="s">
        <v>393</v>
      </c>
      <c r="G161" s="17">
        <v>84252</v>
      </c>
    </row>
    <row r="162" spans="1:7">
      <c r="A162" s="1" t="s">
        <v>394</v>
      </c>
      <c r="B162" s="1" t="s">
        <v>395</v>
      </c>
      <c r="C162">
        <f>(1-(B7/100))*1891.53</f>
        <v>1891.53</v>
      </c>
      <c r="D162" s="1">
        <v>0</v>
      </c>
      <c r="E162">
        <f>D162*C162</f>
        <v>0</v>
      </c>
      <c r="F162" s="1" t="s">
        <v>396</v>
      </c>
      <c r="G162" s="17">
        <v>87102</v>
      </c>
    </row>
    <row r="163" spans="1:7">
      <c r="A163" s="16"/>
      <c r="B163" s="16" t="s">
        <v>397</v>
      </c>
      <c r="C163" s="16"/>
      <c r="D163" s="16"/>
      <c r="E163" s="16"/>
      <c r="F163" s="16"/>
    </row>
    <row r="164" spans="1:7">
      <c r="A164" s="1">
        <v>1640540</v>
      </c>
      <c r="B164" s="1" t="s">
        <v>398</v>
      </c>
      <c r="C164">
        <f>(1-(B7/100))*225.01</f>
        <v>225.01</v>
      </c>
      <c r="D164" s="1">
        <v>0</v>
      </c>
      <c r="E164">
        <f>D164*C164</f>
        <v>0</v>
      </c>
      <c r="F164" s="1" t="s">
        <v>399</v>
      </c>
      <c r="G164" s="17">
        <v>87039</v>
      </c>
    </row>
    <row r="165" spans="1:7">
      <c r="A165" s="16"/>
      <c r="B165" s="16" t="s">
        <v>400</v>
      </c>
      <c r="C165" s="16"/>
      <c r="D165" s="16"/>
      <c r="E165" s="16"/>
      <c r="F165" s="16"/>
    </row>
    <row r="166" spans="1:7">
      <c r="A166" s="1" t="s">
        <v>401</v>
      </c>
      <c r="B166" s="1" t="s">
        <v>402</v>
      </c>
      <c r="C166">
        <f>(1-(B7/100))*758.42</f>
        <v>758.42</v>
      </c>
      <c r="D166" s="1">
        <v>0</v>
      </c>
      <c r="E166">
        <f>D166*C166</f>
        <v>0</v>
      </c>
      <c r="F166" s="1" t="s">
        <v>403</v>
      </c>
      <c r="G166" s="17">
        <v>85341</v>
      </c>
    </row>
    <row r="167" spans="1:7">
      <c r="A167" s="16"/>
      <c r="B167" s="16" t="s">
        <v>404</v>
      </c>
      <c r="C167" s="16"/>
      <c r="D167" s="16"/>
      <c r="E167" s="16"/>
      <c r="F167" s="16"/>
    </row>
    <row r="168" spans="1:7">
      <c r="A168" s="1" t="s">
        <v>405</v>
      </c>
      <c r="B168" s="1" t="s">
        <v>406</v>
      </c>
      <c r="C168">
        <f>(1-(B7/100))*112.85</f>
        <v>112.85</v>
      </c>
      <c r="D168" s="1">
        <v>0</v>
      </c>
      <c r="E168">
        <f>D168*C168</f>
        <v>0</v>
      </c>
      <c r="F168" s="1" t="s">
        <v>407</v>
      </c>
      <c r="G168" s="17">
        <v>87901</v>
      </c>
    </row>
    <row r="169" spans="1:7">
      <c r="A169" s="16"/>
      <c r="B169" s="16" t="s">
        <v>408</v>
      </c>
      <c r="C169" s="16"/>
      <c r="D169" s="16"/>
      <c r="E169" s="16"/>
      <c r="F169" s="16"/>
    </row>
    <row r="170" spans="1:7">
      <c r="A170" s="1" t="s">
        <v>409</v>
      </c>
      <c r="B170" s="1" t="s">
        <v>410</v>
      </c>
      <c r="C170">
        <f>(1-(B7/100))*312.85</f>
        <v>312.85</v>
      </c>
      <c r="D170" s="1">
        <v>0</v>
      </c>
      <c r="E170">
        <f>D170*C170</f>
        <v>0</v>
      </c>
      <c r="F170" s="1" t="s">
        <v>411</v>
      </c>
      <c r="G170" s="17">
        <v>84312</v>
      </c>
    </row>
    <row r="171" spans="1:7">
      <c r="A171" s="1" t="s">
        <v>412</v>
      </c>
      <c r="B171" s="1" t="s">
        <v>413</v>
      </c>
      <c r="C171">
        <f>(1-(B7/100))*1189.17</f>
        <v>1189.17</v>
      </c>
      <c r="D171" s="1">
        <v>0</v>
      </c>
      <c r="E171">
        <f>D171*C171</f>
        <v>0</v>
      </c>
      <c r="F171" s="1" t="s">
        <v>414</v>
      </c>
      <c r="G171" s="17">
        <v>84913</v>
      </c>
    </row>
    <row r="172" spans="1:7">
      <c r="A172" s="1" t="s">
        <v>415</v>
      </c>
      <c r="B172" s="1" t="s">
        <v>416</v>
      </c>
      <c r="C172">
        <f>(1-(B7/100))*1337.09</f>
        <v>1337.09</v>
      </c>
      <c r="D172" s="1">
        <v>0</v>
      </c>
      <c r="E172">
        <f>D172*C172</f>
        <v>0</v>
      </c>
      <c r="F172" s="1" t="s">
        <v>417</v>
      </c>
      <c r="G172" s="17">
        <v>84914</v>
      </c>
    </row>
    <row r="173" spans="1:7">
      <c r="A173" s="1" t="s">
        <v>418</v>
      </c>
      <c r="B173" s="1" t="s">
        <v>419</v>
      </c>
      <c r="C173">
        <f>(1-(B7/100))*1538.93</f>
        <v>1538.93</v>
      </c>
      <c r="D173" s="1">
        <v>0</v>
      </c>
      <c r="E173">
        <f>D173*C173</f>
        <v>0</v>
      </c>
      <c r="F173" s="1" t="s">
        <v>420</v>
      </c>
      <c r="G173" s="17">
        <v>84915</v>
      </c>
    </row>
    <row r="174" spans="1:7">
      <c r="A174" s="1" t="s">
        <v>421</v>
      </c>
      <c r="B174" s="1" t="s">
        <v>422</v>
      </c>
      <c r="C174">
        <f>(1-(B7/100))*1739.55</f>
        <v>1739.55</v>
      </c>
      <c r="D174" s="1">
        <v>0</v>
      </c>
      <c r="E174">
        <f>D174*C174</f>
        <v>0</v>
      </c>
      <c r="F174" s="1" t="s">
        <v>423</v>
      </c>
      <c r="G174" s="17">
        <v>84916</v>
      </c>
    </row>
    <row r="175" spans="1:7">
      <c r="A175" s="1" t="s">
        <v>424</v>
      </c>
      <c r="B175" s="1" t="s">
        <v>425</v>
      </c>
      <c r="C175">
        <f>(1-(B7/100))*17.46</f>
        <v>17.46</v>
      </c>
      <c r="D175" s="1">
        <v>0</v>
      </c>
      <c r="E175">
        <f>D175*C175</f>
        <v>0</v>
      </c>
      <c r="F175" s="1" t="s">
        <v>426</v>
      </c>
      <c r="G175" s="17">
        <v>84957</v>
      </c>
    </row>
    <row r="176" spans="1:7">
      <c r="A176" s="1" t="s">
        <v>427</v>
      </c>
      <c r="B176" s="1" t="s">
        <v>428</v>
      </c>
      <c r="C176">
        <f>(1-(B7/100))*232.14</f>
        <v>232.14</v>
      </c>
      <c r="D176" s="1">
        <v>0</v>
      </c>
      <c r="E176">
        <f>D176*C176</f>
        <v>0</v>
      </c>
      <c r="F176" s="1" t="s">
        <v>429</v>
      </c>
      <c r="G176" s="17">
        <v>85510</v>
      </c>
    </row>
    <row r="177" spans="1:7">
      <c r="A177" s="1" t="s">
        <v>430</v>
      </c>
      <c r="B177" s="1" t="s">
        <v>431</v>
      </c>
      <c r="C177">
        <f>(1-(B7/100))*1139.2</f>
        <v>1139.2</v>
      </c>
      <c r="D177" s="1">
        <v>0</v>
      </c>
      <c r="E177">
        <f>D177*C177</f>
        <v>0</v>
      </c>
      <c r="F177" s="1" t="s">
        <v>432</v>
      </c>
      <c r="G177" s="17">
        <v>85511</v>
      </c>
    </row>
    <row r="178" spans="1:7">
      <c r="A178" s="1" t="s">
        <v>433</v>
      </c>
      <c r="B178" s="1" t="s">
        <v>434</v>
      </c>
      <c r="C178">
        <f>(1-(B7/100))*1668.13</f>
        <v>1668.13</v>
      </c>
      <c r="D178" s="1">
        <v>0</v>
      </c>
      <c r="E178">
        <f>D178*C178</f>
        <v>0</v>
      </c>
      <c r="F178" s="1" t="s">
        <v>435</v>
      </c>
      <c r="G178" s="17">
        <v>85517</v>
      </c>
    </row>
    <row r="179" spans="1:7">
      <c r="A179" s="1" t="s">
        <v>436</v>
      </c>
      <c r="B179" s="1" t="s">
        <v>437</v>
      </c>
      <c r="C179">
        <f>(1-(B7/100))*433.45</f>
        <v>433.45</v>
      </c>
      <c r="D179" s="1">
        <v>0</v>
      </c>
      <c r="E179">
        <f>D179*C179</f>
        <v>0</v>
      </c>
      <c r="F179" s="1" t="s">
        <v>438</v>
      </c>
      <c r="G179" s="17">
        <v>85518</v>
      </c>
    </row>
    <row r="180" spans="1:7">
      <c r="A180" s="16"/>
      <c r="B180" s="16" t="s">
        <v>439</v>
      </c>
      <c r="C180" s="16"/>
      <c r="D180" s="16"/>
      <c r="E180" s="16"/>
      <c r="F180" s="16"/>
    </row>
    <row r="181" spans="1:7">
      <c r="A181" s="1" t="s">
        <v>440</v>
      </c>
      <c r="B181" s="1" t="s">
        <v>441</v>
      </c>
      <c r="C181">
        <f>(1-(B7/100))*101.12</f>
        <v>101.12</v>
      </c>
      <c r="D181" s="1">
        <v>0</v>
      </c>
      <c r="E181">
        <f>D181*C181</f>
        <v>0</v>
      </c>
      <c r="F181" s="1" t="s">
        <v>442</v>
      </c>
      <c r="G181" s="17">
        <v>62950</v>
      </c>
    </row>
    <row r="182" spans="1:7">
      <c r="A182" s="1" t="s">
        <v>443</v>
      </c>
      <c r="B182" s="1" t="s">
        <v>444</v>
      </c>
      <c r="C182">
        <f>(1-(B7/100))*507.39</f>
        <v>507.39</v>
      </c>
      <c r="D182" s="1">
        <v>0</v>
      </c>
      <c r="E182">
        <f>D182*C182</f>
        <v>0</v>
      </c>
      <c r="F182" s="1" t="s">
        <v>445</v>
      </c>
      <c r="G182" s="17">
        <v>63116</v>
      </c>
    </row>
    <row r="183" spans="1:7">
      <c r="A183" s="1" t="s">
        <v>446</v>
      </c>
      <c r="B183" s="1" t="s">
        <v>447</v>
      </c>
      <c r="C183">
        <f>(1-(B7/100))*976.52</f>
        <v>976.52</v>
      </c>
      <c r="D183" s="1">
        <v>0</v>
      </c>
      <c r="E183">
        <f>D183*C183</f>
        <v>0</v>
      </c>
      <c r="F183" s="1" t="s">
        <v>448</v>
      </c>
      <c r="G183" s="17">
        <v>63197</v>
      </c>
    </row>
    <row r="184" spans="1:7">
      <c r="A184" s="1" t="s">
        <v>449</v>
      </c>
      <c r="B184" s="1" t="s">
        <v>450</v>
      </c>
      <c r="C184">
        <f>(1-(B7/100))*94.12</f>
        <v>94.12</v>
      </c>
      <c r="D184" s="1">
        <v>0</v>
      </c>
      <c r="E184">
        <f>D184*C184</f>
        <v>0</v>
      </c>
      <c r="F184" s="1" t="s">
        <v>451</v>
      </c>
      <c r="G184" s="17">
        <v>63288</v>
      </c>
    </row>
    <row r="185" spans="1:7">
      <c r="A185" s="1" t="s">
        <v>452</v>
      </c>
      <c r="B185" s="1" t="s">
        <v>453</v>
      </c>
      <c r="C185">
        <f>(1-(B7/100))*413.42</f>
        <v>413.42</v>
      </c>
      <c r="D185" s="1">
        <v>0</v>
      </c>
      <c r="E185">
        <f>D185*C185</f>
        <v>0</v>
      </c>
      <c r="F185" s="1" t="s">
        <v>454</v>
      </c>
      <c r="G185" s="17">
        <v>63289</v>
      </c>
    </row>
    <row r="186" spans="1:7">
      <c r="A186" s="1" t="s">
        <v>455</v>
      </c>
      <c r="B186" s="1" t="s">
        <v>456</v>
      </c>
      <c r="C186">
        <f>(1-(B7/100))*275.83</f>
        <v>275.83</v>
      </c>
      <c r="D186" s="1">
        <v>0</v>
      </c>
      <c r="E186">
        <f>D186*C186</f>
        <v>0</v>
      </c>
      <c r="F186" s="1" t="s">
        <v>457</v>
      </c>
      <c r="G186" s="17">
        <v>64180</v>
      </c>
    </row>
    <row r="187" spans="1:7">
      <c r="A187" s="1" t="s">
        <v>458</v>
      </c>
      <c r="B187" s="1" t="s">
        <v>459</v>
      </c>
      <c r="C187">
        <f>(1-(B7/100))*223.9</f>
        <v>223.9</v>
      </c>
      <c r="D187" s="1">
        <v>0</v>
      </c>
      <c r="E187">
        <f>D187*C187</f>
        <v>0</v>
      </c>
      <c r="F187" s="1" t="s">
        <v>460</v>
      </c>
      <c r="G187" s="17">
        <v>64242</v>
      </c>
    </row>
    <row r="188" spans="1:7">
      <c r="A188" s="1" t="s">
        <v>461</v>
      </c>
      <c r="B188" s="1" t="s">
        <v>462</v>
      </c>
      <c r="C188">
        <f>(1-(B7/100))*312.28</f>
        <v>312.28</v>
      </c>
      <c r="D188" s="1">
        <v>0</v>
      </c>
      <c r="E188">
        <f>D188*C188</f>
        <v>0</v>
      </c>
      <c r="F188" s="1" t="s">
        <v>463</v>
      </c>
      <c r="G188" s="17">
        <v>64466</v>
      </c>
    </row>
    <row r="189" spans="1:7">
      <c r="A189" s="1" t="s">
        <v>464</v>
      </c>
      <c r="B189" s="1" t="s">
        <v>465</v>
      </c>
      <c r="C189">
        <f>(1-(B7/100))*780.42</f>
        <v>780.42</v>
      </c>
      <c r="D189" s="1">
        <v>0</v>
      </c>
      <c r="E189">
        <f>D189*C189</f>
        <v>0</v>
      </c>
      <c r="F189" s="1" t="s">
        <v>466</v>
      </c>
      <c r="G189" s="17">
        <v>64470</v>
      </c>
    </row>
    <row r="190" spans="1:7">
      <c r="A190" s="1" t="s">
        <v>467</v>
      </c>
      <c r="B190" s="1" t="s">
        <v>468</v>
      </c>
      <c r="C190">
        <f>(1-(B7/100))*119.21</f>
        <v>119.21</v>
      </c>
      <c r="D190" s="1">
        <v>0</v>
      </c>
      <c r="E190">
        <f>D190*C190</f>
        <v>0</v>
      </c>
      <c r="F190" s="1" t="s">
        <v>469</v>
      </c>
      <c r="G190" s="17">
        <v>64544</v>
      </c>
    </row>
    <row r="191" spans="1:7">
      <c r="A191" s="1" t="s">
        <v>470</v>
      </c>
      <c r="B191" s="1" t="s">
        <v>471</v>
      </c>
      <c r="C191">
        <f>(1-(B7/100))*17.97</f>
        <v>17.97</v>
      </c>
      <c r="D191" s="1">
        <v>0</v>
      </c>
      <c r="E191">
        <f>D191*C191</f>
        <v>0</v>
      </c>
      <c r="F191" s="1" t="s">
        <v>472</v>
      </c>
      <c r="G191" s="17">
        <v>64739</v>
      </c>
    </row>
    <row r="192" spans="1:7">
      <c r="A192" s="1" t="s">
        <v>473</v>
      </c>
      <c r="B192" s="1" t="s">
        <v>474</v>
      </c>
      <c r="C192">
        <f>(1-(B7/100))*124.24</f>
        <v>124.24</v>
      </c>
      <c r="D192" s="1">
        <v>0</v>
      </c>
      <c r="E192">
        <f>D192*C192</f>
        <v>0</v>
      </c>
      <c r="F192" s="1" t="s">
        <v>475</v>
      </c>
      <c r="G192" s="17">
        <v>64975</v>
      </c>
    </row>
    <row r="193" spans="1:7">
      <c r="A193" s="1" t="s">
        <v>476</v>
      </c>
      <c r="B193" s="1" t="s">
        <v>477</v>
      </c>
      <c r="C193">
        <f>(1-(B7/100))*38.79</f>
        <v>38.79</v>
      </c>
      <c r="D193" s="1">
        <v>0</v>
      </c>
      <c r="E193">
        <f>D193*C193</f>
        <v>0</v>
      </c>
      <c r="F193" s="1" t="s">
        <v>478</v>
      </c>
      <c r="G193" s="17">
        <v>65483</v>
      </c>
    </row>
    <row r="194" spans="1:7">
      <c r="A194" s="1" t="s">
        <v>479</v>
      </c>
      <c r="B194" s="1" t="s">
        <v>480</v>
      </c>
      <c r="C194">
        <f>(1-(B7/100))*36.09</f>
        <v>36.09</v>
      </c>
      <c r="D194" s="1">
        <v>0</v>
      </c>
      <c r="E194">
        <f>D194*C194</f>
        <v>0</v>
      </c>
      <c r="F194" s="1" t="s">
        <v>481</v>
      </c>
      <c r="G194" s="17">
        <v>65484</v>
      </c>
    </row>
    <row r="195" spans="1:7">
      <c r="A195" s="1" t="s">
        <v>482</v>
      </c>
      <c r="B195" s="1" t="s">
        <v>483</v>
      </c>
      <c r="C195">
        <f>(1-(B7/100))*572.51</f>
        <v>572.51</v>
      </c>
      <c r="D195" s="1">
        <v>0</v>
      </c>
      <c r="E195">
        <f>D195*C195</f>
        <v>0</v>
      </c>
      <c r="F195" s="1" t="s">
        <v>484</v>
      </c>
      <c r="G195" s="17">
        <v>65502</v>
      </c>
    </row>
    <row r="196" spans="1:7">
      <c r="A196" s="1" t="s">
        <v>485</v>
      </c>
      <c r="B196" s="1" t="s">
        <v>486</v>
      </c>
      <c r="C196">
        <f>(1-(B7/100))*1145.03</f>
        <v>1145.03</v>
      </c>
      <c r="D196" s="1">
        <v>0</v>
      </c>
      <c r="E196">
        <f>D196*C196</f>
        <v>0</v>
      </c>
      <c r="F196" s="1" t="s">
        <v>487</v>
      </c>
      <c r="G196" s="17">
        <v>65506</v>
      </c>
    </row>
    <row r="197" spans="1:7">
      <c r="A197" s="1" t="s">
        <v>488</v>
      </c>
      <c r="B197" s="1" t="s">
        <v>489</v>
      </c>
      <c r="C197">
        <f>(1-(B7/100))*545.76</f>
        <v>545.76</v>
      </c>
      <c r="D197" s="1">
        <v>0</v>
      </c>
      <c r="E197">
        <f>D197*C197</f>
        <v>0</v>
      </c>
      <c r="F197" s="1" t="s">
        <v>490</v>
      </c>
      <c r="G197" s="17">
        <v>65511</v>
      </c>
    </row>
    <row r="198" spans="1:7">
      <c r="A198" s="1" t="s">
        <v>491</v>
      </c>
      <c r="B198" s="1" t="s">
        <v>492</v>
      </c>
      <c r="C198">
        <f>(1-(B7/100))*249.68</f>
        <v>249.68</v>
      </c>
      <c r="D198" s="1">
        <v>0</v>
      </c>
      <c r="E198">
        <f>D198*C198</f>
        <v>0</v>
      </c>
      <c r="F198" s="1" t="s">
        <v>493</v>
      </c>
      <c r="G198" s="17">
        <v>65529</v>
      </c>
    </row>
    <row r="199" spans="1:7">
      <c r="A199" s="1" t="s">
        <v>494</v>
      </c>
      <c r="B199" s="1" t="s">
        <v>495</v>
      </c>
      <c r="C199">
        <f>(1-(B7/100))*44.67</f>
        <v>44.67</v>
      </c>
      <c r="D199" s="1">
        <v>0</v>
      </c>
      <c r="E199">
        <f>D199*C199</f>
        <v>0</v>
      </c>
      <c r="F199" s="1" t="s">
        <v>496</v>
      </c>
      <c r="G199" s="17">
        <v>65561</v>
      </c>
    </row>
    <row r="200" spans="1:7">
      <c r="A200" s="1" t="s">
        <v>497</v>
      </c>
      <c r="B200" s="1" t="s">
        <v>498</v>
      </c>
      <c r="C200">
        <f>(1-(B7/100))*80.86</f>
        <v>80.86</v>
      </c>
      <c r="D200" s="1">
        <v>0</v>
      </c>
      <c r="E200">
        <f>D200*C200</f>
        <v>0</v>
      </c>
      <c r="F200" s="1" t="s">
        <v>499</v>
      </c>
      <c r="G200" s="17">
        <v>65565</v>
      </c>
    </row>
    <row r="201" spans="1:7">
      <c r="A201" s="1" t="s">
        <v>500</v>
      </c>
      <c r="B201" s="1" t="s">
        <v>501</v>
      </c>
      <c r="C201">
        <f>(1-(B7/100))*80.15</f>
        <v>80.15</v>
      </c>
      <c r="D201" s="1">
        <v>0</v>
      </c>
      <c r="E201">
        <f>D201*C201</f>
        <v>0</v>
      </c>
      <c r="F201" s="1" t="s">
        <v>502</v>
      </c>
      <c r="G201" s="17">
        <v>65567</v>
      </c>
    </row>
    <row r="202" spans="1:7">
      <c r="A202" s="1" t="s">
        <v>503</v>
      </c>
      <c r="B202" s="1" t="s">
        <v>504</v>
      </c>
      <c r="C202">
        <f>(1-(B7/100))*732.92</f>
        <v>732.92</v>
      </c>
      <c r="D202" s="1">
        <v>0</v>
      </c>
      <c r="E202">
        <f>D202*C202</f>
        <v>0</v>
      </c>
      <c r="F202" s="1" t="s">
        <v>505</v>
      </c>
      <c r="G202" s="17">
        <v>65590</v>
      </c>
    </row>
    <row r="203" spans="1:7">
      <c r="A203" s="1" t="s">
        <v>506</v>
      </c>
      <c r="B203" s="1" t="s">
        <v>507</v>
      </c>
      <c r="C203">
        <f>(1-(B7/100))*1143.44</f>
        <v>1143.44</v>
      </c>
      <c r="D203" s="1">
        <v>0</v>
      </c>
      <c r="E203">
        <f>D203*C203</f>
        <v>0</v>
      </c>
      <c r="F203" s="1" t="s">
        <v>508</v>
      </c>
      <c r="G203" s="17">
        <v>65591</v>
      </c>
    </row>
    <row r="204" spans="1:7">
      <c r="A204" s="1" t="s">
        <v>509</v>
      </c>
      <c r="B204" s="1" t="s">
        <v>510</v>
      </c>
      <c r="C204">
        <f>(1-(B7/100))*2425.78</f>
        <v>2425.78</v>
      </c>
      <c r="D204" s="1">
        <v>0</v>
      </c>
      <c r="E204">
        <f>D204*C204</f>
        <v>0</v>
      </c>
      <c r="F204" s="1" t="s">
        <v>511</v>
      </c>
      <c r="G204" s="17">
        <v>65600</v>
      </c>
    </row>
    <row r="205" spans="1:7">
      <c r="A205" s="1" t="s">
        <v>512</v>
      </c>
      <c r="B205" s="1" t="s">
        <v>513</v>
      </c>
      <c r="C205">
        <f>(1-(B7/100))*1008.98</f>
        <v>1008.98</v>
      </c>
      <c r="D205" s="1">
        <v>0</v>
      </c>
      <c r="E205">
        <f>D205*C205</f>
        <v>0</v>
      </c>
      <c r="F205" s="1" t="s">
        <v>514</v>
      </c>
      <c r="G205" s="17">
        <v>65625</v>
      </c>
    </row>
    <row r="206" spans="1:7">
      <c r="A206" s="1" t="s">
        <v>515</v>
      </c>
      <c r="B206" s="1" t="s">
        <v>516</v>
      </c>
      <c r="C206">
        <f>(1-(B7/100))*1713.77</f>
        <v>1713.77</v>
      </c>
      <c r="D206" s="1">
        <v>0</v>
      </c>
      <c r="E206">
        <f>D206*C206</f>
        <v>0</v>
      </c>
      <c r="F206" s="1" t="s">
        <v>517</v>
      </c>
      <c r="G206" s="17">
        <v>65633</v>
      </c>
    </row>
    <row r="207" spans="1:7">
      <c r="A207" s="1" t="s">
        <v>518</v>
      </c>
      <c r="B207" s="1" t="s">
        <v>519</v>
      </c>
      <c r="C207">
        <f>(1-(B7/100))*57.1</f>
        <v>57.1</v>
      </c>
      <c r="D207" s="1">
        <v>0</v>
      </c>
      <c r="E207">
        <f>D207*C207</f>
        <v>0</v>
      </c>
      <c r="F207" s="1" t="s">
        <v>520</v>
      </c>
      <c r="G207" s="17">
        <v>65647</v>
      </c>
    </row>
    <row r="208" spans="1:7">
      <c r="A208" s="1" t="s">
        <v>521</v>
      </c>
      <c r="B208" s="1" t="s">
        <v>522</v>
      </c>
      <c r="C208">
        <f>(1-(B7/100))*53.18</f>
        <v>53.18</v>
      </c>
      <c r="D208" s="1">
        <v>0</v>
      </c>
      <c r="E208">
        <f>D208*C208</f>
        <v>0</v>
      </c>
      <c r="F208" s="1" t="s">
        <v>523</v>
      </c>
      <c r="G208" s="17">
        <v>65659</v>
      </c>
    </row>
    <row r="209" spans="1:7">
      <c r="A209" s="1" t="s">
        <v>524</v>
      </c>
      <c r="B209" s="1" t="s">
        <v>525</v>
      </c>
      <c r="C209">
        <f>(1-(B7/100))*54.97</f>
        <v>54.97</v>
      </c>
      <c r="D209" s="1">
        <v>0</v>
      </c>
      <c r="E209">
        <f>D209*C209</f>
        <v>0</v>
      </c>
      <c r="F209" s="1" t="s">
        <v>526</v>
      </c>
      <c r="G209" s="17">
        <v>65663</v>
      </c>
    </row>
    <row r="210" spans="1:7">
      <c r="A210" s="1" t="s">
        <v>527</v>
      </c>
      <c r="B210" s="1" t="s">
        <v>528</v>
      </c>
      <c r="C210">
        <f>(1-(B7/100))*112.28</f>
        <v>112.28</v>
      </c>
      <c r="D210" s="1">
        <v>0</v>
      </c>
      <c r="E210">
        <f>D210*C210</f>
        <v>0</v>
      </c>
      <c r="F210" s="1" t="s">
        <v>529</v>
      </c>
      <c r="G210" s="17">
        <v>65682</v>
      </c>
    </row>
    <row r="211" spans="1:7">
      <c r="A211" s="1" t="s">
        <v>530</v>
      </c>
      <c r="B211" s="1" t="s">
        <v>531</v>
      </c>
      <c r="C211">
        <f>(1-(B7/100))*137.41</f>
        <v>137.41</v>
      </c>
      <c r="D211" s="1">
        <v>0</v>
      </c>
      <c r="E211">
        <f>D211*C211</f>
        <v>0</v>
      </c>
      <c r="F211" s="1" t="s">
        <v>532</v>
      </c>
      <c r="G211" s="17">
        <v>65685</v>
      </c>
    </row>
    <row r="212" spans="1:7">
      <c r="A212" s="1" t="s">
        <v>533</v>
      </c>
      <c r="B212" s="1" t="s">
        <v>534</v>
      </c>
      <c r="C212">
        <f>(1-(B7/100))*701.47</f>
        <v>701.47</v>
      </c>
      <c r="D212" s="1">
        <v>0</v>
      </c>
      <c r="E212">
        <f>D212*C212</f>
        <v>0</v>
      </c>
      <c r="F212" s="1" t="s">
        <v>535</v>
      </c>
      <c r="G212" s="17">
        <v>65691</v>
      </c>
    </row>
    <row r="213" spans="1:7">
      <c r="A213" s="1" t="s">
        <v>536</v>
      </c>
      <c r="B213" s="1" t="s">
        <v>537</v>
      </c>
      <c r="C213">
        <f>(1-(B7/100))*498.74</f>
        <v>498.74</v>
      </c>
      <c r="D213" s="1">
        <v>0</v>
      </c>
      <c r="E213">
        <f>D213*C213</f>
        <v>0</v>
      </c>
      <c r="F213" s="1" t="s">
        <v>538</v>
      </c>
      <c r="G213" s="17">
        <v>65693</v>
      </c>
    </row>
    <row r="214" spans="1:7">
      <c r="A214" s="1" t="s">
        <v>539</v>
      </c>
      <c r="B214" s="1" t="s">
        <v>540</v>
      </c>
      <c r="C214">
        <f>(1-(B7/100))*152.75</f>
        <v>152.75</v>
      </c>
      <c r="D214" s="1">
        <v>0</v>
      </c>
      <c r="E214">
        <f>D214*C214</f>
        <v>0</v>
      </c>
      <c r="F214" s="1" t="s">
        <v>541</v>
      </c>
      <c r="G214" s="17">
        <v>65703</v>
      </c>
    </row>
    <row r="215" spans="1:7">
      <c r="A215" s="1" t="s">
        <v>542</v>
      </c>
      <c r="B215" s="1" t="s">
        <v>543</v>
      </c>
      <c r="C215">
        <f>(1-(B7/100))*91.02</f>
        <v>91.02</v>
      </c>
      <c r="D215" s="1">
        <v>0</v>
      </c>
      <c r="E215">
        <f>D215*C215</f>
        <v>0</v>
      </c>
      <c r="F215" s="1" t="s">
        <v>544</v>
      </c>
      <c r="G215" s="17">
        <v>65712</v>
      </c>
    </row>
    <row r="216" spans="1:7">
      <c r="A216" s="1" t="s">
        <v>545</v>
      </c>
      <c r="B216" s="1" t="s">
        <v>546</v>
      </c>
      <c r="C216">
        <f>(1-(B7/100))*43.22</f>
        <v>43.22</v>
      </c>
      <c r="D216" s="1">
        <v>0</v>
      </c>
      <c r="E216">
        <f>D216*C216</f>
        <v>0</v>
      </c>
      <c r="F216" s="1" t="s">
        <v>547</v>
      </c>
      <c r="G216" s="17">
        <v>65719</v>
      </c>
    </row>
    <row r="217" spans="1:7">
      <c r="A217" s="1" t="s">
        <v>548</v>
      </c>
      <c r="B217" s="1" t="s">
        <v>549</v>
      </c>
      <c r="C217">
        <f>(1-(B7/100))*32.11</f>
        <v>32.11</v>
      </c>
      <c r="D217" s="1">
        <v>0</v>
      </c>
      <c r="E217">
        <f>D217*C217</f>
        <v>0</v>
      </c>
      <c r="F217" s="1" t="s">
        <v>550</v>
      </c>
      <c r="G217" s="17">
        <v>65723</v>
      </c>
    </row>
    <row r="218" spans="1:7">
      <c r="A218" s="1" t="s">
        <v>551</v>
      </c>
      <c r="B218" s="1" t="s">
        <v>552</v>
      </c>
      <c r="C218">
        <f>(1-(B7/100))*10.5</f>
        <v>10.5</v>
      </c>
      <c r="D218" s="1">
        <v>0</v>
      </c>
      <c r="E218">
        <f>D218*C218</f>
        <v>0</v>
      </c>
      <c r="F218" s="1" t="s">
        <v>553</v>
      </c>
      <c r="G218" s="17">
        <v>65724</v>
      </c>
    </row>
    <row r="219" spans="1:7">
      <c r="A219" s="1" t="s">
        <v>554</v>
      </c>
      <c r="B219" s="1" t="s">
        <v>555</v>
      </c>
      <c r="C219">
        <f>(1-(B7/100))*293.35</f>
        <v>293.35</v>
      </c>
      <c r="D219" s="1">
        <v>0</v>
      </c>
      <c r="E219">
        <f>D219*C219</f>
        <v>0</v>
      </c>
      <c r="F219" s="1" t="s">
        <v>556</v>
      </c>
      <c r="G219" s="17">
        <v>65726</v>
      </c>
    </row>
    <row r="220" spans="1:7">
      <c r="A220" s="1" t="s">
        <v>557</v>
      </c>
      <c r="B220" s="1" t="s">
        <v>558</v>
      </c>
      <c r="C220">
        <f>(1-(B7/100))*241.67</f>
        <v>241.67</v>
      </c>
      <c r="D220" s="1">
        <v>0</v>
      </c>
      <c r="E220">
        <f>D220*C220</f>
        <v>0</v>
      </c>
      <c r="F220" s="1" t="s">
        <v>559</v>
      </c>
      <c r="G220" s="17">
        <v>65727</v>
      </c>
    </row>
    <row r="221" spans="1:7">
      <c r="A221" s="1" t="s">
        <v>560</v>
      </c>
      <c r="B221" s="1" t="s">
        <v>561</v>
      </c>
      <c r="C221">
        <f>(1-(B7/100))*375.04</f>
        <v>375.04</v>
      </c>
      <c r="D221" s="1">
        <v>0</v>
      </c>
      <c r="E221">
        <f>D221*C221</f>
        <v>0</v>
      </c>
      <c r="F221" s="1" t="s">
        <v>562</v>
      </c>
      <c r="G221" s="17">
        <v>65732</v>
      </c>
    </row>
    <row r="222" spans="1:7">
      <c r="A222" s="1" t="s">
        <v>563</v>
      </c>
      <c r="B222" s="1" t="s">
        <v>564</v>
      </c>
      <c r="C222">
        <f>(1-(B7/100))*818.6</f>
        <v>818.6</v>
      </c>
      <c r="D222" s="1">
        <v>0</v>
      </c>
      <c r="E222">
        <f>D222*C222</f>
        <v>0</v>
      </c>
      <c r="F222" s="1" t="s">
        <v>565</v>
      </c>
      <c r="G222" s="17">
        <v>65766</v>
      </c>
    </row>
    <row r="223" spans="1:7">
      <c r="A223" s="1" t="s">
        <v>566</v>
      </c>
      <c r="B223" s="1" t="s">
        <v>567</v>
      </c>
      <c r="C223">
        <f>(1-(B7/100))*282.38</f>
        <v>282.38</v>
      </c>
      <c r="D223" s="1">
        <v>0</v>
      </c>
      <c r="E223">
        <f>D223*C223</f>
        <v>0</v>
      </c>
      <c r="F223" s="1" t="s">
        <v>568</v>
      </c>
      <c r="G223" s="17">
        <v>65770</v>
      </c>
    </row>
    <row r="224" spans="1:7">
      <c r="A224" s="1" t="s">
        <v>569</v>
      </c>
      <c r="B224" s="1" t="s">
        <v>570</v>
      </c>
      <c r="C224">
        <f>(1-(B7/100))*300.92</f>
        <v>300.92</v>
      </c>
      <c r="D224" s="1">
        <v>0</v>
      </c>
      <c r="E224">
        <f>D224*C224</f>
        <v>0</v>
      </c>
      <c r="F224" s="1" t="s">
        <v>571</v>
      </c>
      <c r="G224" s="17">
        <v>65771</v>
      </c>
    </row>
    <row r="225" spans="1:7">
      <c r="A225" s="1" t="s">
        <v>572</v>
      </c>
      <c r="B225" s="1" t="s">
        <v>573</v>
      </c>
      <c r="C225">
        <f>(1-(B7/100))*557.19</f>
        <v>557.19</v>
      </c>
      <c r="D225" s="1">
        <v>0</v>
      </c>
      <c r="E225">
        <f>D225*C225</f>
        <v>0</v>
      </c>
      <c r="F225" s="1" t="s">
        <v>574</v>
      </c>
      <c r="G225" s="17">
        <v>65772</v>
      </c>
    </row>
    <row r="226" spans="1:7">
      <c r="A226" s="1" t="s">
        <v>575</v>
      </c>
      <c r="B226" s="1" t="s">
        <v>576</v>
      </c>
      <c r="C226">
        <f>(1-(B7/100))*714.26</f>
        <v>714.26</v>
      </c>
      <c r="D226" s="1">
        <v>0</v>
      </c>
      <c r="E226">
        <f>D226*C226</f>
        <v>0</v>
      </c>
      <c r="F226" s="1" t="s">
        <v>577</v>
      </c>
      <c r="G226" s="17">
        <v>65774</v>
      </c>
    </row>
    <row r="227" spans="1:7">
      <c r="A227" s="1" t="s">
        <v>578</v>
      </c>
      <c r="B227" s="1" t="s">
        <v>579</v>
      </c>
      <c r="C227">
        <f>(1-(B7/100))*394.61</f>
        <v>394.61</v>
      </c>
      <c r="D227" s="1">
        <v>0</v>
      </c>
      <c r="E227">
        <f>D227*C227</f>
        <v>0</v>
      </c>
      <c r="F227" s="1" t="s">
        <v>580</v>
      </c>
      <c r="G227" s="17">
        <v>65777</v>
      </c>
    </row>
    <row r="228" spans="1:7">
      <c r="A228" s="1" t="s">
        <v>581</v>
      </c>
      <c r="B228" s="1" t="s">
        <v>582</v>
      </c>
      <c r="C228">
        <f>(1-(B7/100))*453.69</f>
        <v>453.69</v>
      </c>
      <c r="D228" s="1">
        <v>0</v>
      </c>
      <c r="E228">
        <f>D228*C228</f>
        <v>0</v>
      </c>
      <c r="F228" s="1" t="s">
        <v>583</v>
      </c>
      <c r="G228" s="17">
        <v>65778</v>
      </c>
    </row>
    <row r="229" spans="1:7">
      <c r="A229" s="1" t="s">
        <v>584</v>
      </c>
      <c r="B229" s="1" t="s">
        <v>585</v>
      </c>
      <c r="C229">
        <f>(1-(B7/100))*389.1</f>
        <v>389.1</v>
      </c>
      <c r="D229" s="1">
        <v>0</v>
      </c>
      <c r="E229">
        <f>D229*C229</f>
        <v>0</v>
      </c>
      <c r="F229" s="1" t="s">
        <v>586</v>
      </c>
      <c r="G229" s="17">
        <v>65787</v>
      </c>
    </row>
    <row r="230" spans="1:7">
      <c r="A230" s="1" t="s">
        <v>587</v>
      </c>
      <c r="B230" s="1" t="s">
        <v>588</v>
      </c>
      <c r="C230">
        <f>(1-(B7/100))*462.18</f>
        <v>462.18</v>
      </c>
      <c r="D230" s="1">
        <v>0</v>
      </c>
      <c r="E230">
        <f>D230*C230</f>
        <v>0</v>
      </c>
      <c r="F230" s="1" t="s">
        <v>589</v>
      </c>
      <c r="G230" s="17">
        <v>65791</v>
      </c>
    </row>
    <row r="231" spans="1:7">
      <c r="A231" s="1" t="s">
        <v>590</v>
      </c>
      <c r="B231" s="1" t="s">
        <v>591</v>
      </c>
      <c r="C231">
        <f>(1-(B7/100))*44.14</f>
        <v>44.14</v>
      </c>
      <c r="D231" s="1">
        <v>0</v>
      </c>
      <c r="E231">
        <f>D231*C231</f>
        <v>0</v>
      </c>
      <c r="F231" s="1" t="s">
        <v>592</v>
      </c>
      <c r="G231" s="17">
        <v>65798</v>
      </c>
    </row>
    <row r="232" spans="1:7">
      <c r="A232" s="1" t="s">
        <v>593</v>
      </c>
      <c r="B232" s="1" t="s">
        <v>594</v>
      </c>
      <c r="C232">
        <f>(1-(B7/100))*31.23</f>
        <v>31.23</v>
      </c>
      <c r="D232" s="1">
        <v>0</v>
      </c>
      <c r="E232">
        <f>D232*C232</f>
        <v>0</v>
      </c>
      <c r="F232" s="1" t="s">
        <v>595</v>
      </c>
      <c r="G232" s="17">
        <v>65807</v>
      </c>
    </row>
    <row r="233" spans="1:7">
      <c r="A233" s="1" t="s">
        <v>596</v>
      </c>
      <c r="B233" s="1" t="s">
        <v>597</v>
      </c>
      <c r="C233">
        <f>(1-(B7/100))*96.17</f>
        <v>96.17</v>
      </c>
      <c r="D233" s="1">
        <v>0</v>
      </c>
      <c r="E233">
        <f>D233*C233</f>
        <v>0</v>
      </c>
      <c r="F233" s="1" t="s">
        <v>598</v>
      </c>
      <c r="G233" s="17">
        <v>65810</v>
      </c>
    </row>
    <row r="234" spans="1:7">
      <c r="A234" s="1" t="s">
        <v>599</v>
      </c>
      <c r="B234" s="1" t="s">
        <v>600</v>
      </c>
      <c r="C234">
        <f>(1-(B7/100))*25.19</f>
        <v>25.19</v>
      </c>
      <c r="D234" s="1">
        <v>0</v>
      </c>
      <c r="E234">
        <f>D234*C234</f>
        <v>0</v>
      </c>
      <c r="F234" s="1" t="s">
        <v>601</v>
      </c>
      <c r="G234" s="17">
        <v>65816</v>
      </c>
    </row>
    <row r="235" spans="1:7">
      <c r="A235" s="1" t="s">
        <v>602</v>
      </c>
      <c r="B235" s="1" t="s">
        <v>603</v>
      </c>
      <c r="C235">
        <f>(1-(B7/100))*195.65</f>
        <v>195.65</v>
      </c>
      <c r="D235" s="1">
        <v>0</v>
      </c>
      <c r="E235">
        <f>D235*C235</f>
        <v>0</v>
      </c>
      <c r="F235" s="1" t="s">
        <v>604</v>
      </c>
      <c r="G235" s="17">
        <v>67549</v>
      </c>
    </row>
    <row r="236" spans="1:7">
      <c r="A236" s="1" t="s">
        <v>605</v>
      </c>
      <c r="B236" s="1" t="s">
        <v>606</v>
      </c>
      <c r="C236">
        <f>(1-(B7/100))*1834.18</f>
        <v>1834.18</v>
      </c>
      <c r="D236" s="1">
        <v>0</v>
      </c>
      <c r="E236">
        <f>D236*C236</f>
        <v>0</v>
      </c>
      <c r="F236" s="1" t="s">
        <v>607</v>
      </c>
      <c r="G236" s="17">
        <v>70776</v>
      </c>
    </row>
    <row r="237" spans="1:7">
      <c r="A237" s="1" t="s">
        <v>608</v>
      </c>
      <c r="B237" s="1" t="s">
        <v>609</v>
      </c>
      <c r="C237">
        <f>(1-(B7/100))*28.91</f>
        <v>28.91</v>
      </c>
      <c r="D237" s="1">
        <v>0</v>
      </c>
      <c r="E237">
        <f>D237*C237</f>
        <v>0</v>
      </c>
      <c r="F237" s="1" t="s">
        <v>610</v>
      </c>
      <c r="G237" s="17">
        <v>71108</v>
      </c>
    </row>
    <row r="238" spans="1:7">
      <c r="A238" s="1" t="s">
        <v>611</v>
      </c>
      <c r="B238" s="1" t="s">
        <v>612</v>
      </c>
      <c r="C238">
        <f>(1-(B7/100))*505.78</f>
        <v>505.78</v>
      </c>
      <c r="D238" s="1">
        <v>0</v>
      </c>
      <c r="E238">
        <f>D238*C238</f>
        <v>0</v>
      </c>
      <c r="F238" s="1" t="s">
        <v>613</v>
      </c>
      <c r="G238" s="17">
        <v>71121</v>
      </c>
    </row>
    <row r="239" spans="1:7">
      <c r="A239" s="1" t="s">
        <v>614</v>
      </c>
      <c r="B239" s="1" t="s">
        <v>615</v>
      </c>
      <c r="C239">
        <f>(1-(B7/100))*260.69</f>
        <v>260.69</v>
      </c>
      <c r="D239" s="1">
        <v>0</v>
      </c>
      <c r="E239">
        <f>D239*C239</f>
        <v>0</v>
      </c>
      <c r="F239" s="1" t="s">
        <v>616</v>
      </c>
      <c r="G239" s="17">
        <v>71335</v>
      </c>
    </row>
    <row r="240" spans="1:7">
      <c r="A240" s="1" t="s">
        <v>617</v>
      </c>
      <c r="B240" s="1" t="s">
        <v>618</v>
      </c>
      <c r="C240">
        <f>(1-(B7/100))*490.64</f>
        <v>490.64</v>
      </c>
      <c r="D240" s="1">
        <v>0</v>
      </c>
      <c r="E240">
        <f>D240*C240</f>
        <v>0</v>
      </c>
      <c r="F240" s="1" t="s">
        <v>619</v>
      </c>
      <c r="G240" s="17">
        <v>71338</v>
      </c>
    </row>
    <row r="241" spans="1:7">
      <c r="A241" s="1" t="s">
        <v>620</v>
      </c>
      <c r="B241" s="1" t="s">
        <v>621</v>
      </c>
      <c r="C241">
        <f>(1-(B7/100))*434</f>
        <v>434</v>
      </c>
      <c r="D241" s="1">
        <v>0</v>
      </c>
      <c r="E241">
        <f>D241*C241</f>
        <v>0</v>
      </c>
      <c r="F241" s="1" t="s">
        <v>622</v>
      </c>
      <c r="G241" s="17">
        <v>71342</v>
      </c>
    </row>
    <row r="242" spans="1:7">
      <c r="A242" s="1" t="s">
        <v>623</v>
      </c>
      <c r="B242" s="1" t="s">
        <v>624</v>
      </c>
      <c r="C242">
        <f>(1-(B7/100))*362.87</f>
        <v>362.87</v>
      </c>
      <c r="D242" s="1">
        <v>0</v>
      </c>
      <c r="E242">
        <f>D242*C242</f>
        <v>0</v>
      </c>
      <c r="F242" s="1" t="s">
        <v>625</v>
      </c>
      <c r="G242" s="17">
        <v>71343</v>
      </c>
    </row>
    <row r="243" spans="1:7">
      <c r="A243" s="1" t="s">
        <v>626</v>
      </c>
      <c r="B243" s="1" t="s">
        <v>627</v>
      </c>
      <c r="C243">
        <f>(1-(B7/100))*27.64</f>
        <v>27.64</v>
      </c>
      <c r="D243" s="1">
        <v>0</v>
      </c>
      <c r="E243">
        <f>D243*C243</f>
        <v>0</v>
      </c>
      <c r="F243" s="1" t="s">
        <v>628</v>
      </c>
      <c r="G243" s="17">
        <v>71345</v>
      </c>
    </row>
    <row r="244" spans="1:7">
      <c r="A244" s="1" t="s">
        <v>629</v>
      </c>
      <c r="B244" s="1" t="s">
        <v>630</v>
      </c>
      <c r="C244">
        <f>(1-(B7/100))*239.26</f>
        <v>239.26</v>
      </c>
      <c r="D244" s="1">
        <v>0</v>
      </c>
      <c r="E244">
        <f>D244*C244</f>
        <v>0</v>
      </c>
      <c r="F244" s="1" t="s">
        <v>631</v>
      </c>
      <c r="G244" s="17">
        <v>71346</v>
      </c>
    </row>
    <row r="245" spans="1:7">
      <c r="A245" s="1" t="s">
        <v>632</v>
      </c>
      <c r="B245" s="1" t="s">
        <v>633</v>
      </c>
      <c r="C245">
        <f>(1-(B7/100))*88.36</f>
        <v>88.36</v>
      </c>
      <c r="D245" s="1">
        <v>0</v>
      </c>
      <c r="E245">
        <f>D245*C245</f>
        <v>0</v>
      </c>
      <c r="F245" s="1" t="s">
        <v>634</v>
      </c>
      <c r="G245" s="17">
        <v>71347</v>
      </c>
    </row>
    <row r="246" spans="1:7">
      <c r="A246" s="1" t="s">
        <v>635</v>
      </c>
      <c r="B246" s="1" t="s">
        <v>636</v>
      </c>
      <c r="C246">
        <f>(1-(B7/100))*44.2</f>
        <v>44.2</v>
      </c>
      <c r="D246" s="1">
        <v>0</v>
      </c>
      <c r="E246">
        <f>D246*C246</f>
        <v>0</v>
      </c>
      <c r="F246" s="1" t="s">
        <v>637</v>
      </c>
      <c r="G246" s="17">
        <v>71348</v>
      </c>
    </row>
    <row r="247" spans="1:7">
      <c r="A247" s="1" t="s">
        <v>638</v>
      </c>
      <c r="B247" s="1" t="s">
        <v>639</v>
      </c>
      <c r="C247">
        <f>(1-(B7/100))*33.96</f>
        <v>33.96</v>
      </c>
      <c r="D247" s="1">
        <v>0</v>
      </c>
      <c r="E247">
        <f>D247*C247</f>
        <v>0</v>
      </c>
      <c r="F247" s="1" t="s">
        <v>640</v>
      </c>
      <c r="G247" s="17">
        <v>71350</v>
      </c>
    </row>
    <row r="248" spans="1:7">
      <c r="A248" s="1" t="s">
        <v>641</v>
      </c>
      <c r="B248" s="1" t="s">
        <v>642</v>
      </c>
      <c r="C248">
        <f>(1-(B7/100))*312.28</f>
        <v>312.28</v>
      </c>
      <c r="D248" s="1">
        <v>0</v>
      </c>
      <c r="E248">
        <f>D248*C248</f>
        <v>0</v>
      </c>
      <c r="F248" s="1" t="s">
        <v>16</v>
      </c>
      <c r="G248" s="17">
        <v>71377</v>
      </c>
    </row>
    <row r="249" spans="1:7">
      <c r="A249" s="1" t="s">
        <v>643</v>
      </c>
      <c r="B249" s="1" t="s">
        <v>644</v>
      </c>
      <c r="C249">
        <f>(1-(B7/100))*443.08</f>
        <v>443.08</v>
      </c>
      <c r="D249" s="1">
        <v>0</v>
      </c>
      <c r="E249">
        <f>D249*C249</f>
        <v>0</v>
      </c>
      <c r="F249" s="1" t="s">
        <v>645</v>
      </c>
      <c r="G249" s="17">
        <v>71577</v>
      </c>
    </row>
    <row r="250" spans="1:7">
      <c r="A250" s="1" t="s">
        <v>646</v>
      </c>
      <c r="B250" s="1" t="s">
        <v>647</v>
      </c>
      <c r="C250">
        <f>(1-(B7/100))*927.72</f>
        <v>927.72</v>
      </c>
      <c r="D250" s="1">
        <v>0</v>
      </c>
      <c r="E250">
        <f>D250*C250</f>
        <v>0</v>
      </c>
      <c r="F250" s="1" t="s">
        <v>648</v>
      </c>
      <c r="G250" s="17">
        <v>71578</v>
      </c>
    </row>
    <row r="251" spans="1:7">
      <c r="A251" s="1" t="s">
        <v>649</v>
      </c>
      <c r="B251" s="1" t="s">
        <v>650</v>
      </c>
      <c r="C251">
        <f>(1-(B7/100))*938.66</f>
        <v>938.66</v>
      </c>
      <c r="D251" s="1">
        <v>0</v>
      </c>
      <c r="E251">
        <f>D251*C251</f>
        <v>0</v>
      </c>
      <c r="F251" s="1" t="s">
        <v>651</v>
      </c>
      <c r="G251" s="17">
        <v>71579</v>
      </c>
    </row>
    <row r="252" spans="1:7">
      <c r="A252" s="1" t="s">
        <v>652</v>
      </c>
      <c r="B252" s="1" t="s">
        <v>653</v>
      </c>
      <c r="C252">
        <f>(1-(B7/100))*829.5</f>
        <v>829.5</v>
      </c>
      <c r="D252" s="1">
        <v>0</v>
      </c>
      <c r="E252">
        <f>D252*C252</f>
        <v>0</v>
      </c>
      <c r="F252" s="1" t="s">
        <v>16</v>
      </c>
      <c r="G252" s="17">
        <v>71585</v>
      </c>
    </row>
    <row r="253" spans="1:7">
      <c r="A253" s="1" t="s">
        <v>654</v>
      </c>
      <c r="B253" s="1" t="s">
        <v>655</v>
      </c>
      <c r="C253">
        <f>(1-(B7/100))*165.4</f>
        <v>165.4</v>
      </c>
      <c r="D253" s="1">
        <v>0</v>
      </c>
      <c r="E253">
        <f>D253*C253</f>
        <v>0</v>
      </c>
      <c r="F253" s="1" t="s">
        <v>656</v>
      </c>
      <c r="G253" s="17">
        <v>71935</v>
      </c>
    </row>
    <row r="254" spans="1:7">
      <c r="A254" s="1" t="s">
        <v>657</v>
      </c>
      <c r="B254" s="1" t="s">
        <v>658</v>
      </c>
      <c r="C254">
        <f>(1-(B7/100))*250</f>
        <v>250</v>
      </c>
      <c r="D254" s="1">
        <v>0</v>
      </c>
      <c r="E254">
        <f>D254*C254</f>
        <v>0</v>
      </c>
      <c r="F254" s="1" t="s">
        <v>16</v>
      </c>
      <c r="G254" s="17">
        <v>72159</v>
      </c>
    </row>
    <row r="255" spans="1:7">
      <c r="A255" s="1" t="s">
        <v>659</v>
      </c>
      <c r="B255" s="1" t="s">
        <v>660</v>
      </c>
      <c r="C255">
        <f>(1-(B7/100))*59.86</f>
        <v>59.86</v>
      </c>
      <c r="D255" s="1">
        <v>0</v>
      </c>
      <c r="E255">
        <f>D255*C255</f>
        <v>0</v>
      </c>
      <c r="F255" s="1" t="s">
        <v>661</v>
      </c>
      <c r="G255" s="17">
        <v>72736</v>
      </c>
    </row>
    <row r="256" spans="1:7">
      <c r="A256" s="1" t="s">
        <v>662</v>
      </c>
      <c r="B256" s="1" t="s">
        <v>663</v>
      </c>
      <c r="C256">
        <f>(1-(B7/100))*1341.96</f>
        <v>1341.96</v>
      </c>
      <c r="D256" s="1">
        <v>0</v>
      </c>
      <c r="E256">
        <f>D256*C256</f>
        <v>0</v>
      </c>
      <c r="F256" s="1" t="s">
        <v>664</v>
      </c>
      <c r="G256" s="17">
        <v>72740</v>
      </c>
    </row>
    <row r="257" spans="1:7">
      <c r="A257" s="1" t="s">
        <v>665</v>
      </c>
      <c r="B257" s="1" t="s">
        <v>666</v>
      </c>
      <c r="C257">
        <f>(1-(B7/100))*1894.53</f>
        <v>1894.53</v>
      </c>
      <c r="D257" s="1">
        <v>0</v>
      </c>
      <c r="E257">
        <f>D257*C257</f>
        <v>0</v>
      </c>
      <c r="F257" s="1" t="s">
        <v>667</v>
      </c>
      <c r="G257" s="17">
        <v>72741</v>
      </c>
    </row>
    <row r="258" spans="1:7">
      <c r="A258" s="1" t="s">
        <v>668</v>
      </c>
      <c r="B258" s="1" t="s">
        <v>669</v>
      </c>
      <c r="C258">
        <f>(1-(B7/100))*2332.05</f>
        <v>2332.05</v>
      </c>
      <c r="D258" s="1">
        <v>0</v>
      </c>
      <c r="E258">
        <f>D258*C258</f>
        <v>0</v>
      </c>
      <c r="F258" s="1" t="s">
        <v>670</v>
      </c>
      <c r="G258" s="17">
        <v>72742</v>
      </c>
    </row>
    <row r="259" spans="1:7">
      <c r="A259" s="1" t="s">
        <v>671</v>
      </c>
      <c r="B259" s="1" t="s">
        <v>672</v>
      </c>
      <c r="C259">
        <f>(1-(B7/100))*240.26</f>
        <v>240.26</v>
      </c>
      <c r="D259" s="1">
        <v>0</v>
      </c>
      <c r="E259">
        <f>D259*C259</f>
        <v>0</v>
      </c>
      <c r="F259" s="1" t="s">
        <v>673</v>
      </c>
      <c r="G259" s="17">
        <v>72850</v>
      </c>
    </row>
    <row r="260" spans="1:7">
      <c r="A260" s="1" t="s">
        <v>674</v>
      </c>
      <c r="B260" s="1" t="s">
        <v>675</v>
      </c>
      <c r="C260">
        <f>(1-(B7/100))*556.64</f>
        <v>556.64</v>
      </c>
      <c r="D260" s="1">
        <v>0</v>
      </c>
      <c r="E260">
        <f>D260*C260</f>
        <v>0</v>
      </c>
      <c r="F260" s="1" t="s">
        <v>676</v>
      </c>
      <c r="G260" s="17">
        <v>72896</v>
      </c>
    </row>
    <row r="261" spans="1:7">
      <c r="A261" s="1" t="s">
        <v>677</v>
      </c>
      <c r="B261" s="1" t="s">
        <v>678</v>
      </c>
      <c r="C261">
        <f>(1-(B7/100))*74.46</f>
        <v>74.46</v>
      </c>
      <c r="D261" s="1">
        <v>0</v>
      </c>
      <c r="E261">
        <f>D261*C261</f>
        <v>0</v>
      </c>
      <c r="F261" s="1" t="s">
        <v>679</v>
      </c>
      <c r="G261" s="17">
        <v>72919</v>
      </c>
    </row>
    <row r="262" spans="1:7">
      <c r="A262" s="1" t="s">
        <v>680</v>
      </c>
      <c r="B262" s="1" t="s">
        <v>681</v>
      </c>
      <c r="C262">
        <f>(1-(B7/100))*428.47</f>
        <v>428.47</v>
      </c>
      <c r="D262" s="1">
        <v>0</v>
      </c>
      <c r="E262">
        <f>D262*C262</f>
        <v>0</v>
      </c>
      <c r="F262" s="1" t="s">
        <v>682</v>
      </c>
      <c r="G262" s="17">
        <v>72970</v>
      </c>
    </row>
    <row r="263" spans="1:7">
      <c r="A263" s="1" t="s">
        <v>683</v>
      </c>
      <c r="B263" s="1" t="s">
        <v>684</v>
      </c>
      <c r="C263">
        <f>(1-(B7/100))*428.47</f>
        <v>428.47</v>
      </c>
      <c r="D263" s="1">
        <v>0</v>
      </c>
      <c r="E263">
        <f>D263*C263</f>
        <v>0</v>
      </c>
      <c r="F263" s="1" t="s">
        <v>685</v>
      </c>
      <c r="G263" s="17">
        <v>72971</v>
      </c>
    </row>
    <row r="264" spans="1:7">
      <c r="A264" s="1" t="s">
        <v>686</v>
      </c>
      <c r="B264" s="1" t="s">
        <v>687</v>
      </c>
      <c r="C264">
        <f>(1-(B7/100))*226.5</f>
        <v>226.5</v>
      </c>
      <c r="D264" s="1">
        <v>0</v>
      </c>
      <c r="E264">
        <f>D264*C264</f>
        <v>0</v>
      </c>
      <c r="F264" s="1" t="s">
        <v>688</v>
      </c>
      <c r="G264" s="17">
        <v>73343</v>
      </c>
    </row>
    <row r="265" spans="1:7">
      <c r="A265" s="1" t="s">
        <v>689</v>
      </c>
      <c r="B265" s="1" t="s">
        <v>690</v>
      </c>
      <c r="C265">
        <f>(1-(B7/100))*270.61</f>
        <v>270.61</v>
      </c>
      <c r="D265" s="1">
        <v>0</v>
      </c>
      <c r="E265">
        <f>D265*C265</f>
        <v>0</v>
      </c>
      <c r="F265" s="1" t="s">
        <v>691</v>
      </c>
      <c r="G265" s="17">
        <v>73344</v>
      </c>
    </row>
    <row r="266" spans="1:7">
      <c r="A266" s="1" t="s">
        <v>692</v>
      </c>
      <c r="B266" s="1" t="s">
        <v>693</v>
      </c>
      <c r="C266">
        <f>(1-(B7/100))*127.87</f>
        <v>127.87</v>
      </c>
      <c r="D266" s="1">
        <v>0</v>
      </c>
      <c r="E266">
        <f>D266*C266</f>
        <v>0</v>
      </c>
      <c r="F266" s="1" t="s">
        <v>694</v>
      </c>
      <c r="G266" s="17">
        <v>73382</v>
      </c>
    </row>
    <row r="267" spans="1:7">
      <c r="A267" s="1" t="s">
        <v>695</v>
      </c>
      <c r="B267" s="1" t="s">
        <v>696</v>
      </c>
      <c r="C267">
        <f>(1-(B7/100))*46.85</f>
        <v>46.85</v>
      </c>
      <c r="D267" s="1">
        <v>0</v>
      </c>
      <c r="E267">
        <f>D267*C267</f>
        <v>0</v>
      </c>
      <c r="F267" s="1" t="s">
        <v>697</v>
      </c>
      <c r="G267" s="17">
        <v>73397</v>
      </c>
    </row>
    <row r="268" spans="1:7">
      <c r="A268" s="1" t="s">
        <v>698</v>
      </c>
      <c r="B268" s="1" t="s">
        <v>699</v>
      </c>
      <c r="C268">
        <f>(1-(B7/100))*18.9</f>
        <v>18.9</v>
      </c>
      <c r="D268" s="1">
        <v>0</v>
      </c>
      <c r="E268">
        <f>D268*C268</f>
        <v>0</v>
      </c>
      <c r="F268" s="1" t="s">
        <v>700</v>
      </c>
      <c r="G268" s="17">
        <v>73398</v>
      </c>
    </row>
    <row r="269" spans="1:7">
      <c r="A269" s="1" t="s">
        <v>701</v>
      </c>
      <c r="B269" s="1" t="s">
        <v>702</v>
      </c>
      <c r="C269">
        <f>(1-(B7/100))*43.99</f>
        <v>43.99</v>
      </c>
      <c r="D269" s="1">
        <v>0</v>
      </c>
      <c r="E269">
        <f>D269*C269</f>
        <v>0</v>
      </c>
      <c r="F269" s="1" t="s">
        <v>703</v>
      </c>
      <c r="G269" s="17">
        <v>74058</v>
      </c>
    </row>
    <row r="270" spans="1:7">
      <c r="A270" s="1" t="s">
        <v>704</v>
      </c>
      <c r="B270" s="1" t="s">
        <v>705</v>
      </c>
      <c r="C270">
        <f>(1-(B7/100))*1526.05</f>
        <v>1526.05</v>
      </c>
      <c r="D270" s="1">
        <v>0</v>
      </c>
      <c r="E270">
        <f>D270*C270</f>
        <v>0</v>
      </c>
      <c r="F270" s="1" t="s">
        <v>706</v>
      </c>
      <c r="G270" s="17">
        <v>74065</v>
      </c>
    </row>
    <row r="271" spans="1:7">
      <c r="A271" s="1" t="s">
        <v>707</v>
      </c>
      <c r="B271" s="1" t="s">
        <v>708</v>
      </c>
      <c r="C271">
        <f>(1-(B7/100))*40.85</f>
        <v>40.85</v>
      </c>
      <c r="D271" s="1">
        <v>0</v>
      </c>
      <c r="E271">
        <f>D271*C271</f>
        <v>0</v>
      </c>
      <c r="F271" s="1" t="s">
        <v>709</v>
      </c>
      <c r="G271" s="17">
        <v>74208</v>
      </c>
    </row>
    <row r="272" spans="1:7">
      <c r="A272" s="1" t="s">
        <v>710</v>
      </c>
      <c r="B272" s="1" t="s">
        <v>711</v>
      </c>
      <c r="C272">
        <f>(1-(B7/100))*60.45</f>
        <v>60.45</v>
      </c>
      <c r="D272" s="1">
        <v>0</v>
      </c>
      <c r="E272">
        <f>D272*C272</f>
        <v>0</v>
      </c>
      <c r="F272" s="1" t="s">
        <v>712</v>
      </c>
      <c r="G272" s="17">
        <v>74296</v>
      </c>
    </row>
    <row r="273" spans="1:7">
      <c r="A273" s="1" t="s">
        <v>713</v>
      </c>
      <c r="B273" s="1" t="s">
        <v>714</v>
      </c>
      <c r="C273">
        <f>(1-(B7/100))*87.83</f>
        <v>87.83</v>
      </c>
      <c r="D273" s="1">
        <v>0</v>
      </c>
      <c r="E273">
        <f>D273*C273</f>
        <v>0</v>
      </c>
      <c r="F273" s="1" t="s">
        <v>715</v>
      </c>
      <c r="G273" s="17">
        <v>77185</v>
      </c>
    </row>
    <row r="274" spans="1:7">
      <c r="A274" s="1" t="s">
        <v>716</v>
      </c>
      <c r="B274" s="1" t="s">
        <v>717</v>
      </c>
      <c r="C274">
        <f>(1-(B7/100))*173.85</f>
        <v>173.85</v>
      </c>
      <c r="D274" s="1">
        <v>0</v>
      </c>
      <c r="E274">
        <f>D274*C274</f>
        <v>0</v>
      </c>
      <c r="F274" s="1" t="s">
        <v>718</v>
      </c>
      <c r="G274" s="17">
        <v>77186</v>
      </c>
    </row>
    <row r="275" spans="1:7">
      <c r="A275" s="1" t="s">
        <v>719</v>
      </c>
      <c r="B275" s="1" t="s">
        <v>720</v>
      </c>
      <c r="C275">
        <f>(1-(B7/100))*104.09</f>
        <v>104.09</v>
      </c>
      <c r="D275" s="1">
        <v>0</v>
      </c>
      <c r="E275">
        <f>D275*C275</f>
        <v>0</v>
      </c>
      <c r="F275" s="1" t="s">
        <v>721</v>
      </c>
      <c r="G275" s="17">
        <v>77187</v>
      </c>
    </row>
    <row r="276" spans="1:7">
      <c r="A276" s="1" t="s">
        <v>722</v>
      </c>
      <c r="B276" s="1" t="s">
        <v>723</v>
      </c>
      <c r="C276">
        <f>(1-(B7/100))*42.78</f>
        <v>42.78</v>
      </c>
      <c r="D276" s="1">
        <v>0</v>
      </c>
      <c r="E276">
        <f>D276*C276</f>
        <v>0</v>
      </c>
      <c r="F276" s="1" t="s">
        <v>724</v>
      </c>
      <c r="G276" s="17">
        <v>77188</v>
      </c>
    </row>
    <row r="277" spans="1:7">
      <c r="A277" s="1" t="s">
        <v>725</v>
      </c>
      <c r="B277" s="1" t="s">
        <v>726</v>
      </c>
      <c r="C277">
        <f>(1-(B7/100))*41.88</f>
        <v>41.88</v>
      </c>
      <c r="D277" s="1">
        <v>0</v>
      </c>
      <c r="E277">
        <f>D277*C277</f>
        <v>0</v>
      </c>
      <c r="F277" s="1" t="s">
        <v>727</v>
      </c>
      <c r="G277" s="17">
        <v>77189</v>
      </c>
    </row>
    <row r="278" spans="1:7">
      <c r="A278" s="1" t="s">
        <v>728</v>
      </c>
      <c r="B278" s="1" t="s">
        <v>726</v>
      </c>
      <c r="C278">
        <f>(1-(B7/100))*40.35</f>
        <v>40.35</v>
      </c>
      <c r="D278" s="1">
        <v>0</v>
      </c>
      <c r="E278">
        <f>D278*C278</f>
        <v>0</v>
      </c>
      <c r="F278" s="1" t="s">
        <v>729</v>
      </c>
      <c r="G278" s="17">
        <v>77190</v>
      </c>
    </row>
    <row r="279" spans="1:7">
      <c r="A279" s="1" t="s">
        <v>730</v>
      </c>
      <c r="B279" s="1" t="s">
        <v>731</v>
      </c>
      <c r="C279">
        <f>(1-(B7/100))*75.34</f>
        <v>75.34</v>
      </c>
      <c r="D279" s="1">
        <v>0</v>
      </c>
      <c r="E279">
        <f>D279*C279</f>
        <v>0</v>
      </c>
      <c r="F279" s="1" t="s">
        <v>732</v>
      </c>
      <c r="G279" s="17">
        <v>77192</v>
      </c>
    </row>
    <row r="280" spans="1:7">
      <c r="A280" s="1" t="s">
        <v>733</v>
      </c>
      <c r="B280" s="1" t="s">
        <v>734</v>
      </c>
      <c r="C280">
        <f>(1-(B7/100))*132.4</f>
        <v>132.4</v>
      </c>
      <c r="D280" s="1">
        <v>0</v>
      </c>
      <c r="E280">
        <f>D280*C280</f>
        <v>0</v>
      </c>
      <c r="F280" s="1" t="s">
        <v>735</v>
      </c>
      <c r="G280" s="17">
        <v>77193</v>
      </c>
    </row>
    <row r="281" spans="1:7">
      <c r="A281" s="1" t="s">
        <v>736</v>
      </c>
      <c r="B281" s="1" t="s">
        <v>737</v>
      </c>
      <c r="C281">
        <f>(1-(B7/100))*138.24</f>
        <v>138.24</v>
      </c>
      <c r="D281" s="1">
        <v>0</v>
      </c>
      <c r="E281">
        <f>D281*C281</f>
        <v>0</v>
      </c>
      <c r="F281" s="1" t="s">
        <v>738</v>
      </c>
      <c r="G281" s="17">
        <v>77194</v>
      </c>
    </row>
    <row r="282" spans="1:7">
      <c r="A282" s="1" t="s">
        <v>739</v>
      </c>
      <c r="B282" s="1" t="s">
        <v>740</v>
      </c>
      <c r="C282">
        <f>(1-(B7/100))*188.76</f>
        <v>188.76</v>
      </c>
      <c r="D282" s="1">
        <v>0</v>
      </c>
      <c r="E282">
        <f>D282*C282</f>
        <v>0</v>
      </c>
      <c r="F282" s="1" t="s">
        <v>741</v>
      </c>
      <c r="G282" s="17">
        <v>77195</v>
      </c>
    </row>
    <row r="283" spans="1:7">
      <c r="A283" s="1" t="s">
        <v>742</v>
      </c>
      <c r="B283" s="1" t="s">
        <v>743</v>
      </c>
      <c r="C283">
        <f>(1-(B7/100))*140.34</f>
        <v>140.34</v>
      </c>
      <c r="D283" s="1">
        <v>0</v>
      </c>
      <c r="E283">
        <f>D283*C283</f>
        <v>0</v>
      </c>
      <c r="F283" s="1" t="s">
        <v>744</v>
      </c>
      <c r="G283" s="17">
        <v>77197</v>
      </c>
    </row>
    <row r="284" spans="1:7">
      <c r="A284" s="1" t="s">
        <v>745</v>
      </c>
      <c r="B284" s="1" t="s">
        <v>746</v>
      </c>
      <c r="C284">
        <f>(1-(B7/100))*132.4</f>
        <v>132.4</v>
      </c>
      <c r="D284" s="1">
        <v>0</v>
      </c>
      <c r="E284">
        <f>D284*C284</f>
        <v>0</v>
      </c>
      <c r="F284" s="1" t="s">
        <v>747</v>
      </c>
      <c r="G284" s="17">
        <v>77198</v>
      </c>
    </row>
    <row r="285" spans="1:7">
      <c r="A285" s="1" t="s">
        <v>748</v>
      </c>
      <c r="B285" s="1" t="s">
        <v>749</v>
      </c>
      <c r="C285">
        <f>(1-(B7/100))*125.65</f>
        <v>125.65</v>
      </c>
      <c r="D285" s="1">
        <v>0</v>
      </c>
      <c r="E285">
        <f>D285*C285</f>
        <v>0</v>
      </c>
      <c r="F285" s="1" t="s">
        <v>750</v>
      </c>
      <c r="G285" s="17">
        <v>77200</v>
      </c>
    </row>
    <row r="286" spans="1:7">
      <c r="A286" s="1" t="s">
        <v>751</v>
      </c>
      <c r="B286" s="1" t="s">
        <v>752</v>
      </c>
      <c r="C286">
        <f>(1-(B7/100))*138.24</f>
        <v>138.24</v>
      </c>
      <c r="D286" s="1">
        <v>0</v>
      </c>
      <c r="E286">
        <f>D286*C286</f>
        <v>0</v>
      </c>
      <c r="F286" s="1" t="s">
        <v>753</v>
      </c>
      <c r="G286" s="17">
        <v>77201</v>
      </c>
    </row>
    <row r="287" spans="1:7">
      <c r="A287" s="1" t="s">
        <v>754</v>
      </c>
      <c r="B287" s="1" t="s">
        <v>755</v>
      </c>
      <c r="C287">
        <f>(1-(B7/100))*145.21</f>
        <v>145.21</v>
      </c>
      <c r="D287" s="1">
        <v>0</v>
      </c>
      <c r="E287">
        <f>D287*C287</f>
        <v>0</v>
      </c>
      <c r="F287" s="1" t="s">
        <v>756</v>
      </c>
      <c r="G287" s="17">
        <v>77202</v>
      </c>
    </row>
    <row r="288" spans="1:7">
      <c r="A288" s="1" t="s">
        <v>757</v>
      </c>
      <c r="B288" s="1" t="s">
        <v>758</v>
      </c>
      <c r="C288">
        <f>(1-(B7/100))*145.21</f>
        <v>145.21</v>
      </c>
      <c r="D288" s="1">
        <v>0</v>
      </c>
      <c r="E288">
        <f>D288*C288</f>
        <v>0</v>
      </c>
      <c r="F288" s="1" t="s">
        <v>759</v>
      </c>
      <c r="G288" s="17">
        <v>77203</v>
      </c>
    </row>
    <row r="289" spans="1:7">
      <c r="A289" s="1" t="s">
        <v>760</v>
      </c>
      <c r="B289" s="1" t="s">
        <v>761</v>
      </c>
      <c r="C289">
        <f>(1-(B7/100))*249.54</f>
        <v>249.54</v>
      </c>
      <c r="D289" s="1">
        <v>0</v>
      </c>
      <c r="E289">
        <f>D289*C289</f>
        <v>0</v>
      </c>
      <c r="F289" s="1" t="s">
        <v>762</v>
      </c>
      <c r="G289" s="17">
        <v>77204</v>
      </c>
    </row>
    <row r="290" spans="1:7">
      <c r="A290" s="1" t="s">
        <v>763</v>
      </c>
      <c r="B290" s="1" t="s">
        <v>764</v>
      </c>
      <c r="C290">
        <f>(1-(B7/100))*161.09</f>
        <v>161.09</v>
      </c>
      <c r="D290" s="1">
        <v>0</v>
      </c>
      <c r="E290">
        <f>D290*C290</f>
        <v>0</v>
      </c>
      <c r="F290" s="1" t="s">
        <v>765</v>
      </c>
      <c r="G290" s="17">
        <v>77205</v>
      </c>
    </row>
    <row r="291" spans="1:7">
      <c r="A291" s="1" t="s">
        <v>766</v>
      </c>
      <c r="B291" s="1" t="s">
        <v>767</v>
      </c>
      <c r="C291">
        <f>(1-(B7/100))*43.81</f>
        <v>43.81</v>
      </c>
      <c r="D291" s="1">
        <v>0</v>
      </c>
      <c r="E291">
        <f>D291*C291</f>
        <v>0</v>
      </c>
      <c r="F291" s="1" t="s">
        <v>768</v>
      </c>
      <c r="G291" s="17">
        <v>77207</v>
      </c>
    </row>
    <row r="292" spans="1:7">
      <c r="A292" s="1" t="s">
        <v>769</v>
      </c>
      <c r="B292" s="1" t="s">
        <v>770</v>
      </c>
      <c r="C292">
        <f>(1-(B7/100))*53.68</f>
        <v>53.68</v>
      </c>
      <c r="D292" s="1">
        <v>0</v>
      </c>
      <c r="E292">
        <f>D292*C292</f>
        <v>0</v>
      </c>
      <c r="F292" s="1" t="s">
        <v>771</v>
      </c>
      <c r="G292" s="17">
        <v>77209</v>
      </c>
    </row>
    <row r="293" spans="1:7">
      <c r="A293" s="1" t="s">
        <v>772</v>
      </c>
      <c r="B293" s="1" t="s">
        <v>773</v>
      </c>
      <c r="C293">
        <f>(1-(B7/100))*64.09</f>
        <v>64.09</v>
      </c>
      <c r="D293" s="1">
        <v>0</v>
      </c>
      <c r="E293">
        <f>D293*C293</f>
        <v>0</v>
      </c>
      <c r="F293" s="1" t="s">
        <v>774</v>
      </c>
      <c r="G293" s="17">
        <v>77213</v>
      </c>
    </row>
    <row r="294" spans="1:7">
      <c r="A294" s="1" t="s">
        <v>775</v>
      </c>
      <c r="B294" s="1" t="s">
        <v>776</v>
      </c>
      <c r="C294">
        <f>(1-(B7/100))*203.3</f>
        <v>203.3</v>
      </c>
      <c r="D294" s="1">
        <v>0</v>
      </c>
      <c r="E294">
        <f>D294*C294</f>
        <v>0</v>
      </c>
      <c r="F294" s="1" t="s">
        <v>777</v>
      </c>
      <c r="G294" s="17">
        <v>77215</v>
      </c>
    </row>
    <row r="295" spans="1:7">
      <c r="A295" s="1" t="s">
        <v>778</v>
      </c>
      <c r="B295" s="1" t="s">
        <v>779</v>
      </c>
      <c r="C295">
        <f>(1-(B7/100))*167.47</f>
        <v>167.47</v>
      </c>
      <c r="D295" s="1">
        <v>0</v>
      </c>
      <c r="E295">
        <f>D295*C295</f>
        <v>0</v>
      </c>
      <c r="F295" s="1" t="s">
        <v>780</v>
      </c>
      <c r="G295" s="17">
        <v>77218</v>
      </c>
    </row>
    <row r="296" spans="1:7">
      <c r="A296" s="1" t="s">
        <v>781</v>
      </c>
      <c r="B296" s="1" t="s">
        <v>782</v>
      </c>
      <c r="C296">
        <f>(1-(B7/100))*59.7</f>
        <v>59.7</v>
      </c>
      <c r="D296" s="1">
        <v>0</v>
      </c>
      <c r="E296">
        <f>D296*C296</f>
        <v>0</v>
      </c>
      <c r="F296" s="1" t="s">
        <v>783</v>
      </c>
      <c r="G296" s="17">
        <v>77221</v>
      </c>
    </row>
    <row r="297" spans="1:7">
      <c r="A297" s="1" t="s">
        <v>784</v>
      </c>
      <c r="B297" s="1" t="s">
        <v>785</v>
      </c>
      <c r="C297">
        <f>(1-(B7/100))*84.7</f>
        <v>84.7</v>
      </c>
      <c r="D297" s="1">
        <v>0</v>
      </c>
      <c r="E297">
        <f>D297*C297</f>
        <v>0</v>
      </c>
      <c r="F297" s="1" t="s">
        <v>786</v>
      </c>
      <c r="G297" s="17">
        <v>77224</v>
      </c>
    </row>
    <row r="298" spans="1:7">
      <c r="A298" s="1" t="s">
        <v>787</v>
      </c>
      <c r="B298" s="1" t="s">
        <v>788</v>
      </c>
      <c r="C298">
        <f>(1-(B7/100))*447.55</f>
        <v>447.55</v>
      </c>
      <c r="D298" s="1">
        <v>0</v>
      </c>
      <c r="E298">
        <f>D298*C298</f>
        <v>0</v>
      </c>
      <c r="F298" s="1" t="s">
        <v>789</v>
      </c>
      <c r="G298" s="17">
        <v>77225</v>
      </c>
    </row>
    <row r="299" spans="1:7">
      <c r="A299" s="1" t="s">
        <v>790</v>
      </c>
      <c r="B299" s="1" t="s">
        <v>791</v>
      </c>
      <c r="C299">
        <f>(1-(B7/100))*345.89</f>
        <v>345.89</v>
      </c>
      <c r="D299" s="1">
        <v>0</v>
      </c>
      <c r="E299">
        <f>D299*C299</f>
        <v>0</v>
      </c>
      <c r="F299" s="1" t="s">
        <v>792</v>
      </c>
      <c r="G299" s="17">
        <v>77226</v>
      </c>
    </row>
    <row r="300" spans="1:7">
      <c r="A300" s="1" t="s">
        <v>793</v>
      </c>
      <c r="B300" s="1" t="s">
        <v>794</v>
      </c>
      <c r="C300">
        <f>(1-(B7/100))*37.32</f>
        <v>37.32</v>
      </c>
      <c r="D300" s="1">
        <v>0</v>
      </c>
      <c r="E300">
        <f>D300*C300</f>
        <v>0</v>
      </c>
      <c r="F300" s="1" t="s">
        <v>795</v>
      </c>
      <c r="G300" s="17">
        <v>77227</v>
      </c>
    </row>
    <row r="301" spans="1:7">
      <c r="A301" s="1" t="s">
        <v>796</v>
      </c>
      <c r="B301" s="1" t="s">
        <v>797</v>
      </c>
      <c r="C301">
        <f>(1-(B7/100))*86.36</f>
        <v>86.36</v>
      </c>
      <c r="D301" s="1">
        <v>0</v>
      </c>
      <c r="E301">
        <f>D301*C301</f>
        <v>0</v>
      </c>
      <c r="F301" s="1" t="s">
        <v>798</v>
      </c>
      <c r="G301" s="17">
        <v>77229</v>
      </c>
    </row>
    <row r="302" spans="1:7">
      <c r="A302" s="1" t="s">
        <v>799</v>
      </c>
      <c r="B302" s="1" t="s">
        <v>800</v>
      </c>
      <c r="C302">
        <f>(1-(B7/100))*292.05</f>
        <v>292.05</v>
      </c>
      <c r="D302" s="1">
        <v>0</v>
      </c>
      <c r="E302">
        <f>D302*C302</f>
        <v>0</v>
      </c>
      <c r="F302" s="1" t="s">
        <v>801</v>
      </c>
      <c r="G302" s="17">
        <v>77232</v>
      </c>
    </row>
    <row r="303" spans="1:7">
      <c r="A303" s="1" t="s">
        <v>802</v>
      </c>
      <c r="B303" s="1" t="s">
        <v>803</v>
      </c>
      <c r="C303">
        <f>(1-(B7/100))*127.72</f>
        <v>127.72</v>
      </c>
      <c r="D303" s="1">
        <v>0</v>
      </c>
      <c r="E303">
        <f>D303*C303</f>
        <v>0</v>
      </c>
      <c r="F303" s="1" t="s">
        <v>804</v>
      </c>
      <c r="G303" s="17">
        <v>77236</v>
      </c>
    </row>
    <row r="304" spans="1:7">
      <c r="A304" s="1" t="s">
        <v>805</v>
      </c>
      <c r="B304" s="1" t="s">
        <v>806</v>
      </c>
      <c r="C304">
        <f>(1-(B7/100))*253.63</f>
        <v>253.63</v>
      </c>
      <c r="D304" s="1">
        <v>0</v>
      </c>
      <c r="E304">
        <f>D304*C304</f>
        <v>0</v>
      </c>
      <c r="F304" s="1" t="s">
        <v>807</v>
      </c>
      <c r="G304" s="17">
        <v>77237</v>
      </c>
    </row>
    <row r="305" spans="1:7">
      <c r="A305" s="1" t="s">
        <v>808</v>
      </c>
      <c r="B305" s="1" t="s">
        <v>809</v>
      </c>
      <c r="C305">
        <f>(1-(B7/100))*140.34</f>
        <v>140.34</v>
      </c>
      <c r="D305" s="1">
        <v>0</v>
      </c>
      <c r="E305">
        <f>D305*C305</f>
        <v>0</v>
      </c>
      <c r="F305" s="1" t="s">
        <v>810</v>
      </c>
      <c r="G305" s="17">
        <v>77238</v>
      </c>
    </row>
    <row r="306" spans="1:7">
      <c r="A306" s="1" t="s">
        <v>811</v>
      </c>
      <c r="B306" s="1" t="s">
        <v>812</v>
      </c>
      <c r="C306">
        <f>(1-(B7/100))*127.72</f>
        <v>127.72</v>
      </c>
      <c r="D306" s="1">
        <v>0</v>
      </c>
      <c r="E306">
        <f>D306*C306</f>
        <v>0</v>
      </c>
      <c r="F306" s="1" t="s">
        <v>813</v>
      </c>
      <c r="G306" s="17">
        <v>77240</v>
      </c>
    </row>
    <row r="307" spans="1:7">
      <c r="A307" s="1" t="s">
        <v>814</v>
      </c>
      <c r="B307" s="1" t="s">
        <v>815</v>
      </c>
      <c r="C307">
        <f>(1-(B7/100))*43.81</f>
        <v>43.81</v>
      </c>
      <c r="D307" s="1">
        <v>0</v>
      </c>
      <c r="E307">
        <f>D307*C307</f>
        <v>0</v>
      </c>
      <c r="F307" s="1" t="s">
        <v>816</v>
      </c>
      <c r="G307" s="17">
        <v>77241</v>
      </c>
    </row>
    <row r="308" spans="1:7">
      <c r="A308" s="1" t="s">
        <v>817</v>
      </c>
      <c r="B308" s="1" t="s">
        <v>818</v>
      </c>
      <c r="C308">
        <f>(1-(B7/100))*43.81</f>
        <v>43.81</v>
      </c>
      <c r="D308" s="1">
        <v>0</v>
      </c>
      <c r="E308">
        <f>D308*C308</f>
        <v>0</v>
      </c>
      <c r="F308" s="1" t="s">
        <v>819</v>
      </c>
      <c r="G308" s="17">
        <v>77242</v>
      </c>
    </row>
    <row r="309" spans="1:7">
      <c r="A309" s="1" t="s">
        <v>820</v>
      </c>
      <c r="B309" s="1" t="s">
        <v>821</v>
      </c>
      <c r="C309">
        <f>(1-(B7/100))*52.78</f>
        <v>52.78</v>
      </c>
      <c r="D309" s="1">
        <v>0</v>
      </c>
      <c r="E309">
        <f>D309*C309</f>
        <v>0</v>
      </c>
      <c r="F309" s="1" t="s">
        <v>822</v>
      </c>
      <c r="G309" s="17">
        <v>77243</v>
      </c>
    </row>
    <row r="310" spans="1:7">
      <c r="A310" s="1" t="s">
        <v>823</v>
      </c>
      <c r="B310" s="1" t="s">
        <v>824</v>
      </c>
      <c r="C310">
        <f>(1-(B7/100))*43.81</f>
        <v>43.81</v>
      </c>
      <c r="D310" s="1">
        <v>0</v>
      </c>
      <c r="E310">
        <f>D310*C310</f>
        <v>0</v>
      </c>
      <c r="F310" s="1" t="s">
        <v>825</v>
      </c>
      <c r="G310" s="17">
        <v>77244</v>
      </c>
    </row>
    <row r="311" spans="1:7">
      <c r="A311" s="1" t="s">
        <v>826</v>
      </c>
      <c r="B311" s="1" t="s">
        <v>827</v>
      </c>
      <c r="C311">
        <f>(1-(B7/100))*140.34</f>
        <v>140.34</v>
      </c>
      <c r="D311" s="1">
        <v>0</v>
      </c>
      <c r="E311">
        <f>D311*C311</f>
        <v>0</v>
      </c>
      <c r="F311" s="1" t="s">
        <v>828</v>
      </c>
      <c r="G311" s="17">
        <v>77245</v>
      </c>
    </row>
    <row r="312" spans="1:7">
      <c r="A312" s="1" t="s">
        <v>829</v>
      </c>
      <c r="B312" s="1" t="s">
        <v>830</v>
      </c>
      <c r="C312">
        <f>(1-(B7/100))*131.39</f>
        <v>131.39</v>
      </c>
      <c r="D312" s="1">
        <v>0</v>
      </c>
      <c r="E312">
        <f>D312*C312</f>
        <v>0</v>
      </c>
      <c r="F312" s="1" t="s">
        <v>831</v>
      </c>
      <c r="G312" s="17">
        <v>77246</v>
      </c>
    </row>
    <row r="313" spans="1:7">
      <c r="A313" s="1" t="s">
        <v>832</v>
      </c>
      <c r="B313" s="1" t="s">
        <v>833</v>
      </c>
      <c r="C313">
        <f>(1-(B7/100))*43.81</f>
        <v>43.81</v>
      </c>
      <c r="D313" s="1">
        <v>0</v>
      </c>
      <c r="E313">
        <f>D313*C313</f>
        <v>0</v>
      </c>
      <c r="F313" s="1" t="s">
        <v>834</v>
      </c>
      <c r="G313" s="17">
        <v>77247</v>
      </c>
    </row>
    <row r="314" spans="1:7">
      <c r="A314" s="1" t="s">
        <v>835</v>
      </c>
      <c r="B314" s="1" t="s">
        <v>836</v>
      </c>
      <c r="C314">
        <f>(1-(B7/100))*53.31</f>
        <v>53.31</v>
      </c>
      <c r="D314" s="1">
        <v>0</v>
      </c>
      <c r="E314">
        <f>D314*C314</f>
        <v>0</v>
      </c>
      <c r="F314" s="1" t="s">
        <v>837</v>
      </c>
      <c r="G314" s="17">
        <v>77248</v>
      </c>
    </row>
    <row r="315" spans="1:7">
      <c r="A315" s="1" t="s">
        <v>838</v>
      </c>
      <c r="B315" s="1" t="s">
        <v>839</v>
      </c>
      <c r="C315">
        <f>(1-(B7/100))*197.69</f>
        <v>197.69</v>
      </c>
      <c r="D315" s="1">
        <v>0</v>
      </c>
      <c r="E315">
        <f>D315*C315</f>
        <v>0</v>
      </c>
      <c r="F315" s="1" t="s">
        <v>840</v>
      </c>
      <c r="G315" s="17">
        <v>77250</v>
      </c>
    </row>
    <row r="316" spans="1:7">
      <c r="A316" s="1" t="s">
        <v>841</v>
      </c>
      <c r="B316" s="1" t="s">
        <v>842</v>
      </c>
      <c r="C316">
        <f>(1-(B7/100))*749.01</f>
        <v>749.01</v>
      </c>
      <c r="D316" s="1">
        <v>0</v>
      </c>
      <c r="E316">
        <f>D316*C316</f>
        <v>0</v>
      </c>
      <c r="F316" s="1" t="s">
        <v>843</v>
      </c>
      <c r="G316" s="17">
        <v>77251</v>
      </c>
    </row>
    <row r="317" spans="1:7">
      <c r="A317" s="1" t="s">
        <v>844</v>
      </c>
      <c r="B317" s="1" t="s">
        <v>845</v>
      </c>
      <c r="C317">
        <f>(1-(B7/100))*749.01</f>
        <v>749.01</v>
      </c>
      <c r="D317" s="1">
        <v>0</v>
      </c>
      <c r="E317">
        <f>D317*C317</f>
        <v>0</v>
      </c>
      <c r="F317" s="1" t="s">
        <v>846</v>
      </c>
      <c r="G317" s="17">
        <v>77253</v>
      </c>
    </row>
    <row r="318" spans="1:7">
      <c r="A318" s="1" t="s">
        <v>847</v>
      </c>
      <c r="B318" s="1" t="s">
        <v>848</v>
      </c>
      <c r="C318">
        <f>(1-(B7/100))*203.3</f>
        <v>203.3</v>
      </c>
      <c r="D318" s="1">
        <v>0</v>
      </c>
      <c r="E318">
        <f>D318*C318</f>
        <v>0</v>
      </c>
      <c r="F318" s="1" t="s">
        <v>849</v>
      </c>
      <c r="G318" s="17">
        <v>77255</v>
      </c>
    </row>
    <row r="319" spans="1:7">
      <c r="A319" s="1" t="s">
        <v>850</v>
      </c>
      <c r="B319" s="1" t="s">
        <v>851</v>
      </c>
      <c r="C319">
        <f>(1-(B7/100))*87.37</f>
        <v>87.37</v>
      </c>
      <c r="D319" s="1">
        <v>0</v>
      </c>
      <c r="E319">
        <f>D319*C319</f>
        <v>0</v>
      </c>
      <c r="F319" s="1" t="s">
        <v>852</v>
      </c>
      <c r="G319" s="17">
        <v>77256</v>
      </c>
    </row>
    <row r="320" spans="1:7">
      <c r="A320" s="1" t="s">
        <v>853</v>
      </c>
      <c r="B320" s="1" t="s">
        <v>854</v>
      </c>
      <c r="C320">
        <f>(1-(B7/100))*48.56</f>
        <v>48.56</v>
      </c>
      <c r="D320" s="1">
        <v>0</v>
      </c>
      <c r="E320">
        <f>D320*C320</f>
        <v>0</v>
      </c>
      <c r="F320" s="1" t="s">
        <v>855</v>
      </c>
      <c r="G320" s="17">
        <v>77259</v>
      </c>
    </row>
    <row r="321" spans="1:7">
      <c r="A321" s="1" t="s">
        <v>856</v>
      </c>
      <c r="B321" s="1" t="s">
        <v>857</v>
      </c>
      <c r="C321">
        <f>(1-(B7/100))*232.41</f>
        <v>232.41</v>
      </c>
      <c r="D321" s="1">
        <v>0</v>
      </c>
      <c r="E321">
        <f>D321*C321</f>
        <v>0</v>
      </c>
      <c r="F321" s="1" t="s">
        <v>858</v>
      </c>
      <c r="G321" s="17">
        <v>77436</v>
      </c>
    </row>
    <row r="322" spans="1:7">
      <c r="A322" s="1" t="s">
        <v>859</v>
      </c>
      <c r="B322" s="1" t="s">
        <v>860</v>
      </c>
      <c r="C322">
        <f>(1-(B7/100))*340.52</f>
        <v>340.52</v>
      </c>
      <c r="D322" s="1">
        <v>0</v>
      </c>
      <c r="E322">
        <f>D322*C322</f>
        <v>0</v>
      </c>
      <c r="F322" s="1" t="s">
        <v>16</v>
      </c>
      <c r="G322" s="17">
        <v>77438</v>
      </c>
    </row>
    <row r="323" spans="1:7">
      <c r="A323" s="1" t="s">
        <v>861</v>
      </c>
      <c r="B323" s="1" t="s">
        <v>862</v>
      </c>
      <c r="C323">
        <f>(1-(B7/100))*751.73</f>
        <v>751.73</v>
      </c>
      <c r="D323" s="1">
        <v>0</v>
      </c>
      <c r="E323">
        <f>D323*C323</f>
        <v>0</v>
      </c>
      <c r="F323" s="1" t="s">
        <v>863</v>
      </c>
      <c r="G323" s="17">
        <v>77439</v>
      </c>
    </row>
    <row r="324" spans="1:7">
      <c r="A324" s="1" t="s">
        <v>864</v>
      </c>
      <c r="B324" s="1" t="s">
        <v>865</v>
      </c>
      <c r="C324">
        <f>(1-(B7/100))*27.72</f>
        <v>27.72</v>
      </c>
      <c r="D324" s="1">
        <v>0</v>
      </c>
      <c r="E324">
        <f>D324*C324</f>
        <v>0</v>
      </c>
      <c r="F324" s="1" t="s">
        <v>866</v>
      </c>
      <c r="G324" s="17">
        <v>77446</v>
      </c>
    </row>
    <row r="325" spans="1:7">
      <c r="A325" s="1" t="s">
        <v>867</v>
      </c>
      <c r="B325" s="1" t="s">
        <v>868</v>
      </c>
      <c r="C325">
        <f>(1-(B7/100))*65.78</f>
        <v>65.78</v>
      </c>
      <c r="D325" s="1">
        <v>0</v>
      </c>
      <c r="E325">
        <f>D325*C325</f>
        <v>0</v>
      </c>
      <c r="F325" s="1" t="s">
        <v>869</v>
      </c>
      <c r="G325" s="17">
        <v>77453</v>
      </c>
    </row>
    <row r="326" spans="1:7">
      <c r="A326" s="1" t="s">
        <v>870</v>
      </c>
      <c r="B326" s="1" t="s">
        <v>871</v>
      </c>
      <c r="C326">
        <f>(1-(B7/100))*53.31</f>
        <v>53.31</v>
      </c>
      <c r="D326" s="1">
        <v>0</v>
      </c>
      <c r="E326">
        <f>D326*C326</f>
        <v>0</v>
      </c>
      <c r="F326" s="1" t="s">
        <v>872</v>
      </c>
      <c r="G326" s="17">
        <v>77454</v>
      </c>
    </row>
    <row r="327" spans="1:7">
      <c r="A327" s="1" t="s">
        <v>873</v>
      </c>
      <c r="B327" s="1" t="s">
        <v>874</v>
      </c>
      <c r="C327">
        <f>(1-(B7/100))*495.53</f>
        <v>495.53</v>
      </c>
      <c r="D327" s="1">
        <v>0</v>
      </c>
      <c r="E327">
        <f>D327*C327</f>
        <v>0</v>
      </c>
      <c r="F327" s="1" t="s">
        <v>875</v>
      </c>
      <c r="G327" s="17">
        <v>77455</v>
      </c>
    </row>
    <row r="328" spans="1:7">
      <c r="A328" s="1" t="s">
        <v>876</v>
      </c>
      <c r="B328" s="1" t="s">
        <v>877</v>
      </c>
      <c r="C328">
        <f>(1-(B7/100))*572.51</f>
        <v>572.51</v>
      </c>
      <c r="D328" s="1">
        <v>0</v>
      </c>
      <c r="E328">
        <f>D328*C328</f>
        <v>0</v>
      </c>
      <c r="F328" s="1" t="s">
        <v>878</v>
      </c>
      <c r="G328" s="17">
        <v>77457</v>
      </c>
    </row>
    <row r="329" spans="1:7">
      <c r="A329" s="1" t="s">
        <v>879</v>
      </c>
      <c r="B329" s="1" t="s">
        <v>880</v>
      </c>
      <c r="C329">
        <f>(1-(B7/100))*994.02</f>
        <v>994.02</v>
      </c>
      <c r="D329" s="1">
        <v>0</v>
      </c>
      <c r="E329">
        <f>D329*C329</f>
        <v>0</v>
      </c>
      <c r="F329" s="1" t="s">
        <v>881</v>
      </c>
      <c r="G329" s="17">
        <v>77458</v>
      </c>
    </row>
    <row r="330" spans="1:7">
      <c r="A330" s="1" t="s">
        <v>882</v>
      </c>
      <c r="B330" s="1" t="s">
        <v>883</v>
      </c>
      <c r="C330">
        <f>(1-(B7/100))*253.57</f>
        <v>253.57</v>
      </c>
      <c r="D330" s="1">
        <v>0</v>
      </c>
      <c r="E330">
        <f>D330*C330</f>
        <v>0</v>
      </c>
      <c r="F330" s="1" t="s">
        <v>884</v>
      </c>
      <c r="G330" s="17">
        <v>77459</v>
      </c>
    </row>
    <row r="331" spans="1:7">
      <c r="A331" s="1" t="s">
        <v>885</v>
      </c>
      <c r="B331" s="1" t="s">
        <v>886</v>
      </c>
      <c r="C331">
        <f>(1-(B7/100))*881.19</f>
        <v>881.19</v>
      </c>
      <c r="D331" s="1">
        <v>0</v>
      </c>
      <c r="E331">
        <f>D331*C331</f>
        <v>0</v>
      </c>
      <c r="F331" s="1" t="s">
        <v>887</v>
      </c>
      <c r="G331" s="17">
        <v>77461</v>
      </c>
    </row>
    <row r="332" spans="1:7">
      <c r="A332" s="1" t="s">
        <v>888</v>
      </c>
      <c r="B332" s="1" t="s">
        <v>889</v>
      </c>
      <c r="C332">
        <f>(1-(B7/100))*25.42</f>
        <v>25.42</v>
      </c>
      <c r="D332" s="1">
        <v>0</v>
      </c>
      <c r="E332">
        <f>D332*C332</f>
        <v>0</v>
      </c>
      <c r="F332" s="1" t="s">
        <v>890</v>
      </c>
      <c r="G332" s="17">
        <v>77462</v>
      </c>
    </row>
    <row r="333" spans="1:7">
      <c r="A333" s="1" t="s">
        <v>891</v>
      </c>
      <c r="B333" s="1" t="s">
        <v>892</v>
      </c>
      <c r="C333">
        <f>(1-(B7/100))*29.6</f>
        <v>29.6</v>
      </c>
      <c r="D333" s="1">
        <v>0</v>
      </c>
      <c r="E333">
        <f>D333*C333</f>
        <v>0</v>
      </c>
      <c r="F333" s="1" t="s">
        <v>893</v>
      </c>
      <c r="G333" s="17">
        <v>77463</v>
      </c>
    </row>
    <row r="334" spans="1:7">
      <c r="A334" s="1" t="s">
        <v>894</v>
      </c>
      <c r="B334" s="1" t="s">
        <v>895</v>
      </c>
      <c r="C334">
        <f>(1-(B7/100))*25.42</f>
        <v>25.42</v>
      </c>
      <c r="D334" s="1">
        <v>0</v>
      </c>
      <c r="E334">
        <f>D334*C334</f>
        <v>0</v>
      </c>
      <c r="F334" s="1" t="s">
        <v>896</v>
      </c>
      <c r="G334" s="17">
        <v>77464</v>
      </c>
    </row>
    <row r="335" spans="1:7">
      <c r="A335" s="1" t="s">
        <v>897</v>
      </c>
      <c r="B335" s="1" t="s">
        <v>898</v>
      </c>
      <c r="C335">
        <f>(1-(B7/100))*21.9</f>
        <v>21.9</v>
      </c>
      <c r="D335" s="1">
        <v>0</v>
      </c>
      <c r="E335">
        <f>D335*C335</f>
        <v>0</v>
      </c>
      <c r="F335" s="1" t="s">
        <v>899</v>
      </c>
      <c r="G335" s="17">
        <v>77465</v>
      </c>
    </row>
    <row r="336" spans="1:7">
      <c r="A336" s="1" t="s">
        <v>900</v>
      </c>
      <c r="B336" s="1" t="s">
        <v>901</v>
      </c>
      <c r="C336">
        <f>(1-(B7/100))*28.5</f>
        <v>28.5</v>
      </c>
      <c r="D336" s="1">
        <v>0</v>
      </c>
      <c r="E336">
        <f>D336*C336</f>
        <v>0</v>
      </c>
      <c r="F336" s="1" t="s">
        <v>16</v>
      </c>
      <c r="G336" s="17">
        <v>77466</v>
      </c>
    </row>
    <row r="337" spans="1:7">
      <c r="A337" s="1" t="s">
        <v>902</v>
      </c>
      <c r="B337" s="1" t="s">
        <v>903</v>
      </c>
      <c r="C337">
        <f>(1-(B7/100))*25.42</f>
        <v>25.42</v>
      </c>
      <c r="D337" s="1">
        <v>0</v>
      </c>
      <c r="E337">
        <f>D337*C337</f>
        <v>0</v>
      </c>
      <c r="F337" s="1" t="s">
        <v>904</v>
      </c>
      <c r="G337" s="17">
        <v>77467</v>
      </c>
    </row>
    <row r="338" spans="1:7">
      <c r="A338" s="1" t="s">
        <v>905</v>
      </c>
      <c r="B338" s="1" t="s">
        <v>906</v>
      </c>
      <c r="C338">
        <f>(1-(B7/100))*30.28</f>
        <v>30.28</v>
      </c>
      <c r="D338" s="1">
        <v>0</v>
      </c>
      <c r="E338">
        <f>D338*C338</f>
        <v>0</v>
      </c>
      <c r="F338" s="1" t="s">
        <v>907</v>
      </c>
      <c r="G338" s="17">
        <v>77468</v>
      </c>
    </row>
    <row r="339" spans="1:7">
      <c r="A339" s="1" t="s">
        <v>908</v>
      </c>
      <c r="B339" s="1" t="s">
        <v>909</v>
      </c>
      <c r="C339">
        <f>(1-(B7/100))*33.79</f>
        <v>33.79</v>
      </c>
      <c r="D339" s="1">
        <v>0</v>
      </c>
      <c r="E339">
        <f>D339*C339</f>
        <v>0</v>
      </c>
      <c r="F339" s="1" t="s">
        <v>910</v>
      </c>
      <c r="G339" s="17">
        <v>77469</v>
      </c>
    </row>
    <row r="340" spans="1:7">
      <c r="A340" s="1" t="s">
        <v>911</v>
      </c>
      <c r="B340" s="1" t="s">
        <v>912</v>
      </c>
      <c r="C340">
        <f>(1-(B7/100))*25.42</f>
        <v>25.42</v>
      </c>
      <c r="D340" s="1">
        <v>0</v>
      </c>
      <c r="E340">
        <f>D340*C340</f>
        <v>0</v>
      </c>
      <c r="F340" s="1" t="s">
        <v>913</v>
      </c>
      <c r="G340" s="17">
        <v>77470</v>
      </c>
    </row>
    <row r="341" spans="1:7">
      <c r="A341" s="1" t="s">
        <v>914</v>
      </c>
      <c r="B341" s="1" t="s">
        <v>915</v>
      </c>
      <c r="C341">
        <f>(1-(B7/100))*33.09</f>
        <v>33.09</v>
      </c>
      <c r="D341" s="1">
        <v>0</v>
      </c>
      <c r="E341">
        <f>D341*C341</f>
        <v>0</v>
      </c>
      <c r="F341" s="1" t="s">
        <v>916</v>
      </c>
      <c r="G341" s="17">
        <v>77471</v>
      </c>
    </row>
    <row r="342" spans="1:7">
      <c r="A342" s="1" t="s">
        <v>917</v>
      </c>
      <c r="B342" s="1" t="s">
        <v>918</v>
      </c>
      <c r="C342">
        <f>(1-(B7/100))*10.92</f>
        <v>10.92</v>
      </c>
      <c r="D342" s="1">
        <v>0</v>
      </c>
      <c r="E342">
        <f>D342*C342</f>
        <v>0</v>
      </c>
      <c r="F342" s="1" t="s">
        <v>919</v>
      </c>
      <c r="G342" s="17">
        <v>77472</v>
      </c>
    </row>
    <row r="343" spans="1:7">
      <c r="A343" s="1" t="s">
        <v>920</v>
      </c>
      <c r="B343" s="1" t="s">
        <v>918</v>
      </c>
      <c r="C343">
        <f>(1-(B7/100))*12.8</f>
        <v>12.8</v>
      </c>
      <c r="D343" s="1">
        <v>0</v>
      </c>
      <c r="E343">
        <f>D343*C343</f>
        <v>0</v>
      </c>
      <c r="F343" s="1" t="s">
        <v>921</v>
      </c>
      <c r="G343" s="17">
        <v>77473</v>
      </c>
    </row>
    <row r="344" spans="1:7">
      <c r="A344" s="1" t="s">
        <v>922</v>
      </c>
      <c r="B344" s="1" t="s">
        <v>923</v>
      </c>
      <c r="C344">
        <f>(1-(B7/100))*79.95</f>
        <v>79.95</v>
      </c>
      <c r="D344" s="1">
        <v>0</v>
      </c>
      <c r="E344">
        <f>D344*C344</f>
        <v>0</v>
      </c>
      <c r="F344" s="1" t="s">
        <v>924</v>
      </c>
      <c r="G344" s="17">
        <v>77476</v>
      </c>
    </row>
    <row r="345" spans="1:7">
      <c r="A345" s="1" t="s">
        <v>925</v>
      </c>
      <c r="B345" s="1" t="s">
        <v>926</v>
      </c>
      <c r="C345">
        <f>(1-(B7/100))*201.47</f>
        <v>201.47</v>
      </c>
      <c r="D345" s="1">
        <v>0</v>
      </c>
      <c r="E345">
        <f>D345*C345</f>
        <v>0</v>
      </c>
      <c r="F345" s="1" t="s">
        <v>927</v>
      </c>
      <c r="G345" s="17">
        <v>77477</v>
      </c>
    </row>
    <row r="346" spans="1:7">
      <c r="A346" s="1" t="s">
        <v>928</v>
      </c>
      <c r="B346" s="1" t="s">
        <v>929</v>
      </c>
      <c r="C346">
        <f>(1-(B7/100))*143.74</f>
        <v>143.74</v>
      </c>
      <c r="D346" s="1">
        <v>0</v>
      </c>
      <c r="E346">
        <f>D346*C346</f>
        <v>0</v>
      </c>
      <c r="F346" s="1" t="s">
        <v>930</v>
      </c>
      <c r="G346" s="17">
        <v>77479</v>
      </c>
    </row>
    <row r="347" spans="1:7">
      <c r="A347" s="1" t="s">
        <v>931</v>
      </c>
      <c r="B347" s="1" t="s">
        <v>932</v>
      </c>
      <c r="C347">
        <f>(1-(B7/100))*119.63</f>
        <v>119.63</v>
      </c>
      <c r="D347" s="1">
        <v>0</v>
      </c>
      <c r="E347">
        <f>D347*C347</f>
        <v>0</v>
      </c>
      <c r="F347" s="1" t="s">
        <v>933</v>
      </c>
      <c r="G347" s="17">
        <v>77485</v>
      </c>
    </row>
    <row r="348" spans="1:7">
      <c r="A348" s="1" t="s">
        <v>934</v>
      </c>
      <c r="B348" s="1" t="s">
        <v>935</v>
      </c>
      <c r="C348">
        <f>(1-(B7/100))*97.54</f>
        <v>97.54</v>
      </c>
      <c r="D348" s="1">
        <v>0</v>
      </c>
      <c r="E348">
        <f>D348*C348</f>
        <v>0</v>
      </c>
      <c r="F348" s="1" t="s">
        <v>936</v>
      </c>
      <c r="G348" s="17">
        <v>77486</v>
      </c>
    </row>
    <row r="349" spans="1:7">
      <c r="A349" s="1" t="s">
        <v>937</v>
      </c>
      <c r="B349" s="1" t="s">
        <v>938</v>
      </c>
      <c r="C349">
        <f>(1-(B7/100))*132.31</f>
        <v>132.31</v>
      </c>
      <c r="D349" s="1">
        <v>0</v>
      </c>
      <c r="E349">
        <f>D349*C349</f>
        <v>0</v>
      </c>
      <c r="F349" s="1" t="s">
        <v>939</v>
      </c>
      <c r="G349" s="17">
        <v>77487</v>
      </c>
    </row>
    <row r="350" spans="1:7">
      <c r="A350" s="1" t="s">
        <v>940</v>
      </c>
      <c r="B350" s="1" t="s">
        <v>941</v>
      </c>
      <c r="C350">
        <f>(1-(B7/100))*155.32</f>
        <v>155.32</v>
      </c>
      <c r="D350" s="1">
        <v>0</v>
      </c>
      <c r="E350">
        <f>D350*C350</f>
        <v>0</v>
      </c>
      <c r="F350" s="1" t="s">
        <v>942</v>
      </c>
      <c r="G350" s="17">
        <v>77489</v>
      </c>
    </row>
    <row r="351" spans="1:7">
      <c r="A351" s="1" t="s">
        <v>943</v>
      </c>
      <c r="B351" s="1" t="s">
        <v>944</v>
      </c>
      <c r="C351">
        <f>(1-(B7/100))*548.51</f>
        <v>548.51</v>
      </c>
      <c r="D351" s="1">
        <v>0</v>
      </c>
      <c r="E351">
        <f>D351*C351</f>
        <v>0</v>
      </c>
      <c r="F351" s="1" t="s">
        <v>945</v>
      </c>
      <c r="G351" s="17">
        <v>77492</v>
      </c>
    </row>
    <row r="352" spans="1:7">
      <c r="A352" s="1" t="s">
        <v>946</v>
      </c>
      <c r="B352" s="1" t="s">
        <v>947</v>
      </c>
      <c r="C352">
        <f>(1-(B7/100))*12.74</f>
        <v>12.74</v>
      </c>
      <c r="D352" s="1">
        <v>0</v>
      </c>
      <c r="E352">
        <f>D352*C352</f>
        <v>0</v>
      </c>
      <c r="F352" s="1" t="s">
        <v>948</v>
      </c>
      <c r="G352" s="17">
        <v>77494</v>
      </c>
    </row>
    <row r="353" spans="1:7">
      <c r="A353" s="1" t="s">
        <v>949</v>
      </c>
      <c r="B353" s="1" t="s">
        <v>950</v>
      </c>
      <c r="C353">
        <f>(1-(B7/100))*41.88</f>
        <v>41.88</v>
      </c>
      <c r="D353" s="1">
        <v>0</v>
      </c>
      <c r="E353">
        <f>D353*C353</f>
        <v>0</v>
      </c>
      <c r="F353" s="1" t="s">
        <v>951</v>
      </c>
      <c r="G353" s="17">
        <v>77498</v>
      </c>
    </row>
    <row r="354" spans="1:7">
      <c r="A354" s="1" t="s">
        <v>952</v>
      </c>
      <c r="B354" s="1" t="s">
        <v>953</v>
      </c>
      <c r="C354">
        <f>(1-(B7/100))*47.81</f>
        <v>47.81</v>
      </c>
      <c r="D354" s="1">
        <v>0</v>
      </c>
      <c r="E354">
        <f>D354*C354</f>
        <v>0</v>
      </c>
      <c r="F354" s="1" t="s">
        <v>954</v>
      </c>
      <c r="G354" s="17">
        <v>77500</v>
      </c>
    </row>
    <row r="355" spans="1:7">
      <c r="A355" s="1" t="s">
        <v>955</v>
      </c>
      <c r="B355" s="1" t="s">
        <v>956</v>
      </c>
      <c r="C355">
        <f>(1-(B7/100))*108.85</f>
        <v>108.85</v>
      </c>
      <c r="D355" s="1">
        <v>0</v>
      </c>
      <c r="E355">
        <f>D355*C355</f>
        <v>0</v>
      </c>
      <c r="F355" s="1" t="s">
        <v>957</v>
      </c>
      <c r="G355" s="17">
        <v>77503</v>
      </c>
    </row>
    <row r="356" spans="1:7">
      <c r="A356" s="1" t="s">
        <v>958</v>
      </c>
      <c r="B356" s="1" t="s">
        <v>959</v>
      </c>
      <c r="C356">
        <f>(1-(B7/100))*64.6</f>
        <v>64.6</v>
      </c>
      <c r="D356" s="1">
        <v>0</v>
      </c>
      <c r="E356">
        <f>D356*C356</f>
        <v>0</v>
      </c>
      <c r="F356" s="1" t="s">
        <v>960</v>
      </c>
      <c r="G356" s="17">
        <v>77505</v>
      </c>
    </row>
    <row r="357" spans="1:7">
      <c r="A357" s="1" t="s">
        <v>961</v>
      </c>
      <c r="B357" s="1" t="s">
        <v>962</v>
      </c>
      <c r="C357">
        <f>(1-(B7/100))*29.7</f>
        <v>29.7</v>
      </c>
      <c r="D357" s="1">
        <v>0</v>
      </c>
      <c r="E357">
        <f>D357*C357</f>
        <v>0</v>
      </c>
      <c r="F357" s="1" t="s">
        <v>963</v>
      </c>
      <c r="G357" s="17">
        <v>77507</v>
      </c>
    </row>
    <row r="358" spans="1:7">
      <c r="A358" s="1" t="s">
        <v>964</v>
      </c>
      <c r="B358" s="1" t="s">
        <v>965</v>
      </c>
      <c r="C358">
        <f>(1-(B7/100))*27.29</f>
        <v>27.29</v>
      </c>
      <c r="D358" s="1">
        <v>0</v>
      </c>
      <c r="E358">
        <f>D358*C358</f>
        <v>0</v>
      </c>
      <c r="F358" s="1" t="s">
        <v>966</v>
      </c>
      <c r="G358" s="17">
        <v>77508</v>
      </c>
    </row>
    <row r="359" spans="1:7">
      <c r="A359" s="1" t="s">
        <v>967</v>
      </c>
      <c r="B359" s="1" t="s">
        <v>968</v>
      </c>
      <c r="C359">
        <f>(1-(B7/100))*279.14</f>
        <v>279.14</v>
      </c>
      <c r="D359" s="1">
        <v>0</v>
      </c>
      <c r="E359">
        <f>D359*C359</f>
        <v>0</v>
      </c>
      <c r="F359" s="1" t="s">
        <v>969</v>
      </c>
      <c r="G359" s="17">
        <v>77510</v>
      </c>
    </row>
    <row r="360" spans="1:7">
      <c r="A360" s="1" t="s">
        <v>970</v>
      </c>
      <c r="B360" s="1" t="s">
        <v>971</v>
      </c>
      <c r="C360">
        <f>(1-(B7/100))*207.66</f>
        <v>207.66</v>
      </c>
      <c r="D360" s="1">
        <v>0</v>
      </c>
      <c r="E360">
        <f>D360*C360</f>
        <v>0</v>
      </c>
      <c r="F360" s="1" t="s">
        <v>972</v>
      </c>
      <c r="G360" s="17">
        <v>77511</v>
      </c>
    </row>
    <row r="361" spans="1:7">
      <c r="A361" s="1" t="s">
        <v>973</v>
      </c>
      <c r="B361" s="1" t="s">
        <v>974</v>
      </c>
      <c r="C361">
        <f>(1-(B7/100))*253.03</f>
        <v>253.03</v>
      </c>
      <c r="D361" s="1">
        <v>0</v>
      </c>
      <c r="E361">
        <f>D361*C361</f>
        <v>0</v>
      </c>
      <c r="F361" s="1" t="s">
        <v>975</v>
      </c>
      <c r="G361" s="17">
        <v>77512</v>
      </c>
    </row>
    <row r="362" spans="1:7">
      <c r="A362" s="1" t="s">
        <v>976</v>
      </c>
      <c r="B362" s="1" t="s">
        <v>977</v>
      </c>
      <c r="C362">
        <f>(1-(B7/100))*335.71</f>
        <v>335.71</v>
      </c>
      <c r="D362" s="1">
        <v>0</v>
      </c>
      <c r="E362">
        <f>D362*C362</f>
        <v>0</v>
      </c>
      <c r="F362" s="1" t="s">
        <v>978</v>
      </c>
      <c r="G362" s="17">
        <v>77513</v>
      </c>
    </row>
    <row r="363" spans="1:7">
      <c r="A363" s="1" t="s">
        <v>979</v>
      </c>
      <c r="B363" s="1" t="s">
        <v>980</v>
      </c>
      <c r="C363">
        <f>(1-(B7/100))*171.42</f>
        <v>171.42</v>
      </c>
      <c r="D363" s="1">
        <v>0</v>
      </c>
      <c r="E363">
        <f>D363*C363</f>
        <v>0</v>
      </c>
      <c r="F363" s="1" t="s">
        <v>981</v>
      </c>
      <c r="G363" s="17">
        <v>77517</v>
      </c>
    </row>
    <row r="364" spans="1:7">
      <c r="A364" s="1" t="s">
        <v>982</v>
      </c>
      <c r="B364" s="1" t="s">
        <v>983</v>
      </c>
      <c r="C364">
        <f>(1-(B7/100))*193.03</f>
        <v>193.03</v>
      </c>
      <c r="D364" s="1">
        <v>0</v>
      </c>
      <c r="E364">
        <f>D364*C364</f>
        <v>0</v>
      </c>
      <c r="F364" s="1" t="s">
        <v>984</v>
      </c>
      <c r="G364" s="17">
        <v>77519</v>
      </c>
    </row>
    <row r="365" spans="1:7">
      <c r="A365" s="1" t="s">
        <v>985</v>
      </c>
      <c r="B365" s="1" t="s">
        <v>986</v>
      </c>
      <c r="C365">
        <f>(1-(B7/100))*226.09</f>
        <v>226.09</v>
      </c>
      <c r="D365" s="1">
        <v>0</v>
      </c>
      <c r="E365">
        <f>D365*C365</f>
        <v>0</v>
      </c>
      <c r="F365" s="1" t="s">
        <v>987</v>
      </c>
      <c r="G365" s="17">
        <v>77520</v>
      </c>
    </row>
    <row r="366" spans="1:7">
      <c r="A366" s="1" t="s">
        <v>988</v>
      </c>
      <c r="B366" s="1" t="s">
        <v>989</v>
      </c>
      <c r="C366">
        <f>(1-(B7/100))*531.91</f>
        <v>531.91</v>
      </c>
      <c r="D366" s="1">
        <v>0</v>
      </c>
      <c r="E366">
        <f>D366*C366</f>
        <v>0</v>
      </c>
      <c r="F366" s="1" t="s">
        <v>990</v>
      </c>
      <c r="G366" s="17">
        <v>77523</v>
      </c>
    </row>
    <row r="367" spans="1:7">
      <c r="A367" s="1" t="s">
        <v>991</v>
      </c>
      <c r="B367" s="1" t="s">
        <v>992</v>
      </c>
      <c r="C367">
        <f>(1-(B7/100))*12.8</f>
        <v>12.8</v>
      </c>
      <c r="D367" s="1">
        <v>0</v>
      </c>
      <c r="E367">
        <f>D367*C367</f>
        <v>0</v>
      </c>
      <c r="F367" s="1" t="s">
        <v>993</v>
      </c>
      <c r="G367" s="17">
        <v>77524</v>
      </c>
    </row>
    <row r="368" spans="1:7">
      <c r="A368" s="1" t="s">
        <v>994</v>
      </c>
      <c r="B368" s="1" t="s">
        <v>995</v>
      </c>
      <c r="C368">
        <f>(1-(B7/100))*307.82</f>
        <v>307.82</v>
      </c>
      <c r="D368" s="1">
        <v>0</v>
      </c>
      <c r="E368">
        <f>D368*C368</f>
        <v>0</v>
      </c>
      <c r="F368" s="1" t="s">
        <v>996</v>
      </c>
      <c r="G368" s="17">
        <v>77526</v>
      </c>
    </row>
    <row r="369" spans="1:7">
      <c r="A369" s="1" t="s">
        <v>997</v>
      </c>
      <c r="B369" s="1" t="s">
        <v>998</v>
      </c>
      <c r="C369">
        <f>(1-(B7/100))*785.84</f>
        <v>785.84</v>
      </c>
      <c r="D369" s="1">
        <v>0</v>
      </c>
      <c r="E369">
        <f>D369*C369</f>
        <v>0</v>
      </c>
      <c r="F369" s="1" t="s">
        <v>999</v>
      </c>
      <c r="G369" s="17">
        <v>77527</v>
      </c>
    </row>
    <row r="370" spans="1:7">
      <c r="A370" s="1" t="s">
        <v>1000</v>
      </c>
      <c r="B370" s="1" t="s">
        <v>1001</v>
      </c>
      <c r="C370">
        <f>(1-(B7/100))*379.86</f>
        <v>379.86</v>
      </c>
      <c r="D370" s="1">
        <v>0</v>
      </c>
      <c r="E370">
        <f>D370*C370</f>
        <v>0</v>
      </c>
      <c r="F370" s="1" t="s">
        <v>1002</v>
      </c>
      <c r="G370" s="17">
        <v>77529</v>
      </c>
    </row>
    <row r="371" spans="1:7">
      <c r="A371" s="1" t="s">
        <v>1003</v>
      </c>
      <c r="B371" s="1" t="s">
        <v>1004</v>
      </c>
      <c r="C371">
        <f>(1-(B7/100))*552.51</f>
        <v>552.51</v>
      </c>
      <c r="D371" s="1">
        <v>0</v>
      </c>
      <c r="E371">
        <f>D371*C371</f>
        <v>0</v>
      </c>
      <c r="F371" s="1" t="s">
        <v>1005</v>
      </c>
      <c r="G371" s="17">
        <v>77531</v>
      </c>
    </row>
    <row r="372" spans="1:7">
      <c r="A372" s="1" t="s">
        <v>1006</v>
      </c>
      <c r="B372" s="1" t="s">
        <v>1007</v>
      </c>
      <c r="C372">
        <f>(1-(B7/100))*570.86</f>
        <v>570.86</v>
      </c>
      <c r="D372" s="1">
        <v>0</v>
      </c>
      <c r="E372">
        <f>D372*C372</f>
        <v>0</v>
      </c>
      <c r="F372" s="1" t="s">
        <v>1008</v>
      </c>
      <c r="G372" s="17">
        <v>77533</v>
      </c>
    </row>
    <row r="373" spans="1:7">
      <c r="A373" s="1" t="s">
        <v>1009</v>
      </c>
      <c r="B373" s="1" t="s">
        <v>1010</v>
      </c>
      <c r="C373">
        <f>(1-(B7/100))*386.53</f>
        <v>386.53</v>
      </c>
      <c r="D373" s="1">
        <v>0</v>
      </c>
      <c r="E373">
        <f>D373*C373</f>
        <v>0</v>
      </c>
      <c r="F373" s="1" t="s">
        <v>1011</v>
      </c>
      <c r="G373" s="17">
        <v>77534</v>
      </c>
    </row>
    <row r="374" spans="1:7">
      <c r="A374" s="1" t="s">
        <v>1012</v>
      </c>
      <c r="B374" s="1" t="s">
        <v>1013</v>
      </c>
      <c r="C374">
        <f>(1-(B7/100))*551.6</f>
        <v>551.6</v>
      </c>
      <c r="D374" s="1">
        <v>0</v>
      </c>
      <c r="E374">
        <f>D374*C374</f>
        <v>0</v>
      </c>
      <c r="F374" s="1" t="s">
        <v>1014</v>
      </c>
      <c r="G374" s="17">
        <v>77535</v>
      </c>
    </row>
    <row r="375" spans="1:7">
      <c r="A375" s="1" t="s">
        <v>1015</v>
      </c>
      <c r="B375" s="1" t="s">
        <v>1016</v>
      </c>
      <c r="C375">
        <f>(1-(B7/100))*419.13</f>
        <v>419.13</v>
      </c>
      <c r="D375" s="1">
        <v>0</v>
      </c>
      <c r="E375">
        <f>D375*C375</f>
        <v>0</v>
      </c>
      <c r="F375" s="1" t="s">
        <v>1017</v>
      </c>
      <c r="G375" s="17">
        <v>77537</v>
      </c>
    </row>
    <row r="376" spans="1:7">
      <c r="A376" s="1" t="s">
        <v>1018</v>
      </c>
      <c r="B376" s="1" t="s">
        <v>1019</v>
      </c>
      <c r="C376">
        <f>(1-(B7/100))*394.74</f>
        <v>394.74</v>
      </c>
      <c r="D376" s="1">
        <v>0</v>
      </c>
      <c r="E376">
        <f>D376*C376</f>
        <v>0</v>
      </c>
      <c r="F376" s="1" t="s">
        <v>1020</v>
      </c>
      <c r="G376" s="17">
        <v>77541</v>
      </c>
    </row>
    <row r="377" spans="1:7">
      <c r="A377" s="1" t="s">
        <v>1021</v>
      </c>
      <c r="B377" s="1" t="s">
        <v>1022</v>
      </c>
      <c r="C377">
        <f>(1-(B7/100))*35.57</f>
        <v>35.57</v>
      </c>
      <c r="D377" s="1">
        <v>0</v>
      </c>
      <c r="E377">
        <f>D377*C377</f>
        <v>0</v>
      </c>
      <c r="F377" s="1" t="s">
        <v>1023</v>
      </c>
      <c r="G377" s="17">
        <v>77543</v>
      </c>
    </row>
    <row r="378" spans="1:7">
      <c r="A378" s="1" t="s">
        <v>1024</v>
      </c>
      <c r="B378" s="1" t="s">
        <v>1025</v>
      </c>
      <c r="C378">
        <f>(1-(B7/100))*31.88</f>
        <v>31.88</v>
      </c>
      <c r="D378" s="1">
        <v>0</v>
      </c>
      <c r="E378">
        <f>D378*C378</f>
        <v>0</v>
      </c>
      <c r="F378" s="1" t="s">
        <v>1026</v>
      </c>
      <c r="G378" s="17">
        <v>77544</v>
      </c>
    </row>
    <row r="379" spans="1:7">
      <c r="A379" s="1" t="s">
        <v>1027</v>
      </c>
      <c r="B379" s="1" t="s">
        <v>1028</v>
      </c>
      <c r="C379">
        <f>(1-(B7/100))*90.21</f>
        <v>90.21</v>
      </c>
      <c r="D379" s="1">
        <v>0</v>
      </c>
      <c r="E379">
        <f>D379*C379</f>
        <v>0</v>
      </c>
      <c r="F379" s="1" t="s">
        <v>1029</v>
      </c>
      <c r="G379" s="17">
        <v>77545</v>
      </c>
    </row>
    <row r="380" spans="1:7">
      <c r="A380" s="1" t="s">
        <v>1030</v>
      </c>
      <c r="B380" s="1" t="s">
        <v>1031</v>
      </c>
      <c r="C380">
        <f>(1-(B7/100))*324.16</f>
        <v>324.16</v>
      </c>
      <c r="D380" s="1">
        <v>0</v>
      </c>
      <c r="E380">
        <f>D380*C380</f>
        <v>0</v>
      </c>
      <c r="F380" s="1" t="s">
        <v>1032</v>
      </c>
      <c r="G380" s="17">
        <v>77552</v>
      </c>
    </row>
    <row r="381" spans="1:7">
      <c r="A381" s="1" t="s">
        <v>1033</v>
      </c>
      <c r="B381" s="1" t="s">
        <v>1034</v>
      </c>
      <c r="C381">
        <f>(1-(B7/100))*345.91</f>
        <v>345.91</v>
      </c>
      <c r="D381" s="1">
        <v>0</v>
      </c>
      <c r="E381">
        <f>D381*C381</f>
        <v>0</v>
      </c>
      <c r="F381" s="1" t="s">
        <v>1035</v>
      </c>
      <c r="G381" s="17">
        <v>77553</v>
      </c>
    </row>
    <row r="382" spans="1:7">
      <c r="A382" s="1" t="s">
        <v>1036</v>
      </c>
      <c r="B382" s="1" t="s">
        <v>1037</v>
      </c>
      <c r="C382">
        <f>(1-(B7/100))*352.96</f>
        <v>352.96</v>
      </c>
      <c r="D382" s="1">
        <v>0</v>
      </c>
      <c r="E382">
        <f>D382*C382</f>
        <v>0</v>
      </c>
      <c r="F382" s="1" t="s">
        <v>1038</v>
      </c>
      <c r="G382" s="17">
        <v>77557</v>
      </c>
    </row>
    <row r="383" spans="1:7">
      <c r="A383" s="1" t="s">
        <v>1039</v>
      </c>
      <c r="B383" s="1" t="s">
        <v>1040</v>
      </c>
      <c r="C383">
        <f>(1-(B7/100))*163.16</f>
        <v>163.16</v>
      </c>
      <c r="D383" s="1">
        <v>0</v>
      </c>
      <c r="E383">
        <f>D383*C383</f>
        <v>0</v>
      </c>
      <c r="F383" s="1" t="s">
        <v>1041</v>
      </c>
      <c r="G383" s="17">
        <v>77558</v>
      </c>
    </row>
    <row r="384" spans="1:7">
      <c r="A384" s="1" t="s">
        <v>1042</v>
      </c>
      <c r="B384" s="1" t="s">
        <v>1043</v>
      </c>
      <c r="C384">
        <f>(1-(B7/100))*70.88</f>
        <v>70.88</v>
      </c>
      <c r="D384" s="1">
        <v>0</v>
      </c>
      <c r="E384">
        <f>D384*C384</f>
        <v>0</v>
      </c>
      <c r="F384" s="1" t="s">
        <v>1044</v>
      </c>
      <c r="G384" s="17">
        <v>77559</v>
      </c>
    </row>
    <row r="385" spans="1:7">
      <c r="A385" s="1" t="s">
        <v>1045</v>
      </c>
      <c r="B385" s="1" t="s">
        <v>1046</v>
      </c>
      <c r="C385">
        <f>(1-(B7/100))*454.4</f>
        <v>454.4</v>
      </c>
      <c r="D385" s="1">
        <v>0</v>
      </c>
      <c r="E385">
        <f>D385*C385</f>
        <v>0</v>
      </c>
      <c r="F385" s="1" t="s">
        <v>1047</v>
      </c>
      <c r="G385" s="17">
        <v>77560</v>
      </c>
    </row>
    <row r="386" spans="1:7">
      <c r="A386" s="1" t="s">
        <v>1048</v>
      </c>
      <c r="B386" s="1" t="s">
        <v>1049</v>
      </c>
      <c r="C386">
        <f>(1-(B7/100))*486.63</f>
        <v>486.63</v>
      </c>
      <c r="D386" s="1">
        <v>0</v>
      </c>
      <c r="E386">
        <f>D386*C386</f>
        <v>0</v>
      </c>
      <c r="F386" s="1" t="s">
        <v>1050</v>
      </c>
      <c r="G386" s="17">
        <v>77561</v>
      </c>
    </row>
    <row r="387" spans="1:7">
      <c r="A387" s="1" t="s">
        <v>1051</v>
      </c>
      <c r="B387" s="1" t="s">
        <v>1052</v>
      </c>
      <c r="C387">
        <f>(1-(B7/100))*508.69</f>
        <v>508.69</v>
      </c>
      <c r="D387" s="1">
        <v>0</v>
      </c>
      <c r="E387">
        <f>D387*C387</f>
        <v>0</v>
      </c>
      <c r="F387" s="1" t="s">
        <v>1053</v>
      </c>
      <c r="G387" s="17">
        <v>77562</v>
      </c>
    </row>
    <row r="388" spans="1:7">
      <c r="A388" s="1" t="s">
        <v>1054</v>
      </c>
      <c r="B388" s="1" t="s">
        <v>1055</v>
      </c>
      <c r="C388">
        <f>(1-(B7/100))*372.88</f>
        <v>372.88</v>
      </c>
      <c r="D388" s="1">
        <v>0</v>
      </c>
      <c r="E388">
        <f>D388*C388</f>
        <v>0</v>
      </c>
      <c r="F388" s="1" t="s">
        <v>1056</v>
      </c>
      <c r="G388" s="17">
        <v>77563</v>
      </c>
    </row>
    <row r="389" spans="1:7">
      <c r="A389" s="1" t="s">
        <v>1057</v>
      </c>
      <c r="B389" s="1" t="s">
        <v>1058</v>
      </c>
      <c r="C389">
        <f>(1-(B7/100))*122.11</f>
        <v>122.11</v>
      </c>
      <c r="D389" s="1">
        <v>0</v>
      </c>
      <c r="E389">
        <f>D389*C389</f>
        <v>0</v>
      </c>
      <c r="F389" s="1" t="s">
        <v>1059</v>
      </c>
      <c r="G389" s="17">
        <v>77565</v>
      </c>
    </row>
    <row r="390" spans="1:7">
      <c r="A390" s="1" t="s">
        <v>1060</v>
      </c>
      <c r="B390" s="1" t="s">
        <v>1061</v>
      </c>
      <c r="C390">
        <f>(1-(B7/100))*166.32</f>
        <v>166.32</v>
      </c>
      <c r="D390" s="1">
        <v>0</v>
      </c>
      <c r="E390">
        <f>D390*C390</f>
        <v>0</v>
      </c>
      <c r="F390" s="1" t="s">
        <v>1062</v>
      </c>
      <c r="G390" s="17">
        <v>77569</v>
      </c>
    </row>
    <row r="391" spans="1:7">
      <c r="A391" s="1" t="s">
        <v>1063</v>
      </c>
      <c r="B391" s="1" t="s">
        <v>1064</v>
      </c>
      <c r="C391">
        <f>(1-(B7/100))*16.36</f>
        <v>16.36</v>
      </c>
      <c r="D391" s="1">
        <v>0</v>
      </c>
      <c r="E391">
        <f>D391*C391</f>
        <v>0</v>
      </c>
      <c r="F391" s="1" t="s">
        <v>1065</v>
      </c>
      <c r="G391" s="17">
        <v>77570</v>
      </c>
    </row>
    <row r="392" spans="1:7">
      <c r="A392" s="1" t="s">
        <v>1066</v>
      </c>
      <c r="B392" s="1" t="s">
        <v>1067</v>
      </c>
      <c r="C392">
        <f>(1-(B7/100))*14.42</f>
        <v>14.42</v>
      </c>
      <c r="D392" s="1">
        <v>0</v>
      </c>
      <c r="E392">
        <f>D392*C392</f>
        <v>0</v>
      </c>
      <c r="F392" s="1" t="s">
        <v>1068</v>
      </c>
      <c r="G392" s="17">
        <v>77571</v>
      </c>
    </row>
    <row r="393" spans="1:7">
      <c r="A393" s="1" t="s">
        <v>1069</v>
      </c>
      <c r="B393" s="1" t="s">
        <v>1070</v>
      </c>
      <c r="C393">
        <f>(1-(B7/100))*63.53</f>
        <v>63.53</v>
      </c>
      <c r="D393" s="1">
        <v>0</v>
      </c>
      <c r="E393">
        <f>D393*C393</f>
        <v>0</v>
      </c>
      <c r="F393" s="1" t="s">
        <v>1071</v>
      </c>
      <c r="G393" s="17">
        <v>77572</v>
      </c>
    </row>
    <row r="394" spans="1:7">
      <c r="A394" s="1" t="s">
        <v>1072</v>
      </c>
      <c r="B394" s="1" t="s">
        <v>1073</v>
      </c>
      <c r="C394">
        <f>(1-(B7/100))*76.75</f>
        <v>76.75</v>
      </c>
      <c r="D394" s="1">
        <v>0</v>
      </c>
      <c r="E394">
        <f>D394*C394</f>
        <v>0</v>
      </c>
      <c r="F394" s="1" t="s">
        <v>1074</v>
      </c>
      <c r="G394" s="17">
        <v>77574</v>
      </c>
    </row>
    <row r="395" spans="1:7">
      <c r="A395" s="1" t="s">
        <v>1075</v>
      </c>
      <c r="B395" s="1" t="s">
        <v>1049</v>
      </c>
      <c r="C395">
        <f>(1-(B7/100))*411.18</f>
        <v>411.18</v>
      </c>
      <c r="D395" s="1">
        <v>0</v>
      </c>
      <c r="E395">
        <f>D395*C395</f>
        <v>0</v>
      </c>
      <c r="F395" s="1" t="s">
        <v>1076</v>
      </c>
      <c r="G395" s="17">
        <v>77576</v>
      </c>
    </row>
    <row r="396" spans="1:7">
      <c r="A396" s="1" t="s">
        <v>1077</v>
      </c>
      <c r="B396" s="1" t="s">
        <v>1078</v>
      </c>
      <c r="C396">
        <f>(1-(B7/100))*17.29</f>
        <v>17.29</v>
      </c>
      <c r="D396" s="1">
        <v>0</v>
      </c>
      <c r="E396">
        <f>D396*C396</f>
        <v>0</v>
      </c>
      <c r="F396" s="1" t="s">
        <v>1079</v>
      </c>
      <c r="G396" s="17">
        <v>77577</v>
      </c>
    </row>
    <row r="397" spans="1:7">
      <c r="A397" s="1" t="s">
        <v>1080</v>
      </c>
      <c r="B397" s="1" t="s">
        <v>1081</v>
      </c>
      <c r="C397">
        <f>(1-(B7/100))*38.64</f>
        <v>38.64</v>
      </c>
      <c r="D397" s="1">
        <v>0</v>
      </c>
      <c r="E397">
        <f>D397*C397</f>
        <v>0</v>
      </c>
      <c r="F397" s="1" t="s">
        <v>1082</v>
      </c>
      <c r="G397" s="17">
        <v>77581</v>
      </c>
    </row>
    <row r="398" spans="1:7">
      <c r="A398" s="1" t="s">
        <v>1083</v>
      </c>
      <c r="B398" s="1" t="s">
        <v>1084</v>
      </c>
      <c r="C398">
        <f>(1-(B7/100))*42.91</f>
        <v>42.91</v>
      </c>
      <c r="D398" s="1">
        <v>0</v>
      </c>
      <c r="E398">
        <f>D398*C398</f>
        <v>0</v>
      </c>
      <c r="F398" s="1" t="s">
        <v>1085</v>
      </c>
      <c r="G398" s="17">
        <v>77582</v>
      </c>
    </row>
    <row r="399" spans="1:7">
      <c r="A399" s="1" t="s">
        <v>1086</v>
      </c>
      <c r="B399" s="1" t="s">
        <v>1087</v>
      </c>
      <c r="C399">
        <f>(1-(B7/100))*149.83</f>
        <v>149.83</v>
      </c>
      <c r="D399" s="1">
        <v>0</v>
      </c>
      <c r="E399">
        <f>D399*C399</f>
        <v>0</v>
      </c>
      <c r="F399" s="1" t="s">
        <v>1088</v>
      </c>
      <c r="G399" s="17">
        <v>77589</v>
      </c>
    </row>
    <row r="400" spans="1:7">
      <c r="A400" s="1" t="s">
        <v>1089</v>
      </c>
      <c r="B400" s="1" t="s">
        <v>1090</v>
      </c>
      <c r="C400">
        <f>(1-(B7/100))*178.24</f>
        <v>178.24</v>
      </c>
      <c r="D400" s="1">
        <v>0</v>
      </c>
      <c r="E400">
        <f>D400*C400</f>
        <v>0</v>
      </c>
      <c r="F400" s="1" t="s">
        <v>1091</v>
      </c>
      <c r="G400" s="17">
        <v>77590</v>
      </c>
    </row>
    <row r="401" spans="1:7">
      <c r="A401" s="1" t="s">
        <v>1092</v>
      </c>
      <c r="B401" s="1" t="s">
        <v>1093</v>
      </c>
      <c r="C401">
        <f>(1-(B7/100))*24.84</f>
        <v>24.84</v>
      </c>
      <c r="D401" s="1">
        <v>0</v>
      </c>
      <c r="E401">
        <f>D401*C401</f>
        <v>0</v>
      </c>
      <c r="F401" s="1" t="s">
        <v>1094</v>
      </c>
      <c r="G401" s="17">
        <v>77591</v>
      </c>
    </row>
    <row r="402" spans="1:7">
      <c r="A402" s="1" t="s">
        <v>1095</v>
      </c>
      <c r="B402" s="1" t="s">
        <v>1096</v>
      </c>
      <c r="C402">
        <f>(1-(B7/100))*25.13</f>
        <v>25.13</v>
      </c>
      <c r="D402" s="1">
        <v>0</v>
      </c>
      <c r="E402">
        <f>D402*C402</f>
        <v>0</v>
      </c>
      <c r="F402" s="1" t="s">
        <v>1097</v>
      </c>
      <c r="G402" s="17">
        <v>77592</v>
      </c>
    </row>
    <row r="403" spans="1:7">
      <c r="A403" s="1" t="s">
        <v>1098</v>
      </c>
      <c r="B403" s="1" t="s">
        <v>1099</v>
      </c>
      <c r="C403">
        <f>(1-(B7/100))*240.41</f>
        <v>240.41</v>
      </c>
      <c r="D403" s="1">
        <v>0</v>
      </c>
      <c r="E403">
        <f>D403*C403</f>
        <v>0</v>
      </c>
      <c r="F403" s="1" t="s">
        <v>1100</v>
      </c>
      <c r="G403" s="17">
        <v>77594</v>
      </c>
    </row>
    <row r="404" spans="1:7">
      <c r="A404" s="1" t="s">
        <v>1101</v>
      </c>
      <c r="B404" s="1" t="s">
        <v>1102</v>
      </c>
      <c r="C404">
        <f>(1-(B7/100))*171.85</f>
        <v>171.85</v>
      </c>
      <c r="D404" s="1">
        <v>0</v>
      </c>
      <c r="E404">
        <f>D404*C404</f>
        <v>0</v>
      </c>
      <c r="F404" s="1" t="s">
        <v>1103</v>
      </c>
      <c r="G404" s="17">
        <v>77595</v>
      </c>
    </row>
    <row r="405" spans="1:7">
      <c r="A405" s="1" t="s">
        <v>1104</v>
      </c>
      <c r="B405" s="1" t="s">
        <v>1105</v>
      </c>
      <c r="C405">
        <f>(1-(B7/100))*182.95</f>
        <v>182.95</v>
      </c>
      <c r="D405" s="1">
        <v>0</v>
      </c>
      <c r="E405">
        <f>D405*C405</f>
        <v>0</v>
      </c>
      <c r="F405" s="1" t="s">
        <v>1106</v>
      </c>
      <c r="G405" s="17">
        <v>77596</v>
      </c>
    </row>
    <row r="406" spans="1:7">
      <c r="A406" s="1" t="s">
        <v>1107</v>
      </c>
      <c r="B406" s="1" t="s">
        <v>1108</v>
      </c>
      <c r="C406">
        <f>(1-(B7/100))*527.41</f>
        <v>527.41</v>
      </c>
      <c r="D406" s="1">
        <v>0</v>
      </c>
      <c r="E406">
        <f>D406*C406</f>
        <v>0</v>
      </c>
      <c r="F406" s="1" t="s">
        <v>1109</v>
      </c>
      <c r="G406" s="17">
        <v>77600</v>
      </c>
    </row>
    <row r="407" spans="1:7">
      <c r="A407" s="1" t="s">
        <v>1110</v>
      </c>
      <c r="B407" s="1" t="s">
        <v>1111</v>
      </c>
      <c r="C407">
        <f>(1-(B7/100))*359.87</f>
        <v>359.87</v>
      </c>
      <c r="D407" s="1">
        <v>0</v>
      </c>
      <c r="E407">
        <f>D407*C407</f>
        <v>0</v>
      </c>
      <c r="F407" s="1" t="s">
        <v>1112</v>
      </c>
      <c r="G407" s="17">
        <v>77601</v>
      </c>
    </row>
    <row r="408" spans="1:7">
      <c r="A408" s="1" t="s">
        <v>1113</v>
      </c>
      <c r="B408" s="1" t="s">
        <v>1114</v>
      </c>
      <c r="C408">
        <f>(1-(B7/100))*387.04</f>
        <v>387.04</v>
      </c>
      <c r="D408" s="1">
        <v>0</v>
      </c>
      <c r="E408">
        <f>D408*C408</f>
        <v>0</v>
      </c>
      <c r="F408" s="1" t="s">
        <v>1115</v>
      </c>
      <c r="G408" s="17">
        <v>77602</v>
      </c>
    </row>
    <row r="409" spans="1:7">
      <c r="A409" s="1" t="s">
        <v>1116</v>
      </c>
      <c r="B409" s="1" t="s">
        <v>1117</v>
      </c>
      <c r="C409">
        <f>(1-(B7/100))*427.49</f>
        <v>427.49</v>
      </c>
      <c r="D409" s="1">
        <v>0</v>
      </c>
      <c r="E409">
        <f>D409*C409</f>
        <v>0</v>
      </c>
      <c r="F409" s="1" t="s">
        <v>1118</v>
      </c>
      <c r="G409" s="17">
        <v>77603</v>
      </c>
    </row>
    <row r="410" spans="1:7">
      <c r="A410" s="1" t="s">
        <v>1119</v>
      </c>
      <c r="B410" s="1" t="s">
        <v>1120</v>
      </c>
      <c r="C410">
        <f>(1-(B7/100))*24.84</f>
        <v>24.84</v>
      </c>
      <c r="D410" s="1">
        <v>0</v>
      </c>
      <c r="E410">
        <f>D410*C410</f>
        <v>0</v>
      </c>
      <c r="F410" s="1" t="s">
        <v>1121</v>
      </c>
      <c r="G410" s="17">
        <v>77604</v>
      </c>
    </row>
    <row r="411" spans="1:7">
      <c r="A411" s="1" t="s">
        <v>1122</v>
      </c>
      <c r="B411" s="1" t="s">
        <v>1123</v>
      </c>
      <c r="C411">
        <f>(1-(B7/100))*28.5</f>
        <v>28.5</v>
      </c>
      <c r="D411" s="1">
        <v>0</v>
      </c>
      <c r="E411">
        <f>D411*C411</f>
        <v>0</v>
      </c>
      <c r="F411" s="1" t="s">
        <v>1124</v>
      </c>
      <c r="G411" s="17">
        <v>77605</v>
      </c>
    </row>
    <row r="412" spans="1:7">
      <c r="A412" s="1" t="s">
        <v>1125</v>
      </c>
      <c r="B412" s="1" t="s">
        <v>1126</v>
      </c>
      <c r="C412">
        <f>(1-(B7/100))*28.47</f>
        <v>28.47</v>
      </c>
      <c r="D412" s="1">
        <v>0</v>
      </c>
      <c r="E412">
        <f>D412*C412</f>
        <v>0</v>
      </c>
      <c r="F412" s="1" t="s">
        <v>1127</v>
      </c>
      <c r="G412" s="17">
        <v>77606</v>
      </c>
    </row>
    <row r="413" spans="1:7">
      <c r="A413" s="1" t="s">
        <v>1128</v>
      </c>
      <c r="B413" s="1" t="s">
        <v>1129</v>
      </c>
      <c r="C413">
        <f>(1-(B7/100))*26.52</f>
        <v>26.52</v>
      </c>
      <c r="D413" s="1">
        <v>0</v>
      </c>
      <c r="E413">
        <f>D413*C413</f>
        <v>0</v>
      </c>
      <c r="F413" s="1" t="s">
        <v>1130</v>
      </c>
      <c r="G413" s="17">
        <v>77610</v>
      </c>
    </row>
    <row r="414" spans="1:7">
      <c r="A414" s="1" t="s">
        <v>1131</v>
      </c>
      <c r="B414" s="1" t="s">
        <v>1132</v>
      </c>
      <c r="C414">
        <f>(1-(B7/100))*15.45</f>
        <v>15.45</v>
      </c>
      <c r="D414" s="1">
        <v>0</v>
      </c>
      <c r="E414">
        <f>D414*C414</f>
        <v>0</v>
      </c>
      <c r="F414" s="1" t="s">
        <v>1133</v>
      </c>
      <c r="G414" s="17">
        <v>77619</v>
      </c>
    </row>
    <row r="415" spans="1:7">
      <c r="A415" s="1" t="s">
        <v>1134</v>
      </c>
      <c r="B415" s="1" t="s">
        <v>1135</v>
      </c>
      <c r="C415">
        <f>(1-(B7/100))*75.35</f>
        <v>75.35</v>
      </c>
      <c r="D415" s="1">
        <v>0</v>
      </c>
      <c r="E415">
        <f>D415*C415</f>
        <v>0</v>
      </c>
      <c r="F415" s="1" t="s">
        <v>1136</v>
      </c>
      <c r="G415" s="17">
        <v>77621</v>
      </c>
    </row>
    <row r="416" spans="1:7">
      <c r="A416" s="1" t="s">
        <v>1137</v>
      </c>
      <c r="B416" s="1" t="s">
        <v>1138</v>
      </c>
      <c r="C416">
        <f>(1-(B7/100))*21.86</f>
        <v>21.86</v>
      </c>
      <c r="D416" s="1">
        <v>0</v>
      </c>
      <c r="E416">
        <f>D416*C416</f>
        <v>0</v>
      </c>
      <c r="F416" s="1" t="s">
        <v>1139</v>
      </c>
      <c r="G416" s="17">
        <v>77622</v>
      </c>
    </row>
    <row r="417" spans="1:7">
      <c r="A417" s="1" t="s">
        <v>1140</v>
      </c>
      <c r="B417" s="1" t="s">
        <v>1141</v>
      </c>
      <c r="C417">
        <f>(1-(B7/100))*33.82</f>
        <v>33.82</v>
      </c>
      <c r="D417" s="1">
        <v>0</v>
      </c>
      <c r="E417">
        <f>D417*C417</f>
        <v>0</v>
      </c>
      <c r="F417" s="1" t="s">
        <v>1142</v>
      </c>
      <c r="G417" s="17">
        <v>77627</v>
      </c>
    </row>
    <row r="418" spans="1:7">
      <c r="A418" s="1" t="s">
        <v>1143</v>
      </c>
      <c r="B418" s="1" t="s">
        <v>1144</v>
      </c>
      <c r="C418">
        <f>(1-(B7/100))*443.47</f>
        <v>443.47</v>
      </c>
      <c r="D418" s="1">
        <v>0</v>
      </c>
      <c r="E418">
        <f>D418*C418</f>
        <v>0</v>
      </c>
      <c r="F418" s="1" t="s">
        <v>1145</v>
      </c>
      <c r="G418" s="17">
        <v>77629</v>
      </c>
    </row>
    <row r="419" spans="1:7">
      <c r="A419" s="1" t="s">
        <v>1146</v>
      </c>
      <c r="B419" s="1" t="s">
        <v>1147</v>
      </c>
      <c r="C419">
        <f>(1-(B7/100))*38.64</f>
        <v>38.64</v>
      </c>
      <c r="D419" s="1">
        <v>0</v>
      </c>
      <c r="E419">
        <f>D419*C419</f>
        <v>0</v>
      </c>
      <c r="F419" s="1" t="s">
        <v>1148</v>
      </c>
      <c r="G419" s="17">
        <v>77630</v>
      </c>
    </row>
    <row r="420" spans="1:7">
      <c r="A420" s="1" t="s">
        <v>1149</v>
      </c>
      <c r="B420" s="1" t="s">
        <v>1150</v>
      </c>
      <c r="C420">
        <f>(1-(B7/100))*137.84</f>
        <v>137.84</v>
      </c>
      <c r="D420" s="1">
        <v>0</v>
      </c>
      <c r="E420">
        <f>D420*C420</f>
        <v>0</v>
      </c>
      <c r="F420" s="1" t="s">
        <v>1151</v>
      </c>
      <c r="G420" s="17">
        <v>77631</v>
      </c>
    </row>
    <row r="421" spans="1:7">
      <c r="A421" s="1" t="s">
        <v>1152</v>
      </c>
      <c r="B421" s="1" t="s">
        <v>1153</v>
      </c>
      <c r="C421">
        <f>(1-(B7/100))*224.2</f>
        <v>224.2</v>
      </c>
      <c r="D421" s="1">
        <v>0</v>
      </c>
      <c r="E421">
        <f>D421*C421</f>
        <v>0</v>
      </c>
      <c r="F421" s="1" t="s">
        <v>1154</v>
      </c>
      <c r="G421" s="17">
        <v>77635</v>
      </c>
    </row>
    <row r="422" spans="1:7">
      <c r="A422" s="1" t="s">
        <v>1155</v>
      </c>
      <c r="B422" s="1" t="s">
        <v>1156</v>
      </c>
      <c r="C422">
        <f>(1-(B7/100))*424.64</f>
        <v>424.64</v>
      </c>
      <c r="D422" s="1">
        <v>0</v>
      </c>
      <c r="E422">
        <f>D422*C422</f>
        <v>0</v>
      </c>
      <c r="F422" s="1" t="s">
        <v>1157</v>
      </c>
      <c r="G422" s="17">
        <v>77639</v>
      </c>
    </row>
    <row r="423" spans="1:7">
      <c r="A423" s="1" t="s">
        <v>1158</v>
      </c>
      <c r="B423" s="1" t="s">
        <v>1159</v>
      </c>
      <c r="C423">
        <f>(1-(B7/100))*364.94</f>
        <v>364.94</v>
      </c>
      <c r="D423" s="1">
        <v>0</v>
      </c>
      <c r="E423">
        <f>D423*C423</f>
        <v>0</v>
      </c>
      <c r="F423" s="1" t="s">
        <v>1160</v>
      </c>
      <c r="G423" s="17">
        <v>77640</v>
      </c>
    </row>
    <row r="424" spans="1:7">
      <c r="A424" s="1" t="s">
        <v>1161</v>
      </c>
      <c r="B424" s="1" t="s">
        <v>1162</v>
      </c>
      <c r="C424">
        <f>(1-(B7/100))*229.33</f>
        <v>229.33</v>
      </c>
      <c r="D424" s="1">
        <v>0</v>
      </c>
      <c r="E424">
        <f>D424*C424</f>
        <v>0</v>
      </c>
      <c r="F424" s="1" t="s">
        <v>1163</v>
      </c>
      <c r="G424" s="17">
        <v>77645</v>
      </c>
    </row>
    <row r="425" spans="1:7">
      <c r="A425" s="1" t="s">
        <v>1164</v>
      </c>
      <c r="B425" s="1" t="s">
        <v>1165</v>
      </c>
      <c r="C425">
        <f>(1-(B7/100))*482.62</f>
        <v>482.62</v>
      </c>
      <c r="D425" s="1">
        <v>0</v>
      </c>
      <c r="E425">
        <f>D425*C425</f>
        <v>0</v>
      </c>
      <c r="F425" s="1" t="s">
        <v>1166</v>
      </c>
      <c r="G425" s="17">
        <v>77649</v>
      </c>
    </row>
    <row r="426" spans="1:7">
      <c r="A426" s="1" t="s">
        <v>1167</v>
      </c>
      <c r="B426" s="1" t="s">
        <v>1168</v>
      </c>
      <c r="C426">
        <f>(1-(B7/100))*529.32</f>
        <v>529.32</v>
      </c>
      <c r="D426" s="1">
        <v>0</v>
      </c>
      <c r="E426">
        <f>D426*C426</f>
        <v>0</v>
      </c>
      <c r="F426" s="1" t="s">
        <v>1169</v>
      </c>
      <c r="G426" s="17">
        <v>77650</v>
      </c>
    </row>
    <row r="427" spans="1:7">
      <c r="A427" s="1" t="s">
        <v>1170</v>
      </c>
      <c r="B427" s="1" t="s">
        <v>1171</v>
      </c>
      <c r="C427">
        <f>(1-(B7/100))*343.23</f>
        <v>343.23</v>
      </c>
      <c r="D427" s="1">
        <v>0</v>
      </c>
      <c r="E427">
        <f>D427*C427</f>
        <v>0</v>
      </c>
      <c r="F427" s="1" t="s">
        <v>1172</v>
      </c>
      <c r="G427" s="17">
        <v>77652</v>
      </c>
    </row>
    <row r="428" spans="1:7">
      <c r="A428" s="1" t="s">
        <v>1173</v>
      </c>
      <c r="B428" s="1" t="s">
        <v>1174</v>
      </c>
      <c r="C428">
        <f>(1-(B7/100))*222.45</f>
        <v>222.45</v>
      </c>
      <c r="D428" s="1">
        <v>0</v>
      </c>
      <c r="E428">
        <f>D428*C428</f>
        <v>0</v>
      </c>
      <c r="F428" s="1" t="s">
        <v>1175</v>
      </c>
      <c r="G428" s="17">
        <v>77653</v>
      </c>
    </row>
    <row r="429" spans="1:7">
      <c r="A429" s="1" t="s">
        <v>1176</v>
      </c>
      <c r="B429" s="1" t="s">
        <v>1177</v>
      </c>
      <c r="C429">
        <f>(1-(B7/100))*22.61</f>
        <v>22.61</v>
      </c>
      <c r="D429" s="1">
        <v>0</v>
      </c>
      <c r="E429">
        <f>D429*C429</f>
        <v>0</v>
      </c>
      <c r="F429" s="1" t="s">
        <v>1178</v>
      </c>
      <c r="G429" s="17">
        <v>77654</v>
      </c>
    </row>
    <row r="430" spans="1:7">
      <c r="A430" s="1" t="s">
        <v>1179</v>
      </c>
      <c r="B430" s="1" t="s">
        <v>1180</v>
      </c>
      <c r="C430">
        <f>(1-(B7/100))*31.52</f>
        <v>31.52</v>
      </c>
      <c r="D430" s="1">
        <v>0</v>
      </c>
      <c r="E430">
        <f>D430*C430</f>
        <v>0</v>
      </c>
      <c r="F430" s="1" t="s">
        <v>1181</v>
      </c>
      <c r="G430" s="17">
        <v>77655</v>
      </c>
    </row>
    <row r="431" spans="1:7">
      <c r="A431" s="1" t="s">
        <v>1182</v>
      </c>
      <c r="B431" s="1" t="s">
        <v>1183</v>
      </c>
      <c r="C431">
        <f>(1-(B7/100))*11.6</f>
        <v>11.6</v>
      </c>
      <c r="D431" s="1">
        <v>0</v>
      </c>
      <c r="E431">
        <f>D431*C431</f>
        <v>0</v>
      </c>
      <c r="F431" s="1" t="s">
        <v>1184</v>
      </c>
      <c r="G431" s="17">
        <v>77656</v>
      </c>
    </row>
    <row r="432" spans="1:7">
      <c r="A432" s="1" t="s">
        <v>1185</v>
      </c>
      <c r="B432" s="1" t="s">
        <v>1186</v>
      </c>
      <c r="C432">
        <f>(1-(B7/100))*24.93</f>
        <v>24.93</v>
      </c>
      <c r="D432" s="1">
        <v>0</v>
      </c>
      <c r="E432">
        <f>D432*C432</f>
        <v>0</v>
      </c>
      <c r="F432" s="1" t="s">
        <v>1187</v>
      </c>
      <c r="G432" s="17">
        <v>77658</v>
      </c>
    </row>
    <row r="433" spans="1:7">
      <c r="A433" s="1" t="s">
        <v>1188</v>
      </c>
      <c r="B433" s="1" t="s">
        <v>1189</v>
      </c>
      <c r="C433">
        <f>(1-(B7/100))*79.95</f>
        <v>79.95</v>
      </c>
      <c r="D433" s="1">
        <v>0</v>
      </c>
      <c r="E433">
        <f>D433*C433</f>
        <v>0</v>
      </c>
      <c r="F433" s="1" t="s">
        <v>1190</v>
      </c>
      <c r="G433" s="17">
        <v>77660</v>
      </c>
    </row>
    <row r="434" spans="1:7">
      <c r="A434" s="1" t="s">
        <v>1191</v>
      </c>
      <c r="B434" s="1" t="s">
        <v>1192</v>
      </c>
      <c r="C434">
        <f>(1-(B7/100))*9.09</f>
        <v>9.09</v>
      </c>
      <c r="D434" s="1">
        <v>0</v>
      </c>
      <c r="E434">
        <f>D434*C434</f>
        <v>0</v>
      </c>
      <c r="F434" s="1" t="s">
        <v>1193</v>
      </c>
      <c r="G434" s="17">
        <v>77666</v>
      </c>
    </row>
    <row r="435" spans="1:7">
      <c r="A435" s="1" t="s">
        <v>1194</v>
      </c>
      <c r="B435" s="1" t="s">
        <v>1195</v>
      </c>
      <c r="C435">
        <f>(1-(B7/100))*137.84</f>
        <v>137.84</v>
      </c>
      <c r="D435" s="1">
        <v>0</v>
      </c>
      <c r="E435">
        <f>D435*C435</f>
        <v>0</v>
      </c>
      <c r="F435" s="1" t="s">
        <v>1196</v>
      </c>
      <c r="G435" s="17">
        <v>77667</v>
      </c>
    </row>
    <row r="436" spans="1:7">
      <c r="A436" s="1" t="s">
        <v>1197</v>
      </c>
      <c r="B436" s="1" t="s">
        <v>1198</v>
      </c>
      <c r="C436">
        <f>(1-(B7/100))*115.77</f>
        <v>115.77</v>
      </c>
      <c r="D436" s="1">
        <v>0</v>
      </c>
      <c r="E436">
        <f>D436*C436</f>
        <v>0</v>
      </c>
      <c r="F436" s="1" t="s">
        <v>1199</v>
      </c>
      <c r="G436" s="17">
        <v>77668</v>
      </c>
    </row>
    <row r="437" spans="1:7">
      <c r="A437" s="1" t="s">
        <v>1200</v>
      </c>
      <c r="B437" s="1" t="s">
        <v>1201</v>
      </c>
      <c r="C437">
        <f>(1-(B7/100))*806.92</f>
        <v>806.92</v>
      </c>
      <c r="D437" s="1">
        <v>0</v>
      </c>
      <c r="E437">
        <f>D437*C437</f>
        <v>0</v>
      </c>
      <c r="F437" s="1" t="s">
        <v>1202</v>
      </c>
      <c r="G437" s="17">
        <v>77669</v>
      </c>
    </row>
    <row r="438" spans="1:7">
      <c r="A438" s="1" t="s">
        <v>1203</v>
      </c>
      <c r="B438" s="1" t="s">
        <v>1204</v>
      </c>
      <c r="C438">
        <f>(1-(B7/100))*31.88</f>
        <v>31.88</v>
      </c>
      <c r="D438" s="1">
        <v>0</v>
      </c>
      <c r="E438">
        <f>D438*C438</f>
        <v>0</v>
      </c>
      <c r="F438" s="1" t="s">
        <v>1205</v>
      </c>
      <c r="G438" s="17">
        <v>77672</v>
      </c>
    </row>
    <row r="439" spans="1:7">
      <c r="A439" s="1" t="s">
        <v>1206</v>
      </c>
      <c r="B439" s="1" t="s">
        <v>1207</v>
      </c>
      <c r="C439">
        <f>(1-(B7/100))*110.27</f>
        <v>110.27</v>
      </c>
      <c r="D439" s="1">
        <v>0</v>
      </c>
      <c r="E439">
        <f>D439*C439</f>
        <v>0</v>
      </c>
      <c r="F439" s="1" t="s">
        <v>1208</v>
      </c>
      <c r="G439" s="17">
        <v>77675</v>
      </c>
    </row>
    <row r="440" spans="1:7">
      <c r="A440" s="1" t="s">
        <v>1209</v>
      </c>
      <c r="B440" s="1" t="s">
        <v>1210</v>
      </c>
      <c r="C440">
        <f>(1-(B7/100))*11.3</f>
        <v>11.3</v>
      </c>
      <c r="D440" s="1">
        <v>0</v>
      </c>
      <c r="E440">
        <f>D440*C440</f>
        <v>0</v>
      </c>
      <c r="F440" s="1" t="s">
        <v>1211</v>
      </c>
      <c r="G440" s="17">
        <v>77676</v>
      </c>
    </row>
    <row r="441" spans="1:7">
      <c r="A441" s="1" t="s">
        <v>1212</v>
      </c>
      <c r="B441" s="1" t="s">
        <v>1213</v>
      </c>
      <c r="C441">
        <f>(1-(B7/100))*25.74</f>
        <v>25.74</v>
      </c>
      <c r="D441" s="1">
        <v>0</v>
      </c>
      <c r="E441">
        <f>D441*C441</f>
        <v>0</v>
      </c>
      <c r="F441" s="1" t="s">
        <v>1214</v>
      </c>
      <c r="G441" s="17">
        <v>77677</v>
      </c>
    </row>
    <row r="442" spans="1:7">
      <c r="A442" s="1" t="s">
        <v>1215</v>
      </c>
      <c r="B442" s="1" t="s">
        <v>1216</v>
      </c>
      <c r="C442">
        <f>(1-(B7/100))*21.55</f>
        <v>21.55</v>
      </c>
      <c r="D442" s="1">
        <v>0</v>
      </c>
      <c r="E442">
        <f>D442*C442</f>
        <v>0</v>
      </c>
      <c r="F442" s="1" t="s">
        <v>1217</v>
      </c>
      <c r="G442" s="17">
        <v>77678</v>
      </c>
    </row>
    <row r="443" spans="1:7">
      <c r="A443" s="1" t="s">
        <v>1218</v>
      </c>
      <c r="B443" s="1" t="s">
        <v>1219</v>
      </c>
      <c r="C443">
        <f>(1-(B7/100))*431.94</f>
        <v>431.94</v>
      </c>
      <c r="D443" s="1">
        <v>0</v>
      </c>
      <c r="E443">
        <f>D443*C443</f>
        <v>0</v>
      </c>
      <c r="F443" s="1" t="s">
        <v>1220</v>
      </c>
      <c r="G443" s="17">
        <v>77682</v>
      </c>
    </row>
    <row r="444" spans="1:7">
      <c r="A444" s="1" t="s">
        <v>1221</v>
      </c>
      <c r="B444" s="1" t="s">
        <v>1222</v>
      </c>
      <c r="C444">
        <f>(1-(B7/100))*263.94</f>
        <v>263.94</v>
      </c>
      <c r="D444" s="1">
        <v>0</v>
      </c>
      <c r="E444">
        <f>D444*C444</f>
        <v>0</v>
      </c>
      <c r="F444" s="1" t="s">
        <v>1223</v>
      </c>
      <c r="G444" s="17">
        <v>77683</v>
      </c>
    </row>
    <row r="445" spans="1:7">
      <c r="A445" s="1" t="s">
        <v>1224</v>
      </c>
      <c r="B445" s="1" t="s">
        <v>1225</v>
      </c>
      <c r="C445">
        <f>(1-(B7/100))*415.59</f>
        <v>415.59</v>
      </c>
      <c r="D445" s="1">
        <v>0</v>
      </c>
      <c r="E445">
        <f>D445*C445</f>
        <v>0</v>
      </c>
      <c r="F445" s="1" t="s">
        <v>1226</v>
      </c>
      <c r="G445" s="17">
        <v>77688</v>
      </c>
    </row>
    <row r="446" spans="1:7">
      <c r="A446" s="1" t="s">
        <v>1227</v>
      </c>
      <c r="B446" s="1" t="s">
        <v>1228</v>
      </c>
      <c r="C446">
        <f>(1-(B7/100))*477.62</f>
        <v>477.62</v>
      </c>
      <c r="D446" s="1">
        <v>0</v>
      </c>
      <c r="E446">
        <f>D446*C446</f>
        <v>0</v>
      </c>
      <c r="F446" s="1" t="s">
        <v>1229</v>
      </c>
      <c r="G446" s="17">
        <v>77689</v>
      </c>
    </row>
    <row r="447" spans="1:7">
      <c r="A447" s="1" t="s">
        <v>1230</v>
      </c>
      <c r="B447" s="1" t="s">
        <v>1231</v>
      </c>
      <c r="C447">
        <f>(1-(B7/100))*10.46</f>
        <v>10.46</v>
      </c>
      <c r="D447" s="1">
        <v>0</v>
      </c>
      <c r="E447">
        <f>D447*C447</f>
        <v>0</v>
      </c>
      <c r="F447" s="1" t="s">
        <v>1232</v>
      </c>
      <c r="G447" s="17">
        <v>77691</v>
      </c>
    </row>
    <row r="448" spans="1:7">
      <c r="A448" s="1" t="s">
        <v>1233</v>
      </c>
      <c r="B448" s="1" t="s">
        <v>1234</v>
      </c>
      <c r="C448">
        <f>(1-(B7/100))*384.67</f>
        <v>384.67</v>
      </c>
      <c r="D448" s="1">
        <v>0</v>
      </c>
      <c r="E448">
        <f>D448*C448</f>
        <v>0</v>
      </c>
      <c r="F448" s="1" t="s">
        <v>1235</v>
      </c>
      <c r="G448" s="17">
        <v>77692</v>
      </c>
    </row>
    <row r="449" spans="1:7">
      <c r="A449" s="1" t="s">
        <v>1236</v>
      </c>
      <c r="B449" s="1" t="s">
        <v>1237</v>
      </c>
      <c r="C449">
        <f>(1-(B7/100))*31.11</f>
        <v>31.11</v>
      </c>
      <c r="D449" s="1">
        <v>0</v>
      </c>
      <c r="E449">
        <f>D449*C449</f>
        <v>0</v>
      </c>
      <c r="F449" s="1" t="s">
        <v>1238</v>
      </c>
      <c r="G449" s="17">
        <v>77693</v>
      </c>
    </row>
    <row r="450" spans="1:7">
      <c r="A450" s="1" t="s">
        <v>1239</v>
      </c>
      <c r="B450" s="1" t="s">
        <v>1240</v>
      </c>
      <c r="C450">
        <f>(1-(B7/100))*97.18</f>
        <v>97.18</v>
      </c>
      <c r="D450" s="1">
        <v>0</v>
      </c>
      <c r="E450">
        <f>D450*C450</f>
        <v>0</v>
      </c>
      <c r="F450" s="1" t="s">
        <v>1241</v>
      </c>
      <c r="G450" s="17">
        <v>77695</v>
      </c>
    </row>
    <row r="451" spans="1:7">
      <c r="A451" s="1" t="s">
        <v>1242</v>
      </c>
      <c r="B451" s="1" t="s">
        <v>1243</v>
      </c>
      <c r="C451">
        <f>(1-(B7/100))*73.25</f>
        <v>73.25</v>
      </c>
      <c r="D451" s="1">
        <v>0</v>
      </c>
      <c r="E451">
        <f>D451*C451</f>
        <v>0</v>
      </c>
      <c r="F451" s="1" t="s">
        <v>1244</v>
      </c>
      <c r="G451" s="17">
        <v>77697</v>
      </c>
    </row>
    <row r="452" spans="1:7">
      <c r="A452" s="1" t="s">
        <v>1245</v>
      </c>
      <c r="B452" s="1" t="s">
        <v>1246</v>
      </c>
      <c r="C452">
        <f>(1-(B7/100))*732.92</f>
        <v>732.92</v>
      </c>
      <c r="D452" s="1">
        <v>0</v>
      </c>
      <c r="E452">
        <f>D452*C452</f>
        <v>0</v>
      </c>
      <c r="F452" s="1" t="s">
        <v>1247</v>
      </c>
      <c r="G452" s="17">
        <v>77701</v>
      </c>
    </row>
    <row r="453" spans="1:7">
      <c r="A453" s="1" t="s">
        <v>1248</v>
      </c>
      <c r="B453" s="1" t="s">
        <v>1249</v>
      </c>
      <c r="C453">
        <f>(1-(B7/100))*15.45</f>
        <v>15.45</v>
      </c>
      <c r="D453" s="1">
        <v>0</v>
      </c>
      <c r="E453">
        <f>D453*C453</f>
        <v>0</v>
      </c>
      <c r="F453" s="1" t="s">
        <v>1250</v>
      </c>
      <c r="G453" s="17">
        <v>77702</v>
      </c>
    </row>
    <row r="454" spans="1:7">
      <c r="A454" s="1" t="s">
        <v>1251</v>
      </c>
      <c r="B454" s="1" t="s">
        <v>1252</v>
      </c>
      <c r="C454">
        <f>(1-(B7/100))*15.81</f>
        <v>15.81</v>
      </c>
      <c r="D454" s="1">
        <v>0</v>
      </c>
      <c r="E454">
        <f>D454*C454</f>
        <v>0</v>
      </c>
      <c r="F454" s="1" t="s">
        <v>1253</v>
      </c>
      <c r="G454" s="17">
        <v>77704</v>
      </c>
    </row>
    <row r="455" spans="1:7">
      <c r="A455" s="1" t="s">
        <v>1254</v>
      </c>
      <c r="B455" s="1" t="s">
        <v>1255</v>
      </c>
      <c r="C455">
        <f>(1-(B7/100))*298.51</f>
        <v>298.51</v>
      </c>
      <c r="D455" s="1">
        <v>0</v>
      </c>
      <c r="E455">
        <f>D455*C455</f>
        <v>0</v>
      </c>
      <c r="F455" s="1" t="s">
        <v>1256</v>
      </c>
      <c r="G455" s="17">
        <v>77709</v>
      </c>
    </row>
    <row r="456" spans="1:7">
      <c r="A456" s="1" t="s">
        <v>1257</v>
      </c>
      <c r="B456" s="1" t="s">
        <v>1258</v>
      </c>
      <c r="C456">
        <f>(1-(B7/100))*23.58</f>
        <v>23.58</v>
      </c>
      <c r="D456" s="1">
        <v>0</v>
      </c>
      <c r="E456">
        <f>D456*C456</f>
        <v>0</v>
      </c>
      <c r="F456" s="1" t="s">
        <v>1259</v>
      </c>
      <c r="G456" s="17">
        <v>77712</v>
      </c>
    </row>
    <row r="457" spans="1:7">
      <c r="A457" s="1" t="s">
        <v>1260</v>
      </c>
      <c r="B457" s="1" t="s">
        <v>1261</v>
      </c>
      <c r="C457">
        <f>(1-(B7/100))*429.18</f>
        <v>429.18</v>
      </c>
      <c r="D457" s="1">
        <v>0</v>
      </c>
      <c r="E457">
        <f>D457*C457</f>
        <v>0</v>
      </c>
      <c r="F457" s="1" t="s">
        <v>1262</v>
      </c>
      <c r="G457" s="17">
        <v>77716</v>
      </c>
    </row>
    <row r="458" spans="1:7">
      <c r="A458" s="1" t="s">
        <v>1263</v>
      </c>
      <c r="B458" s="1" t="s">
        <v>1264</v>
      </c>
      <c r="C458">
        <f>(1-(B7/100))*1966.93</f>
        <v>1966.93</v>
      </c>
      <c r="D458" s="1">
        <v>0</v>
      </c>
      <c r="E458">
        <f>D458*C458</f>
        <v>0</v>
      </c>
      <c r="F458" s="1" t="s">
        <v>1265</v>
      </c>
      <c r="G458" s="17">
        <v>77717</v>
      </c>
    </row>
    <row r="459" spans="1:7">
      <c r="A459" s="1" t="s">
        <v>1266</v>
      </c>
      <c r="B459" s="1" t="s">
        <v>1267</v>
      </c>
      <c r="C459">
        <f>(1-(B7/100))*1853.61</f>
        <v>1853.61</v>
      </c>
      <c r="D459" s="1">
        <v>0</v>
      </c>
      <c r="E459">
        <f>D459*C459</f>
        <v>0</v>
      </c>
      <c r="F459" s="1" t="s">
        <v>1268</v>
      </c>
      <c r="G459" s="17">
        <v>77718</v>
      </c>
    </row>
    <row r="460" spans="1:7">
      <c r="A460" s="1" t="s">
        <v>1269</v>
      </c>
      <c r="B460" s="1" t="s">
        <v>1270</v>
      </c>
      <c r="C460">
        <f>(1-(B7/100))*1648.83</f>
        <v>1648.83</v>
      </c>
      <c r="D460" s="1">
        <v>0</v>
      </c>
      <c r="E460">
        <f>D460*C460</f>
        <v>0</v>
      </c>
      <c r="F460" s="1" t="s">
        <v>1271</v>
      </c>
      <c r="G460" s="17">
        <v>77728</v>
      </c>
    </row>
    <row r="461" spans="1:7">
      <c r="A461" s="1" t="s">
        <v>1272</v>
      </c>
      <c r="B461" s="1" t="s">
        <v>1273</v>
      </c>
      <c r="C461">
        <f>(1-(B7/100))*180.06</f>
        <v>180.06</v>
      </c>
      <c r="D461" s="1">
        <v>0</v>
      </c>
      <c r="E461">
        <f>D461*C461</f>
        <v>0</v>
      </c>
      <c r="F461" s="1" t="s">
        <v>1274</v>
      </c>
      <c r="G461" s="17">
        <v>77729</v>
      </c>
    </row>
    <row r="462" spans="1:7">
      <c r="A462" s="1" t="s">
        <v>1275</v>
      </c>
      <c r="B462" s="1" t="s">
        <v>1276</v>
      </c>
      <c r="C462">
        <f>(1-(B7/100))*1583.74</f>
        <v>1583.74</v>
      </c>
      <c r="D462" s="1">
        <v>0</v>
      </c>
      <c r="E462">
        <f>D462*C462</f>
        <v>0</v>
      </c>
      <c r="F462" s="1" t="s">
        <v>1277</v>
      </c>
      <c r="G462" s="17">
        <v>77731</v>
      </c>
    </row>
    <row r="463" spans="1:7">
      <c r="A463" s="1" t="s">
        <v>1278</v>
      </c>
      <c r="B463" s="1" t="s">
        <v>1279</v>
      </c>
      <c r="C463">
        <f>(1-(B7/100))*42.91</f>
        <v>42.91</v>
      </c>
      <c r="D463" s="1">
        <v>0</v>
      </c>
      <c r="E463">
        <f>D463*C463</f>
        <v>0</v>
      </c>
      <c r="F463" s="1" t="s">
        <v>1280</v>
      </c>
      <c r="G463" s="17">
        <v>77732</v>
      </c>
    </row>
    <row r="464" spans="1:7">
      <c r="A464" s="1" t="s">
        <v>1281</v>
      </c>
      <c r="B464" s="1" t="s">
        <v>1282</v>
      </c>
      <c r="C464">
        <f>(1-(B7/100))*819.87</f>
        <v>819.87</v>
      </c>
      <c r="D464" s="1">
        <v>0</v>
      </c>
      <c r="E464">
        <f>D464*C464</f>
        <v>0</v>
      </c>
      <c r="F464" s="1" t="s">
        <v>1283</v>
      </c>
      <c r="G464" s="17">
        <v>77736</v>
      </c>
    </row>
    <row r="465" spans="1:7">
      <c r="A465" s="1" t="s">
        <v>1284</v>
      </c>
      <c r="B465" s="1" t="s">
        <v>1285</v>
      </c>
      <c r="C465">
        <f>(1-(B7/100))*220.44</f>
        <v>220.44</v>
      </c>
      <c r="D465" s="1">
        <v>0</v>
      </c>
      <c r="E465">
        <f>D465*C465</f>
        <v>0</v>
      </c>
      <c r="F465" s="1" t="s">
        <v>1286</v>
      </c>
      <c r="G465" s="17">
        <v>77740</v>
      </c>
    </row>
    <row r="466" spans="1:7">
      <c r="A466" s="1" t="s">
        <v>1287</v>
      </c>
      <c r="B466" s="1" t="s">
        <v>1288</v>
      </c>
      <c r="C466">
        <f>(1-(B7/100))*603.01</f>
        <v>603.01</v>
      </c>
      <c r="D466" s="1">
        <v>0</v>
      </c>
      <c r="E466">
        <f>D466*C466</f>
        <v>0</v>
      </c>
      <c r="F466" s="1" t="s">
        <v>1289</v>
      </c>
      <c r="G466" s="17">
        <v>77742</v>
      </c>
    </row>
    <row r="467" spans="1:7">
      <c r="A467" s="1" t="s">
        <v>1290</v>
      </c>
      <c r="B467" s="1" t="s">
        <v>1291</v>
      </c>
      <c r="C467">
        <f>(1-(B7/100))*218.42</f>
        <v>218.42</v>
      </c>
      <c r="D467" s="1">
        <v>0</v>
      </c>
      <c r="E467">
        <f>D467*C467</f>
        <v>0</v>
      </c>
      <c r="F467" s="1" t="s">
        <v>1292</v>
      </c>
      <c r="G467" s="17">
        <v>77744</v>
      </c>
    </row>
    <row r="468" spans="1:7">
      <c r="A468" s="1" t="s">
        <v>1293</v>
      </c>
      <c r="B468" s="1" t="s">
        <v>1294</v>
      </c>
      <c r="C468">
        <f>(1-(B7/100))*707.94</f>
        <v>707.94</v>
      </c>
      <c r="D468" s="1">
        <v>0</v>
      </c>
      <c r="E468">
        <f>D468*C468</f>
        <v>0</v>
      </c>
      <c r="F468" s="1" t="s">
        <v>1295</v>
      </c>
      <c r="G468" s="17">
        <v>77747</v>
      </c>
    </row>
    <row r="469" spans="1:7">
      <c r="A469" s="1" t="s">
        <v>1296</v>
      </c>
      <c r="B469" s="1" t="s">
        <v>1297</v>
      </c>
      <c r="C469">
        <f>(1-(B7/100))*518.26</f>
        <v>518.26</v>
      </c>
      <c r="D469" s="1">
        <v>0</v>
      </c>
      <c r="E469">
        <f>D469*C469</f>
        <v>0</v>
      </c>
      <c r="F469" s="1" t="s">
        <v>1298</v>
      </c>
      <c r="G469" s="17">
        <v>77749</v>
      </c>
    </row>
    <row r="470" spans="1:7">
      <c r="A470" s="1" t="s">
        <v>1299</v>
      </c>
      <c r="B470" s="1" t="s">
        <v>1300</v>
      </c>
      <c r="C470">
        <f>(1-(B7/100))*231.64</f>
        <v>231.64</v>
      </c>
      <c r="D470" s="1">
        <v>0</v>
      </c>
      <c r="E470">
        <f>D470*C470</f>
        <v>0</v>
      </c>
      <c r="F470" s="1" t="s">
        <v>1301</v>
      </c>
      <c r="G470" s="17">
        <v>77751</v>
      </c>
    </row>
    <row r="471" spans="1:7">
      <c r="A471" s="1" t="s">
        <v>1302</v>
      </c>
      <c r="B471" s="1" t="s">
        <v>1303</v>
      </c>
      <c r="C471">
        <f>(1-(B7/100))*207.72</f>
        <v>207.72</v>
      </c>
      <c r="D471" s="1">
        <v>0</v>
      </c>
      <c r="E471">
        <f>D471*C471</f>
        <v>0</v>
      </c>
      <c r="F471" s="1" t="s">
        <v>1304</v>
      </c>
      <c r="G471" s="17">
        <v>77752</v>
      </c>
    </row>
    <row r="472" spans="1:7">
      <c r="A472" s="1" t="s">
        <v>1305</v>
      </c>
      <c r="B472" s="1" t="s">
        <v>1306</v>
      </c>
      <c r="C472">
        <f>(1-(B7/100))*440.04</f>
        <v>440.04</v>
      </c>
      <c r="D472" s="1">
        <v>0</v>
      </c>
      <c r="E472">
        <f>D472*C472</f>
        <v>0</v>
      </c>
      <c r="F472" s="1" t="s">
        <v>1307</v>
      </c>
      <c r="G472" s="17">
        <v>77753</v>
      </c>
    </row>
    <row r="473" spans="1:7">
      <c r="A473" s="1" t="s">
        <v>1308</v>
      </c>
      <c r="B473" s="1" t="s">
        <v>1309</v>
      </c>
      <c r="C473">
        <f>(1-(B7/100))*54.63</f>
        <v>54.63</v>
      </c>
      <c r="D473" s="1">
        <v>0</v>
      </c>
      <c r="E473">
        <f>D473*C473</f>
        <v>0</v>
      </c>
      <c r="F473" s="1" t="s">
        <v>1310</v>
      </c>
      <c r="G473" s="17">
        <v>77757</v>
      </c>
    </row>
    <row r="474" spans="1:7">
      <c r="A474" s="1" t="s">
        <v>1311</v>
      </c>
      <c r="B474" s="1" t="s">
        <v>1312</v>
      </c>
      <c r="C474">
        <f>(1-(B7/100))*29.13</f>
        <v>29.13</v>
      </c>
      <c r="D474" s="1">
        <v>0</v>
      </c>
      <c r="E474">
        <f>D474*C474</f>
        <v>0</v>
      </c>
      <c r="F474" s="1" t="s">
        <v>1313</v>
      </c>
      <c r="G474" s="17">
        <v>77758</v>
      </c>
    </row>
    <row r="475" spans="1:7">
      <c r="A475" s="1" t="s">
        <v>1314</v>
      </c>
      <c r="B475" s="1" t="s">
        <v>1315</v>
      </c>
      <c r="C475">
        <f>(1-(B7/100))*47.33</f>
        <v>47.33</v>
      </c>
      <c r="D475" s="1">
        <v>0</v>
      </c>
      <c r="E475">
        <f>D475*C475</f>
        <v>0</v>
      </c>
      <c r="F475" s="1" t="s">
        <v>1316</v>
      </c>
      <c r="G475" s="17">
        <v>77760</v>
      </c>
    </row>
    <row r="476" spans="1:7">
      <c r="A476" s="1" t="s">
        <v>1317</v>
      </c>
      <c r="B476" s="1" t="s">
        <v>1318</v>
      </c>
      <c r="C476">
        <f>(1-(B7/100))*37.75</f>
        <v>37.75</v>
      </c>
      <c r="D476" s="1">
        <v>0</v>
      </c>
      <c r="E476">
        <f>D476*C476</f>
        <v>0</v>
      </c>
      <c r="F476" s="1" t="s">
        <v>1319</v>
      </c>
      <c r="G476" s="17">
        <v>77762</v>
      </c>
    </row>
    <row r="477" spans="1:7">
      <c r="A477" s="1" t="s">
        <v>1320</v>
      </c>
      <c r="B477" s="1" t="s">
        <v>1321</v>
      </c>
      <c r="C477">
        <f>(1-(B7/100))*267.94</f>
        <v>267.94</v>
      </c>
      <c r="D477" s="1">
        <v>0</v>
      </c>
      <c r="E477">
        <f>D477*C477</f>
        <v>0</v>
      </c>
      <c r="F477" s="1" t="s">
        <v>1322</v>
      </c>
      <c r="G477" s="17">
        <v>77765</v>
      </c>
    </row>
    <row r="478" spans="1:7">
      <c r="A478" s="1" t="s">
        <v>1323</v>
      </c>
      <c r="B478" s="1" t="s">
        <v>1324</v>
      </c>
      <c r="C478">
        <f>(1-(B7/100))*226.99</f>
        <v>226.99</v>
      </c>
      <c r="D478" s="1">
        <v>0</v>
      </c>
      <c r="E478">
        <f>D478*C478</f>
        <v>0</v>
      </c>
      <c r="F478" s="1" t="s">
        <v>1325</v>
      </c>
      <c r="G478" s="17">
        <v>77767</v>
      </c>
    </row>
    <row r="479" spans="1:7">
      <c r="A479" s="1" t="s">
        <v>1326</v>
      </c>
      <c r="B479" s="1" t="s">
        <v>1327</v>
      </c>
      <c r="C479">
        <f>(1-(B7/100))*27.52</f>
        <v>27.52</v>
      </c>
      <c r="D479" s="1">
        <v>0</v>
      </c>
      <c r="E479">
        <f>D479*C479</f>
        <v>0</v>
      </c>
      <c r="F479" s="1" t="s">
        <v>1328</v>
      </c>
      <c r="G479" s="17">
        <v>77769</v>
      </c>
    </row>
    <row r="480" spans="1:7">
      <c r="A480" s="1" t="s">
        <v>1329</v>
      </c>
      <c r="B480" s="1" t="s">
        <v>1330</v>
      </c>
      <c r="C480">
        <f>(1-(B7/100))*41.5</f>
        <v>41.5</v>
      </c>
      <c r="D480" s="1">
        <v>0</v>
      </c>
      <c r="E480">
        <f>D480*C480</f>
        <v>0</v>
      </c>
      <c r="F480" s="1" t="s">
        <v>1331</v>
      </c>
      <c r="G480" s="17">
        <v>77770</v>
      </c>
    </row>
    <row r="481" spans="1:7">
      <c r="A481" s="1" t="s">
        <v>1332</v>
      </c>
      <c r="B481" s="1" t="s">
        <v>1333</v>
      </c>
      <c r="C481">
        <f>(1-(B7/100))*50.57</f>
        <v>50.57</v>
      </c>
      <c r="D481" s="1">
        <v>0</v>
      </c>
      <c r="E481">
        <f>D481*C481</f>
        <v>0</v>
      </c>
      <c r="F481" s="1" t="s">
        <v>1334</v>
      </c>
      <c r="G481" s="17">
        <v>77771</v>
      </c>
    </row>
    <row r="482" spans="1:7">
      <c r="A482" s="1" t="s">
        <v>1335</v>
      </c>
      <c r="B482" s="1" t="s">
        <v>1336</v>
      </c>
      <c r="C482">
        <f>(1-(B7/100))*59.02</f>
        <v>59.02</v>
      </c>
      <c r="D482" s="1">
        <v>0</v>
      </c>
      <c r="E482">
        <f>D482*C482</f>
        <v>0</v>
      </c>
      <c r="F482" s="1" t="s">
        <v>1337</v>
      </c>
      <c r="G482" s="17">
        <v>77772</v>
      </c>
    </row>
    <row r="483" spans="1:7">
      <c r="A483" s="1" t="s">
        <v>1338</v>
      </c>
      <c r="B483" s="1" t="s">
        <v>1339</v>
      </c>
      <c r="C483">
        <f>(1-(B7/100))*397.04</f>
        <v>397.04</v>
      </c>
      <c r="D483" s="1">
        <v>0</v>
      </c>
      <c r="E483">
        <f>D483*C483</f>
        <v>0</v>
      </c>
      <c r="F483" s="1" t="s">
        <v>1340</v>
      </c>
      <c r="G483" s="17">
        <v>77774</v>
      </c>
    </row>
    <row r="484" spans="1:7">
      <c r="A484" s="1" t="s">
        <v>1341</v>
      </c>
      <c r="B484" s="1" t="s">
        <v>1342</v>
      </c>
      <c r="C484">
        <f>(1-(B7/100))*377.88</f>
        <v>377.88</v>
      </c>
      <c r="D484" s="1">
        <v>0</v>
      </c>
      <c r="E484">
        <f>D484*C484</f>
        <v>0</v>
      </c>
      <c r="F484" s="1" t="s">
        <v>1343</v>
      </c>
      <c r="G484" s="17">
        <v>77776</v>
      </c>
    </row>
    <row r="485" spans="1:7">
      <c r="A485" s="1" t="s">
        <v>1344</v>
      </c>
      <c r="B485" s="1" t="s">
        <v>1345</v>
      </c>
      <c r="C485">
        <f>(1-(B7/100))*77.74</f>
        <v>77.74</v>
      </c>
      <c r="D485" s="1">
        <v>0</v>
      </c>
      <c r="E485">
        <f>D485*C485</f>
        <v>0</v>
      </c>
      <c r="F485" s="1" t="s">
        <v>1346</v>
      </c>
      <c r="G485" s="17">
        <v>77777</v>
      </c>
    </row>
    <row r="486" spans="1:7">
      <c r="A486" s="1" t="s">
        <v>1347</v>
      </c>
      <c r="B486" s="1" t="s">
        <v>1348</v>
      </c>
      <c r="C486">
        <f>(1-(B7/100))*98.16</f>
        <v>98.16</v>
      </c>
      <c r="D486" s="1">
        <v>0</v>
      </c>
      <c r="E486">
        <f>D486*C486</f>
        <v>0</v>
      </c>
      <c r="F486" s="1" t="s">
        <v>1349</v>
      </c>
      <c r="G486" s="17">
        <v>77778</v>
      </c>
    </row>
    <row r="487" spans="1:7">
      <c r="A487" s="1" t="s">
        <v>1350</v>
      </c>
      <c r="B487" s="1" t="s">
        <v>1351</v>
      </c>
      <c r="C487">
        <f>(1-(B7/100))*137.01</f>
        <v>137.01</v>
      </c>
      <c r="D487" s="1">
        <v>0</v>
      </c>
      <c r="E487">
        <f>D487*C487</f>
        <v>0</v>
      </c>
      <c r="F487" s="1" t="s">
        <v>1352</v>
      </c>
      <c r="G487" s="17">
        <v>77779</v>
      </c>
    </row>
    <row r="488" spans="1:7">
      <c r="A488" s="1" t="s">
        <v>1353</v>
      </c>
      <c r="B488" s="1" t="s">
        <v>1354</v>
      </c>
      <c r="C488">
        <f>(1-(B7/100))*98.16</f>
        <v>98.16</v>
      </c>
      <c r="D488" s="1">
        <v>0</v>
      </c>
      <c r="E488">
        <f>D488*C488</f>
        <v>0</v>
      </c>
      <c r="F488" s="1" t="s">
        <v>1355</v>
      </c>
      <c r="G488" s="17">
        <v>77780</v>
      </c>
    </row>
    <row r="489" spans="1:7">
      <c r="A489" s="1" t="s">
        <v>1356</v>
      </c>
      <c r="B489" s="1" t="s">
        <v>1357</v>
      </c>
      <c r="C489">
        <f>(1-(B7/100))*122.62</f>
        <v>122.62</v>
      </c>
      <c r="D489" s="1">
        <v>0</v>
      </c>
      <c r="E489">
        <f>D489*C489</f>
        <v>0</v>
      </c>
      <c r="F489" s="1" t="s">
        <v>1358</v>
      </c>
      <c r="G489" s="17">
        <v>77781</v>
      </c>
    </row>
    <row r="490" spans="1:7">
      <c r="A490" s="1" t="s">
        <v>1359</v>
      </c>
      <c r="B490" s="1" t="s">
        <v>1360</v>
      </c>
      <c r="C490">
        <f>(1-(B7/100))*42.91</f>
        <v>42.91</v>
      </c>
      <c r="D490" s="1">
        <v>0</v>
      </c>
      <c r="E490">
        <f>D490*C490</f>
        <v>0</v>
      </c>
      <c r="F490" s="1" t="s">
        <v>1361</v>
      </c>
      <c r="G490" s="17">
        <v>77782</v>
      </c>
    </row>
    <row r="491" spans="1:7">
      <c r="A491" s="1" t="s">
        <v>1362</v>
      </c>
      <c r="B491" s="1" t="s">
        <v>1363</v>
      </c>
      <c r="C491">
        <f>(1-(B7/100))*42.91</f>
        <v>42.91</v>
      </c>
      <c r="D491" s="1">
        <v>0</v>
      </c>
      <c r="E491">
        <f>D491*C491</f>
        <v>0</v>
      </c>
      <c r="F491" s="1" t="s">
        <v>1364</v>
      </c>
      <c r="G491" s="17">
        <v>77783</v>
      </c>
    </row>
    <row r="492" spans="1:7">
      <c r="A492" s="1" t="s">
        <v>1365</v>
      </c>
      <c r="B492" s="1" t="s">
        <v>1366</v>
      </c>
      <c r="C492">
        <f>(1-(B7/100))*42.91</f>
        <v>42.91</v>
      </c>
      <c r="D492" s="1">
        <v>0</v>
      </c>
      <c r="E492">
        <f>D492*C492</f>
        <v>0</v>
      </c>
      <c r="F492" s="1" t="s">
        <v>1367</v>
      </c>
      <c r="G492" s="17">
        <v>77784</v>
      </c>
    </row>
    <row r="493" spans="1:7">
      <c r="A493" s="1" t="s">
        <v>1368</v>
      </c>
      <c r="B493" s="1" t="s">
        <v>1369</v>
      </c>
      <c r="C493">
        <f>(1-(B7/100))*42.91</f>
        <v>42.91</v>
      </c>
      <c r="D493" s="1">
        <v>0</v>
      </c>
      <c r="E493">
        <f>D493*C493</f>
        <v>0</v>
      </c>
      <c r="F493" s="1" t="s">
        <v>1370</v>
      </c>
      <c r="G493" s="17">
        <v>77785</v>
      </c>
    </row>
    <row r="494" spans="1:7">
      <c r="A494" s="1" t="s">
        <v>1371</v>
      </c>
      <c r="B494" s="1" t="s">
        <v>1372</v>
      </c>
      <c r="C494">
        <f>(1-(B7/100))*42.91</f>
        <v>42.91</v>
      </c>
      <c r="D494" s="1">
        <v>0</v>
      </c>
      <c r="E494">
        <f>D494*C494</f>
        <v>0</v>
      </c>
      <c r="F494" s="1" t="s">
        <v>1373</v>
      </c>
      <c r="G494" s="17">
        <v>77787</v>
      </c>
    </row>
    <row r="495" spans="1:7">
      <c r="A495" s="1" t="s">
        <v>1374</v>
      </c>
      <c r="B495" s="1" t="s">
        <v>1375</v>
      </c>
      <c r="C495">
        <f>(1-(B7/100))*42.91</f>
        <v>42.91</v>
      </c>
      <c r="D495" s="1">
        <v>0</v>
      </c>
      <c r="E495">
        <f>D495*C495</f>
        <v>0</v>
      </c>
      <c r="F495" s="1" t="s">
        <v>1376</v>
      </c>
      <c r="G495" s="17">
        <v>77788</v>
      </c>
    </row>
    <row r="496" spans="1:7">
      <c r="A496" s="1" t="s">
        <v>1377</v>
      </c>
      <c r="B496" s="1" t="s">
        <v>1378</v>
      </c>
      <c r="C496">
        <f>(1-(B7/100))*42.91</f>
        <v>42.91</v>
      </c>
      <c r="D496" s="1">
        <v>0</v>
      </c>
      <c r="E496">
        <f>D496*C496</f>
        <v>0</v>
      </c>
      <c r="F496" s="1" t="s">
        <v>1379</v>
      </c>
      <c r="G496" s="17">
        <v>77789</v>
      </c>
    </row>
    <row r="497" spans="1:7">
      <c r="A497" s="1" t="s">
        <v>1380</v>
      </c>
      <c r="B497" s="1" t="s">
        <v>1381</v>
      </c>
      <c r="C497">
        <f>(1-(B7/100))*42.91</f>
        <v>42.91</v>
      </c>
      <c r="D497" s="1">
        <v>0</v>
      </c>
      <c r="E497">
        <f>D497*C497</f>
        <v>0</v>
      </c>
      <c r="F497" s="1" t="s">
        <v>1382</v>
      </c>
      <c r="G497" s="17">
        <v>77790</v>
      </c>
    </row>
    <row r="498" spans="1:7">
      <c r="A498" s="1" t="s">
        <v>1383</v>
      </c>
      <c r="B498" s="1" t="s">
        <v>1384</v>
      </c>
      <c r="C498">
        <f>(1-(B7/100))*452.22</f>
        <v>452.22</v>
      </c>
      <c r="D498" s="1">
        <v>0</v>
      </c>
      <c r="E498">
        <f>D498*C498</f>
        <v>0</v>
      </c>
      <c r="F498" s="1" t="s">
        <v>1385</v>
      </c>
      <c r="G498" s="17">
        <v>77792</v>
      </c>
    </row>
    <row r="499" spans="1:7">
      <c r="A499" s="1" t="s">
        <v>1386</v>
      </c>
      <c r="B499" s="1" t="s">
        <v>1387</v>
      </c>
      <c r="C499">
        <f>(1-(B7/100))*261.07</f>
        <v>261.07</v>
      </c>
      <c r="D499" s="1">
        <v>0</v>
      </c>
      <c r="E499">
        <f>D499*C499</f>
        <v>0</v>
      </c>
      <c r="F499" s="1" t="s">
        <v>1388</v>
      </c>
      <c r="G499" s="17">
        <v>77794</v>
      </c>
    </row>
    <row r="500" spans="1:7">
      <c r="A500" s="1" t="s">
        <v>1389</v>
      </c>
      <c r="B500" s="1" t="s">
        <v>1390</v>
      </c>
      <c r="C500">
        <f>(1-(B7/100))*403.9</f>
        <v>403.9</v>
      </c>
      <c r="D500" s="1">
        <v>0</v>
      </c>
      <c r="E500">
        <f>D500*C500</f>
        <v>0</v>
      </c>
      <c r="F500" s="1" t="s">
        <v>1391</v>
      </c>
      <c r="G500" s="17">
        <v>77795</v>
      </c>
    </row>
    <row r="501" spans="1:7">
      <c r="A501" s="1" t="s">
        <v>1392</v>
      </c>
      <c r="B501" s="1" t="s">
        <v>1393</v>
      </c>
      <c r="C501">
        <f>(1-(B7/100))*1140.66</f>
        <v>1140.66</v>
      </c>
      <c r="D501" s="1">
        <v>0</v>
      </c>
      <c r="E501">
        <f>D501*C501</f>
        <v>0</v>
      </c>
      <c r="F501" s="1" t="s">
        <v>1394</v>
      </c>
      <c r="G501" s="17">
        <v>77797</v>
      </c>
    </row>
    <row r="502" spans="1:7">
      <c r="A502" s="1" t="s">
        <v>1395</v>
      </c>
      <c r="B502" s="1" t="s">
        <v>1396</v>
      </c>
      <c r="C502">
        <f>(1-(B7/100))*84.86</f>
        <v>84.86</v>
      </c>
      <c r="D502" s="1">
        <v>0</v>
      </c>
      <c r="E502">
        <f>D502*C502</f>
        <v>0</v>
      </c>
      <c r="F502" s="1" t="s">
        <v>1397</v>
      </c>
      <c r="G502" s="17">
        <v>77799</v>
      </c>
    </row>
    <row r="503" spans="1:7">
      <c r="A503" s="1" t="s">
        <v>1398</v>
      </c>
      <c r="B503" s="1" t="s">
        <v>1399</v>
      </c>
      <c r="C503">
        <f>(1-(B7/100))*182.61</f>
        <v>182.61</v>
      </c>
      <c r="D503" s="1">
        <v>0</v>
      </c>
      <c r="E503">
        <f>D503*C503</f>
        <v>0</v>
      </c>
      <c r="F503" s="1" t="s">
        <v>1400</v>
      </c>
      <c r="G503" s="17">
        <v>77804</v>
      </c>
    </row>
    <row r="504" spans="1:7">
      <c r="A504" s="1" t="s">
        <v>1401</v>
      </c>
      <c r="B504" s="1" t="s">
        <v>1402</v>
      </c>
      <c r="C504">
        <f>(1-(B7/100))*190.98</f>
        <v>190.98</v>
      </c>
      <c r="D504" s="1">
        <v>0</v>
      </c>
      <c r="E504">
        <f>D504*C504</f>
        <v>0</v>
      </c>
      <c r="F504" s="1" t="s">
        <v>1403</v>
      </c>
      <c r="G504" s="17">
        <v>77805</v>
      </c>
    </row>
    <row r="505" spans="1:7">
      <c r="A505" s="1" t="s">
        <v>1404</v>
      </c>
      <c r="B505" s="1" t="s">
        <v>1405</v>
      </c>
      <c r="C505">
        <f>(1-(B7/100))*207.72</f>
        <v>207.72</v>
      </c>
      <c r="D505" s="1">
        <v>0</v>
      </c>
      <c r="E505">
        <f>D505*C505</f>
        <v>0</v>
      </c>
      <c r="F505" s="1" t="s">
        <v>1406</v>
      </c>
      <c r="G505" s="17">
        <v>77807</v>
      </c>
    </row>
    <row r="506" spans="1:7">
      <c r="A506" s="1" t="s">
        <v>1407</v>
      </c>
      <c r="B506" s="1" t="s">
        <v>1408</v>
      </c>
      <c r="C506">
        <f>(1-(B7/100))*193.79</f>
        <v>193.79</v>
      </c>
      <c r="D506" s="1">
        <v>0</v>
      </c>
      <c r="E506">
        <f>D506*C506</f>
        <v>0</v>
      </c>
      <c r="F506" s="1" t="s">
        <v>1409</v>
      </c>
      <c r="G506" s="17">
        <v>77810</v>
      </c>
    </row>
    <row r="507" spans="1:7">
      <c r="A507" s="1" t="s">
        <v>1410</v>
      </c>
      <c r="B507" s="1" t="s">
        <v>1411</v>
      </c>
      <c r="C507">
        <f>(1-(B7/100))*286.92</f>
        <v>286.92</v>
      </c>
      <c r="D507" s="1">
        <v>0</v>
      </c>
      <c r="E507">
        <f>D507*C507</f>
        <v>0</v>
      </c>
      <c r="F507" s="1" t="s">
        <v>1412</v>
      </c>
      <c r="G507" s="17">
        <v>77813</v>
      </c>
    </row>
    <row r="508" spans="1:7">
      <c r="A508" s="1" t="s">
        <v>1413</v>
      </c>
      <c r="B508" s="1" t="s">
        <v>1414</v>
      </c>
      <c r="C508">
        <f>(1-(B7/100))*1014.81</f>
        <v>1014.81</v>
      </c>
      <c r="D508" s="1">
        <v>0</v>
      </c>
      <c r="E508">
        <f>D508*C508</f>
        <v>0</v>
      </c>
      <c r="F508" s="1" t="s">
        <v>1415</v>
      </c>
      <c r="G508" s="17">
        <v>77818</v>
      </c>
    </row>
    <row r="509" spans="1:7">
      <c r="A509" s="1" t="s">
        <v>1416</v>
      </c>
      <c r="B509" s="1" t="s">
        <v>1417</v>
      </c>
      <c r="C509">
        <f>(1-(B7/100))*1181.29</f>
        <v>1181.29</v>
      </c>
      <c r="D509" s="1">
        <v>0</v>
      </c>
      <c r="E509">
        <f>D509*C509</f>
        <v>0</v>
      </c>
      <c r="F509" s="1" t="s">
        <v>16</v>
      </c>
      <c r="G509" s="17">
        <v>77821</v>
      </c>
    </row>
    <row r="510" spans="1:7">
      <c r="A510" s="1" t="s">
        <v>1418</v>
      </c>
      <c r="B510" s="1" t="s">
        <v>1419</v>
      </c>
      <c r="C510">
        <f>(1-(B7/100))*1257.95</f>
        <v>1257.95</v>
      </c>
      <c r="D510" s="1">
        <v>0</v>
      </c>
      <c r="E510">
        <f>D510*C510</f>
        <v>0</v>
      </c>
      <c r="F510" s="1" t="s">
        <v>16</v>
      </c>
      <c r="G510" s="17">
        <v>77822</v>
      </c>
    </row>
    <row r="511" spans="1:7">
      <c r="A511" s="1" t="s">
        <v>1420</v>
      </c>
      <c r="B511" s="1" t="s">
        <v>1421</v>
      </c>
      <c r="C511">
        <f>(1-(B7/100))*182.71</f>
        <v>182.71</v>
      </c>
      <c r="D511" s="1">
        <v>0</v>
      </c>
      <c r="E511">
        <f>D511*C511</f>
        <v>0</v>
      </c>
      <c r="F511" s="1" t="s">
        <v>1422</v>
      </c>
      <c r="G511" s="17">
        <v>77826</v>
      </c>
    </row>
    <row r="512" spans="1:7">
      <c r="A512" s="1" t="s">
        <v>1423</v>
      </c>
      <c r="B512" s="1" t="s">
        <v>1424</v>
      </c>
      <c r="C512">
        <f>(1-(B7/100))*31.88</f>
        <v>31.88</v>
      </c>
      <c r="D512" s="1">
        <v>0</v>
      </c>
      <c r="E512">
        <f>D512*C512</f>
        <v>0</v>
      </c>
      <c r="F512" s="1" t="s">
        <v>1425</v>
      </c>
      <c r="G512" s="17">
        <v>77828</v>
      </c>
    </row>
    <row r="513" spans="1:7">
      <c r="A513" s="1" t="s">
        <v>1426</v>
      </c>
      <c r="B513" s="1" t="s">
        <v>1427</v>
      </c>
      <c r="C513">
        <f>(1-(B7/100))*44.14</f>
        <v>44.14</v>
      </c>
      <c r="D513" s="1">
        <v>0</v>
      </c>
      <c r="E513">
        <f>D513*C513</f>
        <v>0</v>
      </c>
      <c r="F513" s="1" t="s">
        <v>1428</v>
      </c>
      <c r="G513" s="17">
        <v>77829</v>
      </c>
    </row>
    <row r="514" spans="1:7">
      <c r="A514" s="1" t="s">
        <v>1429</v>
      </c>
      <c r="B514" s="1" t="s">
        <v>1430</v>
      </c>
      <c r="C514">
        <f>(1-(B7/100))*66.68</f>
        <v>66.68</v>
      </c>
      <c r="D514" s="1">
        <v>0</v>
      </c>
      <c r="E514">
        <f>D514*C514</f>
        <v>0</v>
      </c>
      <c r="F514" s="1" t="s">
        <v>1431</v>
      </c>
      <c r="G514" s="17">
        <v>77831</v>
      </c>
    </row>
    <row r="515" spans="1:7">
      <c r="A515" s="1" t="s">
        <v>1432</v>
      </c>
      <c r="B515" s="1" t="s">
        <v>1433</v>
      </c>
      <c r="C515">
        <f>(1-(B7/100))*66.68</f>
        <v>66.68</v>
      </c>
      <c r="D515" s="1">
        <v>0</v>
      </c>
      <c r="E515">
        <f>D515*C515</f>
        <v>0</v>
      </c>
      <c r="F515" s="1" t="s">
        <v>1434</v>
      </c>
      <c r="G515" s="17">
        <v>77833</v>
      </c>
    </row>
    <row r="516" spans="1:7">
      <c r="A516" s="1" t="s">
        <v>1435</v>
      </c>
      <c r="B516" s="1" t="s">
        <v>1436</v>
      </c>
      <c r="C516">
        <f>(1-(B7/100))*59.02</f>
        <v>59.02</v>
      </c>
      <c r="D516" s="1">
        <v>0</v>
      </c>
      <c r="E516">
        <f>D516*C516</f>
        <v>0</v>
      </c>
      <c r="F516" s="1" t="s">
        <v>1437</v>
      </c>
      <c r="G516" s="17">
        <v>77834</v>
      </c>
    </row>
    <row r="517" spans="1:7">
      <c r="A517" s="1" t="s">
        <v>1438</v>
      </c>
      <c r="B517" s="1" t="s">
        <v>1439</v>
      </c>
      <c r="C517">
        <f>(1-(B7/100))*33.79</f>
        <v>33.79</v>
      </c>
      <c r="D517" s="1">
        <v>0</v>
      </c>
      <c r="E517">
        <f>D517*C517</f>
        <v>0</v>
      </c>
      <c r="F517" s="1" t="s">
        <v>1440</v>
      </c>
      <c r="G517" s="17">
        <v>77835</v>
      </c>
    </row>
    <row r="518" spans="1:7">
      <c r="A518" s="1" t="s">
        <v>1441</v>
      </c>
      <c r="B518" s="1" t="s">
        <v>1442</v>
      </c>
      <c r="C518">
        <f>(1-(B7/100))*31.7</f>
        <v>31.7</v>
      </c>
      <c r="D518" s="1">
        <v>0</v>
      </c>
      <c r="E518">
        <f>D518*C518</f>
        <v>0</v>
      </c>
      <c r="F518" s="1" t="s">
        <v>1443</v>
      </c>
      <c r="G518" s="17">
        <v>77837</v>
      </c>
    </row>
    <row r="519" spans="1:7">
      <c r="A519" s="1" t="s">
        <v>1444</v>
      </c>
      <c r="B519" s="1" t="s">
        <v>1445</v>
      </c>
      <c r="C519">
        <f>(1-(B7/100))*18.41</f>
        <v>18.41</v>
      </c>
      <c r="D519" s="1">
        <v>0</v>
      </c>
      <c r="E519">
        <f>D519*C519</f>
        <v>0</v>
      </c>
      <c r="F519" s="1" t="s">
        <v>1446</v>
      </c>
      <c r="G519" s="17">
        <v>77838</v>
      </c>
    </row>
    <row r="520" spans="1:7">
      <c r="A520" s="1" t="s">
        <v>1447</v>
      </c>
      <c r="B520" s="1" t="s">
        <v>1448</v>
      </c>
      <c r="C520">
        <f>(1-(B7/100))*50.03</f>
        <v>50.03</v>
      </c>
      <c r="D520" s="1">
        <v>0</v>
      </c>
      <c r="E520">
        <f>D520*C520</f>
        <v>0</v>
      </c>
      <c r="F520" s="1" t="s">
        <v>1449</v>
      </c>
      <c r="G520" s="17">
        <v>77840</v>
      </c>
    </row>
    <row r="521" spans="1:7">
      <c r="A521" s="1" t="s">
        <v>1450</v>
      </c>
      <c r="B521" s="1" t="s">
        <v>1451</v>
      </c>
      <c r="C521">
        <f>(1-(B7/100))*34.38</f>
        <v>34.38</v>
      </c>
      <c r="D521" s="1">
        <v>0</v>
      </c>
      <c r="E521">
        <f>D521*C521</f>
        <v>0</v>
      </c>
      <c r="F521" s="1" t="s">
        <v>1452</v>
      </c>
      <c r="G521" s="17">
        <v>77846</v>
      </c>
    </row>
    <row r="522" spans="1:7">
      <c r="A522" s="1" t="s">
        <v>1453</v>
      </c>
      <c r="B522" s="1" t="s">
        <v>1454</v>
      </c>
      <c r="C522">
        <f>(1-(B7/100))*135.13</f>
        <v>135.13</v>
      </c>
      <c r="D522" s="1">
        <v>0</v>
      </c>
      <c r="E522">
        <f>D522*C522</f>
        <v>0</v>
      </c>
      <c r="F522" s="1" t="s">
        <v>1455</v>
      </c>
      <c r="G522" s="17">
        <v>77847</v>
      </c>
    </row>
    <row r="523" spans="1:7">
      <c r="A523" s="1" t="s">
        <v>1456</v>
      </c>
      <c r="B523" s="1" t="s">
        <v>1457</v>
      </c>
      <c r="C523">
        <f>(1-(B7/100))*172.82</f>
        <v>172.82</v>
      </c>
      <c r="D523" s="1">
        <v>0</v>
      </c>
      <c r="E523">
        <f>D523*C523</f>
        <v>0</v>
      </c>
      <c r="F523" s="1" t="s">
        <v>1458</v>
      </c>
      <c r="G523" s="17">
        <v>77848</v>
      </c>
    </row>
    <row r="524" spans="1:7">
      <c r="A524" s="1" t="s">
        <v>1459</v>
      </c>
      <c r="B524" s="1" t="s">
        <v>1460</v>
      </c>
      <c r="C524">
        <f>(1-(B7/100))*224.29</f>
        <v>224.29</v>
      </c>
      <c r="D524" s="1">
        <v>0</v>
      </c>
      <c r="E524">
        <f>D524*C524</f>
        <v>0</v>
      </c>
      <c r="F524" s="1" t="s">
        <v>1461</v>
      </c>
      <c r="G524" s="17">
        <v>77849</v>
      </c>
    </row>
    <row r="525" spans="1:7">
      <c r="A525" s="1" t="s">
        <v>1462</v>
      </c>
      <c r="B525" s="1" t="s">
        <v>1463</v>
      </c>
      <c r="C525">
        <f>(1-(B7/100))*236.22</f>
        <v>236.22</v>
      </c>
      <c r="D525" s="1">
        <v>0</v>
      </c>
      <c r="E525">
        <f>D525*C525</f>
        <v>0</v>
      </c>
      <c r="F525" s="1" t="s">
        <v>1464</v>
      </c>
      <c r="G525" s="17">
        <v>77854</v>
      </c>
    </row>
    <row r="526" spans="1:7">
      <c r="A526" s="1" t="s">
        <v>1465</v>
      </c>
      <c r="B526" s="1" t="s">
        <v>1466</v>
      </c>
      <c r="C526">
        <f>(1-(B7/100))*2767.55</f>
        <v>2767.55</v>
      </c>
      <c r="D526" s="1">
        <v>0</v>
      </c>
      <c r="E526">
        <f>D526*C526</f>
        <v>0</v>
      </c>
      <c r="F526" s="1" t="s">
        <v>1467</v>
      </c>
      <c r="G526" s="17">
        <v>77858</v>
      </c>
    </row>
    <row r="527" spans="1:7">
      <c r="A527" s="1" t="s">
        <v>1468</v>
      </c>
      <c r="B527" s="1" t="s">
        <v>1469</v>
      </c>
      <c r="C527">
        <f>(1-(B7/100))*1932.15</f>
        <v>1932.15</v>
      </c>
      <c r="D527" s="1">
        <v>0</v>
      </c>
      <c r="E527">
        <f>D527*C527</f>
        <v>0</v>
      </c>
      <c r="F527" s="1" t="s">
        <v>1470</v>
      </c>
      <c r="G527" s="17">
        <v>77859</v>
      </c>
    </row>
    <row r="528" spans="1:7">
      <c r="A528" s="1" t="s">
        <v>1471</v>
      </c>
      <c r="B528" s="1" t="s">
        <v>1472</v>
      </c>
      <c r="C528">
        <f>(1-(B7/100))*28.5</f>
        <v>28.5</v>
      </c>
      <c r="D528" s="1">
        <v>0</v>
      </c>
      <c r="E528">
        <f>D528*C528</f>
        <v>0</v>
      </c>
      <c r="F528" s="1" t="s">
        <v>1473</v>
      </c>
      <c r="G528" s="17">
        <v>77860</v>
      </c>
    </row>
    <row r="529" spans="1:7">
      <c r="A529" s="1" t="s">
        <v>1474</v>
      </c>
      <c r="B529" s="1" t="s">
        <v>1475</v>
      </c>
      <c r="C529">
        <f>(1-(B7/100))*326.25</f>
        <v>326.25</v>
      </c>
      <c r="D529" s="1">
        <v>0</v>
      </c>
      <c r="E529">
        <f>D529*C529</f>
        <v>0</v>
      </c>
      <c r="F529" s="1" t="s">
        <v>1476</v>
      </c>
      <c r="G529" s="17">
        <v>77863</v>
      </c>
    </row>
    <row r="530" spans="1:7">
      <c r="A530" s="1" t="s">
        <v>1477</v>
      </c>
      <c r="B530" s="1" t="s">
        <v>1478</v>
      </c>
      <c r="C530">
        <f>(1-(B7/100))*469.09</f>
        <v>469.09</v>
      </c>
      <c r="D530" s="1">
        <v>0</v>
      </c>
      <c r="E530">
        <f>D530*C530</f>
        <v>0</v>
      </c>
      <c r="F530" s="1" t="s">
        <v>1479</v>
      </c>
      <c r="G530" s="17">
        <v>77867</v>
      </c>
    </row>
    <row r="531" spans="1:7">
      <c r="A531" s="1" t="s">
        <v>1480</v>
      </c>
      <c r="B531" s="1" t="s">
        <v>1481</v>
      </c>
      <c r="C531">
        <f>(1-(B7/100))*159.28</f>
        <v>159.28</v>
      </c>
      <c r="D531" s="1">
        <v>0</v>
      </c>
      <c r="E531">
        <f>D531*C531</f>
        <v>0</v>
      </c>
      <c r="F531" s="1" t="s">
        <v>1482</v>
      </c>
      <c r="G531" s="17">
        <v>77874</v>
      </c>
    </row>
    <row r="532" spans="1:7">
      <c r="A532" s="1" t="s">
        <v>1483</v>
      </c>
      <c r="B532" s="1" t="s">
        <v>1484</v>
      </c>
      <c r="C532">
        <f>(1-(B7/100))*259.92</f>
        <v>259.92</v>
      </c>
      <c r="D532" s="1">
        <v>0</v>
      </c>
      <c r="E532">
        <f>D532*C532</f>
        <v>0</v>
      </c>
      <c r="F532" s="1" t="s">
        <v>1485</v>
      </c>
      <c r="G532" s="17">
        <v>77876</v>
      </c>
    </row>
    <row r="533" spans="1:7">
      <c r="A533" s="1" t="s">
        <v>1486</v>
      </c>
      <c r="B533" s="1" t="s">
        <v>1487</v>
      </c>
      <c r="C533">
        <f>(1-(B7/100))*344.19</f>
        <v>344.19</v>
      </c>
      <c r="D533" s="1">
        <v>0</v>
      </c>
      <c r="E533">
        <f>D533*C533</f>
        <v>0</v>
      </c>
      <c r="F533" s="1" t="s">
        <v>1488</v>
      </c>
      <c r="G533" s="17">
        <v>77881</v>
      </c>
    </row>
    <row r="534" spans="1:7">
      <c r="A534" s="1" t="s">
        <v>1489</v>
      </c>
      <c r="B534" s="1" t="s">
        <v>1490</v>
      </c>
      <c r="C534">
        <f>(1-(B7/100))*410.66</f>
        <v>410.66</v>
      </c>
      <c r="D534" s="1">
        <v>0</v>
      </c>
      <c r="E534">
        <f>D534*C534</f>
        <v>0</v>
      </c>
      <c r="F534" s="1" t="s">
        <v>1491</v>
      </c>
      <c r="G534" s="17">
        <v>77884</v>
      </c>
    </row>
    <row r="535" spans="1:7">
      <c r="A535" s="1" t="s">
        <v>1492</v>
      </c>
      <c r="B535" s="1" t="s">
        <v>1493</v>
      </c>
      <c r="C535">
        <f>(1-(B7/100))*60.75</f>
        <v>60.75</v>
      </c>
      <c r="D535" s="1">
        <v>0</v>
      </c>
      <c r="E535">
        <f>D535*C535</f>
        <v>0</v>
      </c>
      <c r="F535" s="1" t="s">
        <v>1494</v>
      </c>
      <c r="G535" s="17">
        <v>77886</v>
      </c>
    </row>
    <row r="536" spans="1:7">
      <c r="A536" s="1" t="s">
        <v>1495</v>
      </c>
      <c r="B536" s="1" t="s">
        <v>1496</v>
      </c>
      <c r="C536">
        <f>(1-(B7/100))*252.55</f>
        <v>252.55</v>
      </c>
      <c r="D536" s="1">
        <v>0</v>
      </c>
      <c r="E536">
        <f>D536*C536</f>
        <v>0</v>
      </c>
      <c r="F536" s="1" t="s">
        <v>1497</v>
      </c>
      <c r="G536" s="17">
        <v>77889</v>
      </c>
    </row>
    <row r="537" spans="1:7">
      <c r="A537" s="1" t="s">
        <v>1498</v>
      </c>
      <c r="B537" s="1" t="s">
        <v>1499</v>
      </c>
      <c r="C537">
        <f>(1-(B7/100))*317.61</f>
        <v>317.61</v>
      </c>
      <c r="D537" s="1">
        <v>0</v>
      </c>
      <c r="E537">
        <f>D537*C537</f>
        <v>0</v>
      </c>
      <c r="F537" s="1" t="s">
        <v>1500</v>
      </c>
      <c r="G537" s="17">
        <v>77893</v>
      </c>
    </row>
    <row r="538" spans="1:7">
      <c r="A538" s="1" t="s">
        <v>1501</v>
      </c>
      <c r="B538" s="1" t="s">
        <v>1502</v>
      </c>
      <c r="C538">
        <f>(1-(B7/100))*366.55</f>
        <v>366.55</v>
      </c>
      <c r="D538" s="1">
        <v>0</v>
      </c>
      <c r="E538">
        <f>D538*C538</f>
        <v>0</v>
      </c>
      <c r="F538" s="1" t="s">
        <v>1503</v>
      </c>
      <c r="G538" s="17">
        <v>77894</v>
      </c>
    </row>
    <row r="539" spans="1:7">
      <c r="A539" s="1" t="s">
        <v>1504</v>
      </c>
      <c r="B539" s="1" t="s">
        <v>1505</v>
      </c>
      <c r="C539">
        <f>(1-(B7/100))*251.66</f>
        <v>251.66</v>
      </c>
      <c r="D539" s="1">
        <v>0</v>
      </c>
      <c r="E539">
        <f>D539*C539</f>
        <v>0</v>
      </c>
      <c r="F539" s="1" t="s">
        <v>1506</v>
      </c>
      <c r="G539" s="17">
        <v>77895</v>
      </c>
    </row>
    <row r="540" spans="1:7">
      <c r="A540" s="1" t="s">
        <v>1507</v>
      </c>
      <c r="B540" s="1" t="s">
        <v>1508</v>
      </c>
      <c r="C540">
        <f>(1-(B7/100))*548.57</f>
        <v>548.57</v>
      </c>
      <c r="D540" s="1">
        <v>0</v>
      </c>
      <c r="E540">
        <f>D540*C540</f>
        <v>0</v>
      </c>
      <c r="F540" s="1" t="s">
        <v>1509</v>
      </c>
      <c r="G540" s="17">
        <v>77899</v>
      </c>
    </row>
    <row r="541" spans="1:7">
      <c r="A541" s="1" t="s">
        <v>1510</v>
      </c>
      <c r="B541" s="1" t="s">
        <v>1511</v>
      </c>
      <c r="C541">
        <f>(1-(B7/100))*524.57</f>
        <v>524.57</v>
      </c>
      <c r="D541" s="1">
        <v>0</v>
      </c>
      <c r="E541">
        <f>D541*C541</f>
        <v>0</v>
      </c>
      <c r="F541" s="1" t="s">
        <v>1512</v>
      </c>
      <c r="G541" s="17">
        <v>77900</v>
      </c>
    </row>
    <row r="542" spans="1:7">
      <c r="A542" s="1" t="s">
        <v>1513</v>
      </c>
      <c r="B542" s="1" t="s">
        <v>1514</v>
      </c>
      <c r="C542">
        <f>(1-(B7/100))*198.47</f>
        <v>198.47</v>
      </c>
      <c r="D542" s="1">
        <v>0</v>
      </c>
      <c r="E542">
        <f>D542*C542</f>
        <v>0</v>
      </c>
      <c r="F542" s="1" t="s">
        <v>1515</v>
      </c>
      <c r="G542" s="17">
        <v>77901</v>
      </c>
    </row>
    <row r="543" spans="1:7">
      <c r="A543" s="1" t="s">
        <v>1516</v>
      </c>
      <c r="B543" s="1" t="s">
        <v>1517</v>
      </c>
      <c r="C543">
        <f>(1-(B7/100))*394.63</f>
        <v>394.63</v>
      </c>
      <c r="D543" s="1">
        <v>0</v>
      </c>
      <c r="E543">
        <f>D543*C543</f>
        <v>0</v>
      </c>
      <c r="F543" s="1" t="s">
        <v>1518</v>
      </c>
      <c r="G543" s="17">
        <v>77903</v>
      </c>
    </row>
    <row r="544" spans="1:7">
      <c r="A544" s="1" t="s">
        <v>1519</v>
      </c>
      <c r="B544" s="1" t="s">
        <v>1520</v>
      </c>
      <c r="C544">
        <f>(1-(B7/100))*103.87</f>
        <v>103.87</v>
      </c>
      <c r="D544" s="1">
        <v>0</v>
      </c>
      <c r="E544">
        <f>D544*C544</f>
        <v>0</v>
      </c>
      <c r="F544" s="1" t="s">
        <v>1521</v>
      </c>
      <c r="G544" s="17">
        <v>77906</v>
      </c>
    </row>
    <row r="545" spans="1:7">
      <c r="A545" s="1" t="s">
        <v>1522</v>
      </c>
      <c r="B545" s="1" t="s">
        <v>1523</v>
      </c>
      <c r="C545">
        <f>(1-(B7/100))*306.07</f>
        <v>306.07</v>
      </c>
      <c r="D545" s="1">
        <v>0</v>
      </c>
      <c r="E545">
        <f>D545*C545</f>
        <v>0</v>
      </c>
      <c r="F545" s="1" t="s">
        <v>1524</v>
      </c>
      <c r="G545" s="17">
        <v>77912</v>
      </c>
    </row>
    <row r="546" spans="1:7">
      <c r="A546" s="1" t="s">
        <v>1525</v>
      </c>
      <c r="B546" s="1" t="s">
        <v>1526</v>
      </c>
      <c r="C546">
        <f>(1-(B7/100))*1014.81</f>
        <v>1014.81</v>
      </c>
      <c r="D546" s="1">
        <v>0</v>
      </c>
      <c r="E546">
        <f>D546*C546</f>
        <v>0</v>
      </c>
      <c r="F546" s="1" t="s">
        <v>1527</v>
      </c>
      <c r="G546" s="17">
        <v>77916</v>
      </c>
    </row>
    <row r="547" spans="1:7">
      <c r="A547" s="1" t="s">
        <v>1528</v>
      </c>
      <c r="B547" s="1" t="s">
        <v>1529</v>
      </c>
      <c r="C547">
        <f>(1-(B7/100))*45.62</f>
        <v>45.62</v>
      </c>
      <c r="D547" s="1">
        <v>0</v>
      </c>
      <c r="E547">
        <f>D547*C547</f>
        <v>0</v>
      </c>
      <c r="F547" s="1" t="s">
        <v>1530</v>
      </c>
      <c r="G547" s="17">
        <v>77921</v>
      </c>
    </row>
    <row r="548" spans="1:7">
      <c r="A548" s="1" t="s">
        <v>1531</v>
      </c>
      <c r="B548" s="1" t="s">
        <v>1532</v>
      </c>
      <c r="C548">
        <f>(1-(B7/100))*443.35</f>
        <v>443.35</v>
      </c>
      <c r="D548" s="1">
        <v>0</v>
      </c>
      <c r="E548">
        <f>D548*C548</f>
        <v>0</v>
      </c>
      <c r="F548" s="1" t="s">
        <v>1533</v>
      </c>
      <c r="G548" s="17">
        <v>77923</v>
      </c>
    </row>
    <row r="549" spans="1:7">
      <c r="A549" s="1" t="s">
        <v>1534</v>
      </c>
      <c r="B549" s="1" t="s">
        <v>1535</v>
      </c>
      <c r="C549">
        <f>(1-(B7/100))*392.27</f>
        <v>392.27</v>
      </c>
      <c r="D549" s="1">
        <v>0</v>
      </c>
      <c r="E549">
        <f>D549*C549</f>
        <v>0</v>
      </c>
      <c r="F549" s="1" t="s">
        <v>1536</v>
      </c>
      <c r="G549" s="17">
        <v>77926</v>
      </c>
    </row>
    <row r="550" spans="1:7">
      <c r="A550" s="1" t="s">
        <v>1537</v>
      </c>
      <c r="B550" s="1" t="s">
        <v>1538</v>
      </c>
      <c r="C550">
        <f>(1-(B7/100))*421.78</f>
        <v>421.78</v>
      </c>
      <c r="D550" s="1">
        <v>0</v>
      </c>
      <c r="E550">
        <f>D550*C550</f>
        <v>0</v>
      </c>
      <c r="F550" s="1" t="s">
        <v>1539</v>
      </c>
      <c r="G550" s="17">
        <v>77927</v>
      </c>
    </row>
    <row r="551" spans="1:7">
      <c r="A551" s="1" t="s">
        <v>1540</v>
      </c>
      <c r="B551" s="1" t="s">
        <v>1541</v>
      </c>
      <c r="C551">
        <f>(1-(B7/100))*41.88</f>
        <v>41.88</v>
      </c>
      <c r="D551" s="1">
        <v>0</v>
      </c>
      <c r="E551">
        <f>D551*C551</f>
        <v>0</v>
      </c>
      <c r="F551" s="1" t="s">
        <v>1542</v>
      </c>
      <c r="G551" s="17">
        <v>77929</v>
      </c>
    </row>
    <row r="552" spans="1:7">
      <c r="A552" s="1" t="s">
        <v>1543</v>
      </c>
      <c r="B552" s="1" t="s">
        <v>1544</v>
      </c>
      <c r="C552">
        <f>(1-(B7/100))*53.37</f>
        <v>53.37</v>
      </c>
      <c r="D552" s="1">
        <v>0</v>
      </c>
      <c r="E552">
        <f>D552*C552</f>
        <v>0</v>
      </c>
      <c r="F552" s="1" t="s">
        <v>1545</v>
      </c>
      <c r="G552" s="17">
        <v>77931</v>
      </c>
    </row>
    <row r="553" spans="1:7">
      <c r="A553" s="1" t="s">
        <v>1546</v>
      </c>
      <c r="B553" s="1" t="s">
        <v>1547</v>
      </c>
      <c r="C553">
        <f>(1-(B7/100))*35.34</f>
        <v>35.34</v>
      </c>
      <c r="D553" s="1">
        <v>0</v>
      </c>
      <c r="E553">
        <f>D553*C553</f>
        <v>0</v>
      </c>
      <c r="F553" s="1" t="s">
        <v>1548</v>
      </c>
      <c r="G553" s="17">
        <v>77936</v>
      </c>
    </row>
    <row r="554" spans="1:7">
      <c r="A554" s="1" t="s">
        <v>1549</v>
      </c>
      <c r="B554" s="1" t="s">
        <v>1550</v>
      </c>
      <c r="C554">
        <f>(1-(B7/100))*1119.55</f>
        <v>1119.55</v>
      </c>
      <c r="D554" s="1">
        <v>0</v>
      </c>
      <c r="E554">
        <f>D554*C554</f>
        <v>0</v>
      </c>
      <c r="F554" s="1" t="s">
        <v>16</v>
      </c>
      <c r="G554" s="17">
        <v>77938</v>
      </c>
    </row>
    <row r="555" spans="1:7">
      <c r="A555" s="1" t="s">
        <v>1551</v>
      </c>
      <c r="B555" s="1" t="s">
        <v>1552</v>
      </c>
      <c r="C555">
        <f>(1-(B7/100))*231.63</f>
        <v>231.63</v>
      </c>
      <c r="D555" s="1">
        <v>0</v>
      </c>
      <c r="E555">
        <f>D555*C555</f>
        <v>0</v>
      </c>
      <c r="F555" s="1" t="s">
        <v>1553</v>
      </c>
      <c r="G555" s="17">
        <v>77951</v>
      </c>
    </row>
    <row r="556" spans="1:7">
      <c r="A556" s="1" t="s">
        <v>1554</v>
      </c>
      <c r="B556" s="1" t="s">
        <v>1555</v>
      </c>
      <c r="C556">
        <f>(1-(B7/100))*702.28</f>
        <v>702.28</v>
      </c>
      <c r="D556" s="1">
        <v>0</v>
      </c>
      <c r="E556">
        <f>D556*C556</f>
        <v>0</v>
      </c>
      <c r="F556" s="1" t="s">
        <v>1556</v>
      </c>
      <c r="G556" s="17">
        <v>77953</v>
      </c>
    </row>
    <row r="557" spans="1:7">
      <c r="A557" s="1" t="s">
        <v>1557</v>
      </c>
      <c r="B557" s="1" t="s">
        <v>1558</v>
      </c>
      <c r="C557">
        <f>(1-(B7/100))*67.6</f>
        <v>67.6</v>
      </c>
      <c r="D557" s="1">
        <v>0</v>
      </c>
      <c r="E557">
        <f>D557*C557</f>
        <v>0</v>
      </c>
      <c r="F557" s="1" t="s">
        <v>1559</v>
      </c>
      <c r="G557" s="17">
        <v>77954</v>
      </c>
    </row>
    <row r="558" spans="1:7">
      <c r="A558" s="1" t="s">
        <v>1560</v>
      </c>
      <c r="B558" s="1" t="s">
        <v>1561</v>
      </c>
      <c r="C558">
        <f>(1-(B7/100))*381.97</f>
        <v>381.97</v>
      </c>
      <c r="D558" s="1">
        <v>0</v>
      </c>
      <c r="E558">
        <f>D558*C558</f>
        <v>0</v>
      </c>
      <c r="F558" s="1" t="s">
        <v>1562</v>
      </c>
      <c r="G558" s="17">
        <v>77955</v>
      </c>
    </row>
    <row r="559" spans="1:7">
      <c r="A559" s="1" t="s">
        <v>1563</v>
      </c>
      <c r="B559" s="1" t="s">
        <v>1564</v>
      </c>
      <c r="C559">
        <f>(1-(B7/100))*41.5</f>
        <v>41.5</v>
      </c>
      <c r="D559" s="1">
        <v>0</v>
      </c>
      <c r="E559">
        <f>D559*C559</f>
        <v>0</v>
      </c>
      <c r="F559" s="1" t="s">
        <v>1565</v>
      </c>
      <c r="G559" s="17">
        <v>77956</v>
      </c>
    </row>
    <row r="560" spans="1:7">
      <c r="A560" s="1" t="s">
        <v>1566</v>
      </c>
      <c r="B560" s="1" t="s">
        <v>1567</v>
      </c>
      <c r="C560">
        <f>(1-(B7/100))*54.22</f>
        <v>54.22</v>
      </c>
      <c r="D560" s="1">
        <v>0</v>
      </c>
      <c r="E560">
        <f>D560*C560</f>
        <v>0</v>
      </c>
      <c r="F560" s="1" t="s">
        <v>1568</v>
      </c>
      <c r="G560" s="17">
        <v>77957</v>
      </c>
    </row>
    <row r="561" spans="1:7">
      <c r="A561" s="1" t="s">
        <v>1569</v>
      </c>
      <c r="B561" s="1" t="s">
        <v>1570</v>
      </c>
      <c r="C561">
        <f>(1-(B7/100))*96.87</f>
        <v>96.87</v>
      </c>
      <c r="D561" s="1">
        <v>0</v>
      </c>
      <c r="E561">
        <f>D561*C561</f>
        <v>0</v>
      </c>
      <c r="F561" s="1" t="s">
        <v>1571</v>
      </c>
      <c r="G561" s="17">
        <v>77962</v>
      </c>
    </row>
    <row r="562" spans="1:7">
      <c r="A562" s="1" t="s">
        <v>1572</v>
      </c>
      <c r="B562" s="1" t="s">
        <v>1573</v>
      </c>
      <c r="C562">
        <f>(1-(B7/100))*315.31</f>
        <v>315.31</v>
      </c>
      <c r="D562" s="1">
        <v>0</v>
      </c>
      <c r="E562">
        <f>D562*C562</f>
        <v>0</v>
      </c>
      <c r="F562" s="1" t="s">
        <v>1574</v>
      </c>
      <c r="G562" s="17">
        <v>77964</v>
      </c>
    </row>
    <row r="563" spans="1:7">
      <c r="A563" s="1" t="s">
        <v>1575</v>
      </c>
      <c r="B563" s="1" t="s">
        <v>1576</v>
      </c>
      <c r="C563">
        <f>(1-(B7/100))*364.84</f>
        <v>364.84</v>
      </c>
      <c r="D563" s="1">
        <v>0</v>
      </c>
      <c r="E563">
        <f>D563*C563</f>
        <v>0</v>
      </c>
      <c r="F563" s="1" t="s">
        <v>1577</v>
      </c>
      <c r="G563" s="17">
        <v>77965</v>
      </c>
    </row>
    <row r="564" spans="1:7">
      <c r="A564" s="1" t="s">
        <v>1578</v>
      </c>
      <c r="B564" s="1" t="s">
        <v>1579</v>
      </c>
      <c r="C564">
        <f>(1-(B7/100))*28.19</f>
        <v>28.19</v>
      </c>
      <c r="D564" s="1">
        <v>0</v>
      </c>
      <c r="E564">
        <f>D564*C564</f>
        <v>0</v>
      </c>
      <c r="F564" s="1" t="s">
        <v>1580</v>
      </c>
      <c r="G564" s="17">
        <v>77966</v>
      </c>
    </row>
    <row r="565" spans="1:7">
      <c r="A565" s="1" t="s">
        <v>1581</v>
      </c>
      <c r="B565" s="1" t="s">
        <v>1582</v>
      </c>
      <c r="C565">
        <f>(1-(B7/100))*118.25</f>
        <v>118.25</v>
      </c>
      <c r="D565" s="1">
        <v>0</v>
      </c>
      <c r="E565">
        <f>D565*C565</f>
        <v>0</v>
      </c>
      <c r="F565" s="1" t="s">
        <v>1583</v>
      </c>
      <c r="G565" s="17">
        <v>77967</v>
      </c>
    </row>
    <row r="566" spans="1:7">
      <c r="A566" s="1" t="s">
        <v>1584</v>
      </c>
      <c r="B566" s="1" t="s">
        <v>1585</v>
      </c>
      <c r="C566">
        <f>(1-(B7/100))*18.73</f>
        <v>18.73</v>
      </c>
      <c r="D566" s="1">
        <v>0</v>
      </c>
      <c r="E566">
        <f>D566*C566</f>
        <v>0</v>
      </c>
      <c r="F566" s="1" t="s">
        <v>1586</v>
      </c>
      <c r="G566" s="17">
        <v>77972</v>
      </c>
    </row>
    <row r="567" spans="1:7">
      <c r="A567" s="1" t="s">
        <v>1587</v>
      </c>
      <c r="B567" s="1" t="s">
        <v>1588</v>
      </c>
      <c r="C567">
        <f>(1-(B7/100))*66.24</f>
        <v>66.24</v>
      </c>
      <c r="D567" s="1">
        <v>0</v>
      </c>
      <c r="E567">
        <f>D567*C567</f>
        <v>0</v>
      </c>
      <c r="F567" s="1" t="s">
        <v>1589</v>
      </c>
      <c r="G567" s="17">
        <v>77974</v>
      </c>
    </row>
    <row r="568" spans="1:7">
      <c r="A568" s="1" t="s">
        <v>1590</v>
      </c>
      <c r="B568" s="1" t="s">
        <v>1591</v>
      </c>
      <c r="C568">
        <f>(1-(B7/100))*16.36</f>
        <v>16.36</v>
      </c>
      <c r="D568" s="1">
        <v>0</v>
      </c>
      <c r="E568">
        <f>D568*C568</f>
        <v>0</v>
      </c>
      <c r="F568" s="1" t="s">
        <v>1592</v>
      </c>
      <c r="G568" s="17">
        <v>77975</v>
      </c>
    </row>
    <row r="569" spans="1:7">
      <c r="A569" s="1" t="s">
        <v>1593</v>
      </c>
      <c r="B569" s="1" t="s">
        <v>1594</v>
      </c>
      <c r="C569">
        <f>(1-(B7/100))*567.77</f>
        <v>567.77</v>
      </c>
      <c r="D569" s="1">
        <v>0</v>
      </c>
      <c r="E569">
        <f>D569*C569</f>
        <v>0</v>
      </c>
      <c r="F569" s="1" t="s">
        <v>1595</v>
      </c>
      <c r="G569" s="17">
        <v>77976</v>
      </c>
    </row>
    <row r="570" spans="1:7">
      <c r="A570" s="1" t="s">
        <v>1596</v>
      </c>
      <c r="B570" s="1" t="s">
        <v>1597</v>
      </c>
      <c r="C570">
        <f>(1-(B7/100))*64.61</f>
        <v>64.61</v>
      </c>
      <c r="D570" s="1">
        <v>0</v>
      </c>
      <c r="E570">
        <f>D570*C570</f>
        <v>0</v>
      </c>
      <c r="F570" s="1" t="s">
        <v>1598</v>
      </c>
      <c r="G570" s="17">
        <v>77977</v>
      </c>
    </row>
    <row r="571" spans="1:7">
      <c r="A571" s="1" t="s">
        <v>1599</v>
      </c>
      <c r="B571" s="1" t="s">
        <v>1600</v>
      </c>
      <c r="C571">
        <f>(1-(B7/100))*59.7</f>
        <v>59.7</v>
      </c>
      <c r="D571" s="1">
        <v>0</v>
      </c>
      <c r="E571">
        <f>D571*C571</f>
        <v>0</v>
      </c>
      <c r="F571" s="1" t="s">
        <v>1601</v>
      </c>
      <c r="G571" s="17">
        <v>77978</v>
      </c>
    </row>
    <row r="572" spans="1:7">
      <c r="A572" s="1" t="s">
        <v>1602</v>
      </c>
      <c r="B572" s="1" t="s">
        <v>1603</v>
      </c>
      <c r="C572">
        <f>(1-(B7/100))*83.46</f>
        <v>83.46</v>
      </c>
      <c r="D572" s="1">
        <v>0</v>
      </c>
      <c r="E572">
        <f>D572*C572</f>
        <v>0</v>
      </c>
      <c r="F572" s="1" t="s">
        <v>1604</v>
      </c>
      <c r="G572" s="17">
        <v>77981</v>
      </c>
    </row>
    <row r="573" spans="1:7">
      <c r="A573" s="1" t="s">
        <v>1605</v>
      </c>
      <c r="B573" s="1" t="s">
        <v>1606</v>
      </c>
      <c r="C573">
        <f>(1-(B7/100))*57.59</f>
        <v>57.59</v>
      </c>
      <c r="D573" s="1">
        <v>0</v>
      </c>
      <c r="E573">
        <f>D573*C573</f>
        <v>0</v>
      </c>
      <c r="F573" s="1" t="s">
        <v>1607</v>
      </c>
      <c r="G573" s="17">
        <v>77982</v>
      </c>
    </row>
    <row r="574" spans="1:7">
      <c r="A574" s="1" t="s">
        <v>1608</v>
      </c>
      <c r="B574" s="1" t="s">
        <v>1609</v>
      </c>
      <c r="C574">
        <f>(1-(B7/100))*78.3</f>
        <v>78.3</v>
      </c>
      <c r="D574" s="1">
        <v>0</v>
      </c>
      <c r="E574">
        <f>D574*C574</f>
        <v>0</v>
      </c>
      <c r="F574" s="1" t="s">
        <v>1610</v>
      </c>
      <c r="G574" s="17">
        <v>77983</v>
      </c>
    </row>
    <row r="575" spans="1:7">
      <c r="A575" s="1" t="s">
        <v>1611</v>
      </c>
      <c r="B575" s="1" t="s">
        <v>1612</v>
      </c>
      <c r="C575">
        <f>(1-(B7/100))*24.58</f>
        <v>24.58</v>
      </c>
      <c r="D575" s="1">
        <v>0</v>
      </c>
      <c r="E575">
        <f>D575*C575</f>
        <v>0</v>
      </c>
      <c r="F575" s="1" t="s">
        <v>1613</v>
      </c>
      <c r="G575" s="17">
        <v>77984</v>
      </c>
    </row>
    <row r="576" spans="1:7">
      <c r="A576" s="1" t="s">
        <v>1614</v>
      </c>
      <c r="B576" s="1" t="s">
        <v>1615</v>
      </c>
      <c r="C576">
        <f>(1-(B7/100))*212.78</f>
        <v>212.78</v>
      </c>
      <c r="D576" s="1">
        <v>0</v>
      </c>
      <c r="E576">
        <f>D576*C576</f>
        <v>0</v>
      </c>
      <c r="F576" s="1" t="s">
        <v>1616</v>
      </c>
      <c r="G576" s="17">
        <v>77987</v>
      </c>
    </row>
    <row r="577" spans="1:7">
      <c r="A577" s="1" t="s">
        <v>1617</v>
      </c>
      <c r="B577" s="1" t="s">
        <v>1618</v>
      </c>
      <c r="C577">
        <f>(1-(B7/100))*196.61</f>
        <v>196.61</v>
      </c>
      <c r="D577" s="1">
        <v>0</v>
      </c>
      <c r="E577">
        <f>D577*C577</f>
        <v>0</v>
      </c>
      <c r="F577" s="1" t="s">
        <v>1619</v>
      </c>
      <c r="G577" s="17">
        <v>77990</v>
      </c>
    </row>
    <row r="578" spans="1:7">
      <c r="A578" s="1" t="s">
        <v>1620</v>
      </c>
      <c r="B578" s="1" t="s">
        <v>1621</v>
      </c>
      <c r="C578">
        <f>(1-(B7/100))*68.09</f>
        <v>68.09</v>
      </c>
      <c r="D578" s="1">
        <v>0</v>
      </c>
      <c r="E578">
        <f>D578*C578</f>
        <v>0</v>
      </c>
      <c r="F578" s="1" t="s">
        <v>1622</v>
      </c>
      <c r="G578" s="17">
        <v>77991</v>
      </c>
    </row>
    <row r="579" spans="1:7">
      <c r="A579" s="1" t="s">
        <v>1623</v>
      </c>
      <c r="B579" s="1" t="s">
        <v>1624</v>
      </c>
      <c r="C579">
        <f>(1-(B7/100))*498.98</f>
        <v>498.98</v>
      </c>
      <c r="D579" s="1">
        <v>0</v>
      </c>
      <c r="E579">
        <f>D579*C579</f>
        <v>0</v>
      </c>
      <c r="F579" s="1" t="s">
        <v>1625</v>
      </c>
      <c r="G579" s="17">
        <v>77994</v>
      </c>
    </row>
    <row r="580" spans="1:7">
      <c r="A580" s="1" t="s">
        <v>1626</v>
      </c>
      <c r="B580" s="1" t="s">
        <v>1627</v>
      </c>
      <c r="C580">
        <f>(1-(B7/100))*1097.3</f>
        <v>1097.3</v>
      </c>
      <c r="D580" s="1">
        <v>0</v>
      </c>
      <c r="E580">
        <f>D580*C580</f>
        <v>0</v>
      </c>
      <c r="F580" s="1" t="s">
        <v>1628</v>
      </c>
      <c r="G580" s="17">
        <v>77995</v>
      </c>
    </row>
    <row r="581" spans="1:7">
      <c r="A581" s="1" t="s">
        <v>1629</v>
      </c>
      <c r="B581" s="1" t="s">
        <v>1630</v>
      </c>
      <c r="C581">
        <f>(1-(B7/100))*353.3</f>
        <v>353.3</v>
      </c>
      <c r="D581" s="1">
        <v>0</v>
      </c>
      <c r="E581">
        <f>D581*C581</f>
        <v>0</v>
      </c>
      <c r="F581" s="1" t="s">
        <v>1631</v>
      </c>
      <c r="G581" s="17">
        <v>77996</v>
      </c>
    </row>
    <row r="582" spans="1:7">
      <c r="A582" s="1" t="s">
        <v>1632</v>
      </c>
      <c r="B582" s="1" t="s">
        <v>1633</v>
      </c>
      <c r="C582">
        <f>(1-(B7/100))*507.39</f>
        <v>507.39</v>
      </c>
      <c r="D582" s="1">
        <v>0</v>
      </c>
      <c r="E582">
        <f>D582*C582</f>
        <v>0</v>
      </c>
      <c r="F582" s="1" t="s">
        <v>1634</v>
      </c>
      <c r="G582" s="17">
        <v>77997</v>
      </c>
    </row>
    <row r="583" spans="1:7">
      <c r="A583" s="1" t="s">
        <v>1635</v>
      </c>
      <c r="B583" s="1" t="s">
        <v>1636</v>
      </c>
      <c r="C583">
        <f>(1-(B7/100))*622.45</f>
        <v>622.45</v>
      </c>
      <c r="D583" s="1">
        <v>0</v>
      </c>
      <c r="E583">
        <f>D583*C583</f>
        <v>0</v>
      </c>
      <c r="F583" s="1" t="s">
        <v>1637</v>
      </c>
      <c r="G583" s="17">
        <v>77999</v>
      </c>
    </row>
    <row r="584" spans="1:7">
      <c r="A584" s="1" t="s">
        <v>1638</v>
      </c>
      <c r="B584" s="1" t="s">
        <v>1639</v>
      </c>
      <c r="C584">
        <f>(1-(B7/100))*571.74</f>
        <v>571.74</v>
      </c>
      <c r="D584" s="1">
        <v>0</v>
      </c>
      <c r="E584">
        <f>D584*C584</f>
        <v>0</v>
      </c>
      <c r="F584" s="1" t="s">
        <v>1640</v>
      </c>
      <c r="G584" s="17">
        <v>78000</v>
      </c>
    </row>
    <row r="585" spans="1:7">
      <c r="A585" s="1" t="s">
        <v>1641</v>
      </c>
      <c r="B585" s="1" t="s">
        <v>1642</v>
      </c>
      <c r="C585">
        <f>(1-(B7/100))*631.38</f>
        <v>631.38</v>
      </c>
      <c r="D585" s="1">
        <v>0</v>
      </c>
      <c r="E585">
        <f>D585*C585</f>
        <v>0</v>
      </c>
      <c r="F585" s="1" t="s">
        <v>1643</v>
      </c>
      <c r="G585" s="17">
        <v>78005</v>
      </c>
    </row>
    <row r="586" spans="1:7">
      <c r="A586" s="1" t="s">
        <v>1644</v>
      </c>
      <c r="B586" s="1" t="s">
        <v>1645</v>
      </c>
      <c r="C586">
        <f>(1-(B7/100))*56.64</f>
        <v>56.64</v>
      </c>
      <c r="D586" s="1">
        <v>0</v>
      </c>
      <c r="E586">
        <f>D586*C586</f>
        <v>0</v>
      </c>
      <c r="F586" s="1" t="s">
        <v>1646</v>
      </c>
      <c r="G586" s="17">
        <v>78008</v>
      </c>
    </row>
    <row r="587" spans="1:7">
      <c r="A587" s="1" t="s">
        <v>1647</v>
      </c>
      <c r="B587" s="1" t="s">
        <v>1648</v>
      </c>
      <c r="C587">
        <f>(1-(B7/100))*43.01</f>
        <v>43.01</v>
      </c>
      <c r="D587" s="1">
        <v>0</v>
      </c>
      <c r="E587">
        <f>D587*C587</f>
        <v>0</v>
      </c>
      <c r="F587" s="1" t="s">
        <v>1649</v>
      </c>
      <c r="G587" s="17">
        <v>78010</v>
      </c>
    </row>
    <row r="588" spans="1:7">
      <c r="A588" s="1" t="s">
        <v>1650</v>
      </c>
      <c r="B588" s="1" t="s">
        <v>1651</v>
      </c>
      <c r="C588">
        <f>(1-(B7/100))*37.06</f>
        <v>37.06</v>
      </c>
      <c r="D588" s="1">
        <v>0</v>
      </c>
      <c r="E588">
        <f>D588*C588</f>
        <v>0</v>
      </c>
      <c r="F588" s="1" t="s">
        <v>1652</v>
      </c>
      <c r="G588" s="17">
        <v>78012</v>
      </c>
    </row>
    <row r="589" spans="1:7">
      <c r="A589" s="1" t="s">
        <v>1653</v>
      </c>
      <c r="B589" s="1" t="s">
        <v>1654</v>
      </c>
      <c r="C589">
        <f>(1-(B7/100))*93.31</f>
        <v>93.31</v>
      </c>
      <c r="D589" s="1">
        <v>0</v>
      </c>
      <c r="E589">
        <f>D589*C589</f>
        <v>0</v>
      </c>
      <c r="F589" s="1" t="s">
        <v>1655</v>
      </c>
      <c r="G589" s="17">
        <v>78013</v>
      </c>
    </row>
    <row r="590" spans="1:7">
      <c r="A590" s="1" t="s">
        <v>1656</v>
      </c>
      <c r="B590" s="1" t="s">
        <v>1657</v>
      </c>
      <c r="C590">
        <f>(1-(B7/100))*1401.18</f>
        <v>1401.18</v>
      </c>
      <c r="D590" s="1">
        <v>0</v>
      </c>
      <c r="E590">
        <f>D590*C590</f>
        <v>0</v>
      </c>
      <c r="F590" s="1" t="s">
        <v>1658</v>
      </c>
      <c r="G590" s="17">
        <v>78016</v>
      </c>
    </row>
    <row r="591" spans="1:7">
      <c r="A591" s="1" t="s">
        <v>1659</v>
      </c>
      <c r="B591" s="1" t="s">
        <v>1660</v>
      </c>
      <c r="C591">
        <f>(1-(B7/100))*265.02</f>
        <v>265.02</v>
      </c>
      <c r="D591" s="1">
        <v>0</v>
      </c>
      <c r="E591">
        <f>D591*C591</f>
        <v>0</v>
      </c>
      <c r="F591" s="1" t="s">
        <v>1661</v>
      </c>
      <c r="G591" s="17">
        <v>78017</v>
      </c>
    </row>
    <row r="592" spans="1:7">
      <c r="A592" s="1" t="s">
        <v>1662</v>
      </c>
      <c r="B592" s="1" t="s">
        <v>1663</v>
      </c>
      <c r="C592">
        <f>(1-(B7/100))*278.65</f>
        <v>278.65</v>
      </c>
      <c r="D592" s="1">
        <v>0</v>
      </c>
      <c r="E592">
        <f>D592*C592</f>
        <v>0</v>
      </c>
      <c r="F592" s="1" t="s">
        <v>1664</v>
      </c>
      <c r="G592" s="17">
        <v>78018</v>
      </c>
    </row>
    <row r="593" spans="1:7">
      <c r="A593" s="1" t="s">
        <v>1665</v>
      </c>
      <c r="B593" s="1" t="s">
        <v>1666</v>
      </c>
      <c r="C593">
        <f>(1-(B7/100))*75.08</f>
        <v>75.08</v>
      </c>
      <c r="D593" s="1">
        <v>0</v>
      </c>
      <c r="E593">
        <f>D593*C593</f>
        <v>0</v>
      </c>
      <c r="F593" s="1" t="s">
        <v>1667</v>
      </c>
      <c r="G593" s="17">
        <v>78019</v>
      </c>
    </row>
    <row r="594" spans="1:7">
      <c r="A594" s="1" t="s">
        <v>1668</v>
      </c>
      <c r="B594" s="1" t="s">
        <v>1669</v>
      </c>
      <c r="C594">
        <f>(1-(B7/100))*37.98</f>
        <v>37.98</v>
      </c>
      <c r="D594" s="1">
        <v>0</v>
      </c>
      <c r="E594">
        <f>D594*C594</f>
        <v>0</v>
      </c>
      <c r="F594" s="1" t="s">
        <v>1670</v>
      </c>
      <c r="G594" s="17">
        <v>78020</v>
      </c>
    </row>
    <row r="595" spans="1:7">
      <c r="A595" s="1" t="s">
        <v>1671</v>
      </c>
      <c r="B595" s="1" t="s">
        <v>1672</v>
      </c>
      <c r="C595">
        <f>(1-(B7/100))*437</f>
        <v>437</v>
      </c>
      <c r="D595" s="1">
        <v>0</v>
      </c>
      <c r="E595">
        <f>D595*C595</f>
        <v>0</v>
      </c>
      <c r="F595" s="1" t="s">
        <v>1673</v>
      </c>
      <c r="G595" s="17">
        <v>78021</v>
      </c>
    </row>
    <row r="596" spans="1:7">
      <c r="A596" s="1" t="s">
        <v>1674</v>
      </c>
      <c r="B596" s="1" t="s">
        <v>1675</v>
      </c>
      <c r="C596">
        <f>(1-(B7/100))*297.87</f>
        <v>297.87</v>
      </c>
      <c r="D596" s="1">
        <v>0</v>
      </c>
      <c r="E596">
        <f>D596*C596</f>
        <v>0</v>
      </c>
      <c r="F596" s="1" t="s">
        <v>1676</v>
      </c>
      <c r="G596" s="17">
        <v>78022</v>
      </c>
    </row>
    <row r="597" spans="1:7">
      <c r="A597" s="1" t="s">
        <v>1677</v>
      </c>
      <c r="B597" s="1" t="s">
        <v>1678</v>
      </c>
      <c r="C597">
        <f>(1-(B7/100))*98.28</f>
        <v>98.28</v>
      </c>
      <c r="D597" s="1">
        <v>0</v>
      </c>
      <c r="E597">
        <f>D597*C597</f>
        <v>0</v>
      </c>
      <c r="F597" s="1" t="s">
        <v>1679</v>
      </c>
      <c r="G597" s="17">
        <v>78023</v>
      </c>
    </row>
    <row r="598" spans="1:7">
      <c r="A598" s="1" t="s">
        <v>1680</v>
      </c>
      <c r="B598" s="1" t="s">
        <v>1681</v>
      </c>
      <c r="C598">
        <f>(1-(B7/100))*122.62</f>
        <v>122.62</v>
      </c>
      <c r="D598" s="1">
        <v>0</v>
      </c>
      <c r="E598">
        <f>D598*C598</f>
        <v>0</v>
      </c>
      <c r="F598" s="1" t="s">
        <v>1682</v>
      </c>
      <c r="G598" s="17">
        <v>78027</v>
      </c>
    </row>
    <row r="599" spans="1:7">
      <c r="A599" s="1" t="s">
        <v>1683</v>
      </c>
      <c r="B599" s="1" t="s">
        <v>1684</v>
      </c>
      <c r="C599">
        <f>(1-(B7/100))*154.82</f>
        <v>154.82</v>
      </c>
      <c r="D599" s="1">
        <v>0</v>
      </c>
      <c r="E599">
        <f>D599*C599</f>
        <v>0</v>
      </c>
      <c r="F599" s="1" t="s">
        <v>1685</v>
      </c>
      <c r="G599" s="17">
        <v>78028</v>
      </c>
    </row>
    <row r="600" spans="1:7">
      <c r="A600" s="1" t="s">
        <v>1686</v>
      </c>
      <c r="B600" s="1" t="s">
        <v>1687</v>
      </c>
      <c r="C600">
        <f>(1-(B7/100))*147.15</f>
        <v>147.15</v>
      </c>
      <c r="D600" s="1">
        <v>0</v>
      </c>
      <c r="E600">
        <f>D600*C600</f>
        <v>0</v>
      </c>
      <c r="F600" s="1" t="s">
        <v>1688</v>
      </c>
      <c r="G600" s="17">
        <v>78029</v>
      </c>
    </row>
    <row r="601" spans="1:7">
      <c r="A601" s="1" t="s">
        <v>1689</v>
      </c>
      <c r="B601" s="1" t="s">
        <v>1690</v>
      </c>
      <c r="C601">
        <f>(1-(B7/100))*122.62</f>
        <v>122.62</v>
      </c>
      <c r="D601" s="1">
        <v>0</v>
      </c>
      <c r="E601">
        <f>D601*C601</f>
        <v>0</v>
      </c>
      <c r="F601" s="1" t="s">
        <v>1691</v>
      </c>
      <c r="G601" s="17">
        <v>78030</v>
      </c>
    </row>
    <row r="602" spans="1:7">
      <c r="A602" s="1" t="s">
        <v>1692</v>
      </c>
      <c r="B602" s="1" t="s">
        <v>1690</v>
      </c>
      <c r="C602">
        <f>(1-(B7/100))*122.62</f>
        <v>122.62</v>
      </c>
      <c r="D602" s="1">
        <v>0</v>
      </c>
      <c r="E602">
        <f>D602*C602</f>
        <v>0</v>
      </c>
      <c r="F602" s="1" t="s">
        <v>1693</v>
      </c>
      <c r="G602" s="17">
        <v>78031</v>
      </c>
    </row>
    <row r="603" spans="1:7">
      <c r="A603" s="1" t="s">
        <v>1694</v>
      </c>
      <c r="B603" s="1" t="s">
        <v>1695</v>
      </c>
      <c r="C603">
        <f>(1-(B7/100))*42.91</f>
        <v>42.91</v>
      </c>
      <c r="D603" s="1">
        <v>0</v>
      </c>
      <c r="E603">
        <f>D603*C603</f>
        <v>0</v>
      </c>
      <c r="F603" s="1" t="s">
        <v>1696</v>
      </c>
      <c r="G603" s="17">
        <v>78032</v>
      </c>
    </row>
    <row r="604" spans="1:7">
      <c r="A604" s="1" t="s">
        <v>1697</v>
      </c>
      <c r="B604" s="1" t="s">
        <v>1698</v>
      </c>
      <c r="C604">
        <f>(1-(B7/100))*42.91</f>
        <v>42.91</v>
      </c>
      <c r="D604" s="1">
        <v>0</v>
      </c>
      <c r="E604">
        <f>D604*C604</f>
        <v>0</v>
      </c>
      <c r="F604" s="1" t="s">
        <v>1699</v>
      </c>
      <c r="G604" s="17">
        <v>78033</v>
      </c>
    </row>
    <row r="605" spans="1:7">
      <c r="A605" s="1" t="s">
        <v>1700</v>
      </c>
      <c r="B605" s="1" t="s">
        <v>1701</v>
      </c>
      <c r="C605">
        <f>(1-(B7/100))*33.79</f>
        <v>33.79</v>
      </c>
      <c r="D605" s="1">
        <v>0</v>
      </c>
      <c r="E605">
        <f>D605*C605</f>
        <v>0</v>
      </c>
      <c r="F605" s="1" t="s">
        <v>1702</v>
      </c>
      <c r="G605" s="17">
        <v>78034</v>
      </c>
    </row>
    <row r="606" spans="1:7">
      <c r="A606" s="1" t="s">
        <v>1703</v>
      </c>
      <c r="B606" s="1" t="s">
        <v>1704</v>
      </c>
      <c r="C606">
        <f>(1-(B7/100))*42.91</f>
        <v>42.91</v>
      </c>
      <c r="D606" s="1">
        <v>0</v>
      </c>
      <c r="E606">
        <f>D606*C606</f>
        <v>0</v>
      </c>
      <c r="F606" s="1" t="s">
        <v>1705</v>
      </c>
      <c r="G606" s="17">
        <v>78035</v>
      </c>
    </row>
    <row r="607" spans="1:7">
      <c r="A607" s="1" t="s">
        <v>1706</v>
      </c>
      <c r="B607" s="1" t="s">
        <v>1707</v>
      </c>
      <c r="C607">
        <f>(1-(B7/100))*42.91</f>
        <v>42.91</v>
      </c>
      <c r="D607" s="1">
        <v>0</v>
      </c>
      <c r="E607">
        <f>D607*C607</f>
        <v>0</v>
      </c>
      <c r="F607" s="1" t="s">
        <v>1708</v>
      </c>
      <c r="G607" s="17">
        <v>78036</v>
      </c>
    </row>
    <row r="608" spans="1:7">
      <c r="A608" s="1" t="s">
        <v>1709</v>
      </c>
      <c r="B608" s="1" t="s">
        <v>1710</v>
      </c>
      <c r="C608">
        <f>(1-(B7/100))*42.91</f>
        <v>42.91</v>
      </c>
      <c r="D608" s="1">
        <v>0</v>
      </c>
      <c r="E608">
        <f>D608*C608</f>
        <v>0</v>
      </c>
      <c r="F608" s="1" t="s">
        <v>1711</v>
      </c>
      <c r="G608" s="17">
        <v>78037</v>
      </c>
    </row>
    <row r="609" spans="1:7">
      <c r="A609" s="1" t="s">
        <v>1712</v>
      </c>
      <c r="B609" s="1" t="s">
        <v>1713</v>
      </c>
      <c r="C609">
        <f>(1-(B7/100))*41.5</f>
        <v>41.5</v>
      </c>
      <c r="D609" s="1">
        <v>0</v>
      </c>
      <c r="E609">
        <f>D609*C609</f>
        <v>0</v>
      </c>
      <c r="F609" s="1" t="s">
        <v>1714</v>
      </c>
      <c r="G609" s="17">
        <v>78038</v>
      </c>
    </row>
    <row r="610" spans="1:7">
      <c r="A610" s="1" t="s">
        <v>1715</v>
      </c>
      <c r="B610" s="1" t="s">
        <v>1716</v>
      </c>
      <c r="C610">
        <f>(1-(B7/100))*505.54</f>
        <v>505.54</v>
      </c>
      <c r="D610" s="1">
        <v>0</v>
      </c>
      <c r="E610">
        <f>D610*C610</f>
        <v>0</v>
      </c>
      <c r="F610" s="1" t="s">
        <v>1717</v>
      </c>
      <c r="G610" s="17">
        <v>78039</v>
      </c>
    </row>
    <row r="611" spans="1:7">
      <c r="A611" s="1" t="s">
        <v>1718</v>
      </c>
      <c r="B611" s="1" t="s">
        <v>1719</v>
      </c>
      <c r="C611">
        <f>(1-(B7/100))*279.51</f>
        <v>279.51</v>
      </c>
      <c r="D611" s="1">
        <v>0</v>
      </c>
      <c r="E611">
        <f>D611*C611</f>
        <v>0</v>
      </c>
      <c r="F611" s="1" t="s">
        <v>1720</v>
      </c>
      <c r="G611" s="17">
        <v>78043</v>
      </c>
    </row>
    <row r="612" spans="1:7">
      <c r="A612" s="1" t="s">
        <v>1721</v>
      </c>
      <c r="B612" s="1" t="s">
        <v>1719</v>
      </c>
      <c r="C612">
        <f>(1-(B7/100))*331.57</f>
        <v>331.57</v>
      </c>
      <c r="D612" s="1">
        <v>0</v>
      </c>
      <c r="E612">
        <f>D612*C612</f>
        <v>0</v>
      </c>
      <c r="F612" s="1" t="s">
        <v>1722</v>
      </c>
      <c r="G612" s="17">
        <v>78044</v>
      </c>
    </row>
    <row r="613" spans="1:7">
      <c r="A613" s="1" t="s">
        <v>1723</v>
      </c>
      <c r="B613" s="1" t="s">
        <v>585</v>
      </c>
      <c r="C613">
        <f>(1-(B7/100))*279.51</f>
        <v>279.51</v>
      </c>
      <c r="D613" s="1">
        <v>0</v>
      </c>
      <c r="E613">
        <f>D613*C613</f>
        <v>0</v>
      </c>
      <c r="F613" s="1" t="s">
        <v>1724</v>
      </c>
      <c r="G613" s="17">
        <v>78045</v>
      </c>
    </row>
    <row r="614" spans="1:7">
      <c r="A614" s="1" t="s">
        <v>1725</v>
      </c>
      <c r="B614" s="1" t="s">
        <v>1726</v>
      </c>
      <c r="C614">
        <f>(1-(B7/100))*430.79</f>
        <v>430.79</v>
      </c>
      <c r="D614" s="1">
        <v>0</v>
      </c>
      <c r="E614">
        <f>D614*C614</f>
        <v>0</v>
      </c>
      <c r="F614" s="1" t="s">
        <v>1727</v>
      </c>
      <c r="G614" s="17">
        <v>78046</v>
      </c>
    </row>
    <row r="615" spans="1:7">
      <c r="A615" s="1" t="s">
        <v>1728</v>
      </c>
      <c r="B615" s="1" t="s">
        <v>1729</v>
      </c>
      <c r="C615">
        <f>(1-(B7/100))*443.35</f>
        <v>443.35</v>
      </c>
      <c r="D615" s="1">
        <v>0</v>
      </c>
      <c r="E615">
        <f>D615*C615</f>
        <v>0</v>
      </c>
      <c r="F615" s="1" t="s">
        <v>1730</v>
      </c>
      <c r="G615" s="17">
        <v>78048</v>
      </c>
    </row>
    <row r="616" spans="1:7">
      <c r="A616" s="1" t="s">
        <v>1731</v>
      </c>
      <c r="B616" s="1" t="s">
        <v>1732</v>
      </c>
      <c r="C616">
        <f>(1-(B7/100))*373.39</f>
        <v>373.39</v>
      </c>
      <c r="D616" s="1">
        <v>0</v>
      </c>
      <c r="E616">
        <f>D616*C616</f>
        <v>0</v>
      </c>
      <c r="F616" s="1" t="s">
        <v>1733</v>
      </c>
      <c r="G616" s="17">
        <v>78049</v>
      </c>
    </row>
    <row r="617" spans="1:7">
      <c r="A617" s="1" t="s">
        <v>1734</v>
      </c>
      <c r="B617" s="1" t="s">
        <v>1735</v>
      </c>
      <c r="C617">
        <f>(1-(B7/100))*327.3</f>
        <v>327.3</v>
      </c>
      <c r="D617" s="1">
        <v>0</v>
      </c>
      <c r="E617">
        <f>D617*C617</f>
        <v>0</v>
      </c>
      <c r="F617" s="1" t="s">
        <v>1736</v>
      </c>
      <c r="G617" s="17">
        <v>78050</v>
      </c>
    </row>
    <row r="618" spans="1:7">
      <c r="A618" s="1" t="s">
        <v>1737</v>
      </c>
      <c r="B618" s="1" t="s">
        <v>1738</v>
      </c>
      <c r="C618">
        <f>(1-(B7/100))*443.35</f>
        <v>443.35</v>
      </c>
      <c r="D618" s="1">
        <v>0</v>
      </c>
      <c r="E618">
        <f>D618*C618</f>
        <v>0</v>
      </c>
      <c r="F618" s="1" t="s">
        <v>1739</v>
      </c>
      <c r="G618" s="17">
        <v>78051</v>
      </c>
    </row>
    <row r="619" spans="1:7">
      <c r="A619" s="1" t="s">
        <v>1740</v>
      </c>
      <c r="B619" s="1" t="s">
        <v>1741</v>
      </c>
      <c r="C619">
        <f>(1-(B7/100))*694.01</f>
        <v>694.01</v>
      </c>
      <c r="D619" s="1">
        <v>0</v>
      </c>
      <c r="E619">
        <f>D619*C619</f>
        <v>0</v>
      </c>
      <c r="F619" s="1" t="s">
        <v>1742</v>
      </c>
      <c r="G619" s="17">
        <v>78053</v>
      </c>
    </row>
    <row r="620" spans="1:7">
      <c r="A620" s="1" t="s">
        <v>1743</v>
      </c>
      <c r="B620" s="1" t="s">
        <v>1744</v>
      </c>
      <c r="C620">
        <f>(1-(B7/100))*494.02</f>
        <v>494.02</v>
      </c>
      <c r="D620" s="1">
        <v>0</v>
      </c>
      <c r="E620">
        <f>D620*C620</f>
        <v>0</v>
      </c>
      <c r="F620" s="1" t="s">
        <v>1745</v>
      </c>
      <c r="G620" s="17">
        <v>78056</v>
      </c>
    </row>
    <row r="621" spans="1:7">
      <c r="A621" s="1" t="s">
        <v>1746</v>
      </c>
      <c r="B621" s="1" t="s">
        <v>1747</v>
      </c>
      <c r="C621">
        <f>(1-(B7/100))*131.03</f>
        <v>131.03</v>
      </c>
      <c r="D621" s="1">
        <v>0</v>
      </c>
      <c r="E621">
        <f>D621*C621</f>
        <v>0</v>
      </c>
      <c r="F621" s="1" t="s">
        <v>1748</v>
      </c>
      <c r="G621" s="17">
        <v>78057</v>
      </c>
    </row>
    <row r="622" spans="1:7">
      <c r="A622" s="1" t="s">
        <v>1749</v>
      </c>
      <c r="B622" s="1" t="s">
        <v>1750</v>
      </c>
      <c r="C622">
        <f>(1-(B7/100))*339.14</f>
        <v>339.14</v>
      </c>
      <c r="D622" s="1">
        <v>0</v>
      </c>
      <c r="E622">
        <f>D622*C622</f>
        <v>0</v>
      </c>
      <c r="F622" s="1" t="s">
        <v>1751</v>
      </c>
      <c r="G622" s="17">
        <v>78058</v>
      </c>
    </row>
    <row r="623" spans="1:7">
      <c r="A623" s="1" t="s">
        <v>1752</v>
      </c>
      <c r="B623" s="1" t="s">
        <v>1753</v>
      </c>
      <c r="C623">
        <f>(1-(B7/100))*17.29</f>
        <v>17.29</v>
      </c>
      <c r="D623" s="1">
        <v>0</v>
      </c>
      <c r="E623">
        <f>D623*C623</f>
        <v>0</v>
      </c>
      <c r="F623" s="1" t="s">
        <v>1754</v>
      </c>
      <c r="G623" s="17">
        <v>78059</v>
      </c>
    </row>
    <row r="624" spans="1:7">
      <c r="A624" s="1" t="s">
        <v>1755</v>
      </c>
      <c r="B624" s="1" t="s">
        <v>1756</v>
      </c>
      <c r="C624">
        <f>(1-(B7/100))*44.14</f>
        <v>44.14</v>
      </c>
      <c r="D624" s="1">
        <v>0</v>
      </c>
      <c r="E624">
        <f>D624*C624</f>
        <v>0</v>
      </c>
      <c r="F624" s="1" t="s">
        <v>1757</v>
      </c>
      <c r="G624" s="17">
        <v>78061</v>
      </c>
    </row>
    <row r="625" spans="1:7">
      <c r="A625" s="1" t="s">
        <v>1758</v>
      </c>
      <c r="B625" s="1" t="s">
        <v>1759</v>
      </c>
      <c r="C625">
        <f>(1-(B7/100))*832.49</f>
        <v>832.49</v>
      </c>
      <c r="D625" s="1">
        <v>0</v>
      </c>
      <c r="E625">
        <f>D625*C625</f>
        <v>0</v>
      </c>
      <c r="F625" s="1" t="s">
        <v>1760</v>
      </c>
      <c r="G625" s="17">
        <v>78067</v>
      </c>
    </row>
    <row r="626" spans="1:7">
      <c r="A626" s="1" t="s">
        <v>1761</v>
      </c>
      <c r="B626" s="1" t="s">
        <v>1762</v>
      </c>
      <c r="C626">
        <f>(1-(B7/100))*818.8</f>
        <v>818.8</v>
      </c>
      <c r="D626" s="1">
        <v>0</v>
      </c>
      <c r="E626">
        <f>D626*C626</f>
        <v>0</v>
      </c>
      <c r="F626" s="1" t="s">
        <v>1763</v>
      </c>
      <c r="G626" s="17">
        <v>78068</v>
      </c>
    </row>
    <row r="627" spans="1:7">
      <c r="A627" s="1" t="s">
        <v>1764</v>
      </c>
      <c r="B627" s="1" t="s">
        <v>1765</v>
      </c>
      <c r="C627">
        <f>(1-(B7/100))*175.62</f>
        <v>175.62</v>
      </c>
      <c r="D627" s="1">
        <v>0</v>
      </c>
      <c r="E627">
        <f>D627*C627</f>
        <v>0</v>
      </c>
      <c r="F627" s="1" t="s">
        <v>1766</v>
      </c>
      <c r="G627" s="17">
        <v>78071</v>
      </c>
    </row>
    <row r="628" spans="1:7">
      <c r="A628" s="1" t="s">
        <v>1767</v>
      </c>
      <c r="B628" s="1" t="s">
        <v>1768</v>
      </c>
      <c r="C628">
        <f>(1-(B7/100))*59.7</f>
        <v>59.7</v>
      </c>
      <c r="D628" s="1">
        <v>0</v>
      </c>
      <c r="E628">
        <f>D628*C628</f>
        <v>0</v>
      </c>
      <c r="F628" s="1" t="s">
        <v>1769</v>
      </c>
      <c r="G628" s="17">
        <v>78074</v>
      </c>
    </row>
    <row r="629" spans="1:7">
      <c r="A629" s="1" t="s">
        <v>1770</v>
      </c>
      <c r="B629" s="1" t="s">
        <v>1771</v>
      </c>
      <c r="C629">
        <f>(1-(B7/100))*32.15</f>
        <v>32.15</v>
      </c>
      <c r="D629" s="1">
        <v>0</v>
      </c>
      <c r="E629">
        <f>D629*C629</f>
        <v>0</v>
      </c>
      <c r="F629" s="1" t="s">
        <v>1772</v>
      </c>
      <c r="G629" s="17">
        <v>78076</v>
      </c>
    </row>
    <row r="630" spans="1:7">
      <c r="A630" s="1" t="s">
        <v>1773</v>
      </c>
      <c r="B630" s="1" t="s">
        <v>1774</v>
      </c>
      <c r="C630">
        <f>(1-(B7/100))*598.83</f>
        <v>598.83</v>
      </c>
      <c r="D630" s="1">
        <v>0</v>
      </c>
      <c r="E630">
        <f>D630*C630</f>
        <v>0</v>
      </c>
      <c r="F630" s="1" t="s">
        <v>1775</v>
      </c>
      <c r="G630" s="17">
        <v>78080</v>
      </c>
    </row>
    <row r="631" spans="1:7">
      <c r="A631" s="1" t="s">
        <v>1776</v>
      </c>
      <c r="B631" s="1" t="s">
        <v>1777</v>
      </c>
      <c r="C631">
        <f>(1-(B7/100))*684.24</f>
        <v>684.24</v>
      </c>
      <c r="D631" s="1">
        <v>0</v>
      </c>
      <c r="E631">
        <f>D631*C631</f>
        <v>0</v>
      </c>
      <c r="F631" s="1" t="s">
        <v>1778</v>
      </c>
      <c r="G631" s="17">
        <v>78081</v>
      </c>
    </row>
    <row r="632" spans="1:7">
      <c r="A632" s="1" t="s">
        <v>1779</v>
      </c>
      <c r="B632" s="1" t="s">
        <v>1780</v>
      </c>
      <c r="C632">
        <f>(1-(B7/100))*930.77</f>
        <v>930.77</v>
      </c>
      <c r="D632" s="1">
        <v>0</v>
      </c>
      <c r="E632">
        <f>D632*C632</f>
        <v>0</v>
      </c>
      <c r="F632" s="1" t="s">
        <v>1781</v>
      </c>
      <c r="G632" s="17">
        <v>78083</v>
      </c>
    </row>
    <row r="633" spans="1:7">
      <c r="A633" s="1" t="s">
        <v>1782</v>
      </c>
      <c r="B633" s="1" t="s">
        <v>1783</v>
      </c>
      <c r="C633">
        <f>(1-(B7/100))*1070.21</f>
        <v>1070.21</v>
      </c>
      <c r="D633" s="1">
        <v>0</v>
      </c>
      <c r="E633">
        <f>D633*C633</f>
        <v>0</v>
      </c>
      <c r="F633" s="1" t="s">
        <v>1784</v>
      </c>
      <c r="G633" s="17">
        <v>78085</v>
      </c>
    </row>
    <row r="634" spans="1:7">
      <c r="A634" s="1" t="s">
        <v>1785</v>
      </c>
      <c r="B634" s="1" t="s">
        <v>1786</v>
      </c>
      <c r="C634">
        <f>(1-(B7/100))*120.14</f>
        <v>120.14</v>
      </c>
      <c r="D634" s="1">
        <v>0</v>
      </c>
      <c r="E634">
        <f>D634*C634</f>
        <v>0</v>
      </c>
      <c r="F634" s="1" t="s">
        <v>1787</v>
      </c>
      <c r="G634" s="17">
        <v>78088</v>
      </c>
    </row>
    <row r="635" spans="1:7">
      <c r="A635" s="1" t="s">
        <v>1788</v>
      </c>
      <c r="B635" s="1" t="s">
        <v>1789</v>
      </c>
      <c r="C635">
        <f>(1-(B7/100))*84.86</f>
        <v>84.86</v>
      </c>
      <c r="D635" s="1">
        <v>0</v>
      </c>
      <c r="E635">
        <f>D635*C635</f>
        <v>0</v>
      </c>
      <c r="F635" s="1" t="s">
        <v>1790</v>
      </c>
      <c r="G635" s="17">
        <v>78091</v>
      </c>
    </row>
    <row r="636" spans="1:7">
      <c r="A636" s="1" t="s">
        <v>1791</v>
      </c>
      <c r="B636" s="1" t="s">
        <v>1792</v>
      </c>
      <c r="C636">
        <f>(1-(B7/100))*97.64</f>
        <v>97.64</v>
      </c>
      <c r="D636" s="1">
        <v>0</v>
      </c>
      <c r="E636">
        <f>D636*C636</f>
        <v>0</v>
      </c>
      <c r="F636" s="1" t="s">
        <v>1793</v>
      </c>
      <c r="G636" s="17">
        <v>78092</v>
      </c>
    </row>
    <row r="637" spans="1:7">
      <c r="A637" s="1" t="s">
        <v>1794</v>
      </c>
      <c r="B637" s="1" t="s">
        <v>1795</v>
      </c>
      <c r="C637">
        <f>(1-(B7/100))*125.79</f>
        <v>125.79</v>
      </c>
      <c r="D637" s="1">
        <v>0</v>
      </c>
      <c r="E637">
        <f>D637*C637</f>
        <v>0</v>
      </c>
      <c r="F637" s="1" t="s">
        <v>1796</v>
      </c>
      <c r="G637" s="17">
        <v>78093</v>
      </c>
    </row>
    <row r="638" spans="1:7">
      <c r="A638" s="1" t="s">
        <v>1797</v>
      </c>
      <c r="B638" s="1" t="s">
        <v>1798</v>
      </c>
      <c r="C638">
        <f>(1-(B7/100))*274.83</f>
        <v>274.83</v>
      </c>
      <c r="D638" s="1">
        <v>0</v>
      </c>
      <c r="E638">
        <f>D638*C638</f>
        <v>0</v>
      </c>
      <c r="F638" s="1" t="s">
        <v>1799</v>
      </c>
      <c r="G638" s="17">
        <v>78104</v>
      </c>
    </row>
    <row r="639" spans="1:7">
      <c r="A639" s="1" t="s">
        <v>1800</v>
      </c>
      <c r="B639" s="1" t="s">
        <v>1801</v>
      </c>
      <c r="C639">
        <f>(1-(B7/100))*237.11</f>
        <v>237.11</v>
      </c>
      <c r="D639" s="1">
        <v>0</v>
      </c>
      <c r="E639">
        <f>D639*C639</f>
        <v>0</v>
      </c>
      <c r="F639" s="1" t="s">
        <v>1802</v>
      </c>
      <c r="G639" s="17">
        <v>78109</v>
      </c>
    </row>
    <row r="640" spans="1:7">
      <c r="A640" s="1" t="s">
        <v>1803</v>
      </c>
      <c r="B640" s="1" t="s">
        <v>1804</v>
      </c>
      <c r="C640">
        <f>(1-(B7/100))*226.09</f>
        <v>226.09</v>
      </c>
      <c r="D640" s="1">
        <v>0</v>
      </c>
      <c r="E640">
        <f>D640*C640</f>
        <v>0</v>
      </c>
      <c r="F640" s="1" t="s">
        <v>1805</v>
      </c>
      <c r="G640" s="17">
        <v>78112</v>
      </c>
    </row>
    <row r="641" spans="1:7">
      <c r="A641" s="1" t="s">
        <v>1806</v>
      </c>
      <c r="B641" s="1" t="s">
        <v>1807</v>
      </c>
      <c r="C641">
        <f>(1-(B7/100))*210.46</f>
        <v>210.46</v>
      </c>
      <c r="D641" s="1">
        <v>0</v>
      </c>
      <c r="E641">
        <f>D641*C641</f>
        <v>0</v>
      </c>
      <c r="F641" s="1" t="s">
        <v>1808</v>
      </c>
      <c r="G641" s="17">
        <v>78113</v>
      </c>
    </row>
    <row r="642" spans="1:7">
      <c r="A642" s="1" t="s">
        <v>1809</v>
      </c>
      <c r="B642" s="1" t="s">
        <v>1810</v>
      </c>
      <c r="C642">
        <f>(1-(B7/100))*56.04</f>
        <v>56.04</v>
      </c>
      <c r="D642" s="1">
        <v>0</v>
      </c>
      <c r="E642">
        <f>D642*C642</f>
        <v>0</v>
      </c>
      <c r="F642" s="1" t="s">
        <v>1811</v>
      </c>
      <c r="G642" s="17">
        <v>78114</v>
      </c>
    </row>
    <row r="643" spans="1:7">
      <c r="A643" s="1" t="s">
        <v>1812</v>
      </c>
      <c r="B643" s="1" t="s">
        <v>1813</v>
      </c>
      <c r="C643">
        <f>(1-(B7/100))*50.11</f>
        <v>50.11</v>
      </c>
      <c r="D643" s="1">
        <v>0</v>
      </c>
      <c r="E643">
        <f>D643*C643</f>
        <v>0</v>
      </c>
      <c r="F643" s="1" t="s">
        <v>1814</v>
      </c>
      <c r="G643" s="17">
        <v>78118</v>
      </c>
    </row>
    <row r="644" spans="1:7">
      <c r="A644" s="1" t="s">
        <v>1815</v>
      </c>
      <c r="B644" s="1" t="s">
        <v>1816</v>
      </c>
      <c r="C644">
        <f>(1-(B7/100))*41.5</f>
        <v>41.5</v>
      </c>
      <c r="D644" s="1">
        <v>0</v>
      </c>
      <c r="E644">
        <f>D644*C644</f>
        <v>0</v>
      </c>
      <c r="F644" s="1" t="s">
        <v>1817</v>
      </c>
      <c r="G644" s="17">
        <v>78120</v>
      </c>
    </row>
    <row r="645" spans="1:7">
      <c r="A645" s="1" t="s">
        <v>1818</v>
      </c>
      <c r="B645" s="1" t="s">
        <v>1819</v>
      </c>
      <c r="C645">
        <f>(1-(B7/100))*29.6</f>
        <v>29.6</v>
      </c>
      <c r="D645" s="1">
        <v>0</v>
      </c>
      <c r="E645">
        <f>D645*C645</f>
        <v>0</v>
      </c>
      <c r="F645" s="1" t="s">
        <v>1820</v>
      </c>
      <c r="G645" s="17">
        <v>78121</v>
      </c>
    </row>
    <row r="646" spans="1:7">
      <c r="A646" s="1" t="s">
        <v>1821</v>
      </c>
      <c r="B646" s="1" t="s">
        <v>1822</v>
      </c>
      <c r="C646">
        <f>(1-(B7/100))*37.3</f>
        <v>37.3</v>
      </c>
      <c r="D646" s="1">
        <v>0</v>
      </c>
      <c r="E646">
        <f>D646*C646</f>
        <v>0</v>
      </c>
      <c r="F646" s="1" t="s">
        <v>1823</v>
      </c>
      <c r="G646" s="17">
        <v>78122</v>
      </c>
    </row>
    <row r="647" spans="1:7">
      <c r="A647" s="1" t="s">
        <v>1824</v>
      </c>
      <c r="B647" s="1" t="s">
        <v>1825</v>
      </c>
      <c r="C647">
        <f>(1-(B7/100))*202.06</f>
        <v>202.06</v>
      </c>
      <c r="D647" s="1">
        <v>0</v>
      </c>
      <c r="E647">
        <f>D647*C647</f>
        <v>0</v>
      </c>
      <c r="F647" s="1" t="s">
        <v>1826</v>
      </c>
      <c r="G647" s="17">
        <v>78124</v>
      </c>
    </row>
    <row r="648" spans="1:7">
      <c r="A648" s="1" t="s">
        <v>1827</v>
      </c>
      <c r="B648" s="1" t="s">
        <v>1828</v>
      </c>
      <c r="C648">
        <f>(1-(B7/100))*238.03</f>
        <v>238.03</v>
      </c>
      <c r="D648" s="1">
        <v>0</v>
      </c>
      <c r="E648">
        <f>D648*C648</f>
        <v>0</v>
      </c>
      <c r="F648" s="1" t="s">
        <v>1829</v>
      </c>
      <c r="G648" s="17">
        <v>78125</v>
      </c>
    </row>
    <row r="649" spans="1:7">
      <c r="A649" s="1" t="s">
        <v>1830</v>
      </c>
      <c r="B649" s="1" t="s">
        <v>1831</v>
      </c>
      <c r="C649">
        <f>(1-(B7/100))*1027.15</f>
        <v>1027.15</v>
      </c>
      <c r="D649" s="1">
        <v>0</v>
      </c>
      <c r="E649">
        <f>D649*C649</f>
        <v>0</v>
      </c>
      <c r="F649" s="1" t="s">
        <v>1832</v>
      </c>
      <c r="G649" s="17">
        <v>78128</v>
      </c>
    </row>
    <row r="650" spans="1:7">
      <c r="A650" s="1" t="s">
        <v>1833</v>
      </c>
      <c r="B650" s="1" t="s">
        <v>1834</v>
      </c>
      <c r="C650">
        <f>(1-(B7/100))*922.52</f>
        <v>922.52</v>
      </c>
      <c r="D650" s="1">
        <v>0</v>
      </c>
      <c r="E650">
        <f>D650*C650</f>
        <v>0</v>
      </c>
      <c r="F650" s="1" t="s">
        <v>1835</v>
      </c>
      <c r="G650" s="17">
        <v>78132</v>
      </c>
    </row>
    <row r="651" spans="1:7">
      <c r="A651" s="1" t="s">
        <v>1836</v>
      </c>
      <c r="B651" s="1" t="s">
        <v>1837</v>
      </c>
      <c r="C651">
        <f>(1-(B7/100))*84.66</f>
        <v>84.66</v>
      </c>
      <c r="D651" s="1">
        <v>0</v>
      </c>
      <c r="E651">
        <f>D651*C651</f>
        <v>0</v>
      </c>
      <c r="F651" s="1" t="s">
        <v>1838</v>
      </c>
      <c r="G651" s="17">
        <v>78136</v>
      </c>
    </row>
    <row r="652" spans="1:7">
      <c r="A652" s="1" t="s">
        <v>1839</v>
      </c>
      <c r="B652" s="1" t="s">
        <v>1840</v>
      </c>
      <c r="C652">
        <f>(1-(B7/100))*98.28</f>
        <v>98.28</v>
      </c>
      <c r="D652" s="1">
        <v>0</v>
      </c>
      <c r="E652">
        <f>D652*C652</f>
        <v>0</v>
      </c>
      <c r="F652" s="1" t="s">
        <v>1841</v>
      </c>
      <c r="G652" s="17">
        <v>78137</v>
      </c>
    </row>
    <row r="653" spans="1:7">
      <c r="A653" s="1" t="s">
        <v>1842</v>
      </c>
      <c r="B653" s="1" t="s">
        <v>1843</v>
      </c>
      <c r="C653">
        <f>(1-(B7/100))*122.62</f>
        <v>122.62</v>
      </c>
      <c r="D653" s="1">
        <v>0</v>
      </c>
      <c r="E653">
        <f>D653*C653</f>
        <v>0</v>
      </c>
      <c r="F653" s="1" t="s">
        <v>1844</v>
      </c>
      <c r="G653" s="17">
        <v>78139</v>
      </c>
    </row>
    <row r="654" spans="1:7">
      <c r="A654" s="1" t="s">
        <v>1845</v>
      </c>
      <c r="B654" s="1" t="s">
        <v>1846</v>
      </c>
      <c r="C654">
        <f>(1-(B7/100))*228.52</f>
        <v>228.52</v>
      </c>
      <c r="D654" s="1">
        <v>0</v>
      </c>
      <c r="E654">
        <f>D654*C654</f>
        <v>0</v>
      </c>
      <c r="F654" s="1" t="s">
        <v>1847</v>
      </c>
      <c r="G654" s="17">
        <v>78142</v>
      </c>
    </row>
    <row r="655" spans="1:7">
      <c r="A655" s="1" t="s">
        <v>1848</v>
      </c>
      <c r="B655" s="1" t="s">
        <v>1849</v>
      </c>
      <c r="C655">
        <f>(1-(B7/100))*32.75</f>
        <v>32.75</v>
      </c>
      <c r="D655" s="1">
        <v>0</v>
      </c>
      <c r="E655">
        <f>D655*C655</f>
        <v>0</v>
      </c>
      <c r="F655" s="1" t="s">
        <v>1850</v>
      </c>
      <c r="G655" s="17">
        <v>78148</v>
      </c>
    </row>
    <row r="656" spans="1:7">
      <c r="A656" s="1" t="s">
        <v>1851</v>
      </c>
      <c r="B656" s="1" t="s">
        <v>1852</v>
      </c>
      <c r="C656">
        <f>(1-(B7/100))*253.69</f>
        <v>253.69</v>
      </c>
      <c r="D656" s="1">
        <v>0</v>
      </c>
      <c r="E656">
        <f>D656*C656</f>
        <v>0</v>
      </c>
      <c r="F656" s="1" t="s">
        <v>1853</v>
      </c>
      <c r="G656" s="17">
        <v>78150</v>
      </c>
    </row>
    <row r="657" spans="1:7">
      <c r="A657" s="1" t="s">
        <v>1854</v>
      </c>
      <c r="B657" s="1" t="s">
        <v>1855</v>
      </c>
      <c r="C657">
        <f>(1-(B7/100))*1021.6</f>
        <v>1021.6</v>
      </c>
      <c r="D657" s="1">
        <v>0</v>
      </c>
      <c r="E657">
        <f>D657*C657</f>
        <v>0</v>
      </c>
      <c r="F657" s="1" t="s">
        <v>1856</v>
      </c>
      <c r="G657" s="17">
        <v>78151</v>
      </c>
    </row>
    <row r="658" spans="1:7">
      <c r="A658" s="1" t="s">
        <v>1857</v>
      </c>
      <c r="B658" s="1" t="s">
        <v>1858</v>
      </c>
      <c r="C658">
        <f>(1-(B7/100))*57.19</f>
        <v>57.19</v>
      </c>
      <c r="D658" s="1">
        <v>0</v>
      </c>
      <c r="E658">
        <f>D658*C658</f>
        <v>0</v>
      </c>
      <c r="F658" s="1" t="s">
        <v>1859</v>
      </c>
      <c r="G658" s="17">
        <v>78168</v>
      </c>
    </row>
    <row r="659" spans="1:7">
      <c r="A659" s="1" t="s">
        <v>1860</v>
      </c>
      <c r="B659" s="1" t="s">
        <v>1861</v>
      </c>
      <c r="C659">
        <f>(1-(B7/100))*106.61</f>
        <v>106.61</v>
      </c>
      <c r="D659" s="1">
        <v>0</v>
      </c>
      <c r="E659">
        <f>D659*C659</f>
        <v>0</v>
      </c>
      <c r="F659" s="1" t="s">
        <v>1862</v>
      </c>
      <c r="G659" s="17">
        <v>78170</v>
      </c>
    </row>
    <row r="660" spans="1:7">
      <c r="A660" s="1" t="s">
        <v>1863</v>
      </c>
      <c r="B660" s="1" t="s">
        <v>1864</v>
      </c>
      <c r="C660">
        <f>(1-(B7/100))*20.5</f>
        <v>20.5</v>
      </c>
      <c r="D660" s="1">
        <v>0</v>
      </c>
      <c r="E660">
        <f>D660*C660</f>
        <v>0</v>
      </c>
      <c r="F660" s="1" t="s">
        <v>1865</v>
      </c>
      <c r="G660" s="17">
        <v>78172</v>
      </c>
    </row>
    <row r="661" spans="1:7">
      <c r="A661" s="1" t="s">
        <v>1866</v>
      </c>
      <c r="B661" s="1" t="s">
        <v>1867</v>
      </c>
      <c r="C661">
        <f>(1-(B7/100))*37.75</f>
        <v>37.75</v>
      </c>
      <c r="D661" s="1">
        <v>0</v>
      </c>
      <c r="E661">
        <f>D661*C661</f>
        <v>0</v>
      </c>
      <c r="F661" s="1" t="s">
        <v>1868</v>
      </c>
      <c r="G661" s="17">
        <v>78174</v>
      </c>
    </row>
    <row r="662" spans="1:7">
      <c r="A662" s="1" t="s">
        <v>1869</v>
      </c>
      <c r="B662" s="1" t="s">
        <v>1870</v>
      </c>
      <c r="C662">
        <f>(1-(B7/100))*225.18</f>
        <v>225.18</v>
      </c>
      <c r="D662" s="1">
        <v>0</v>
      </c>
      <c r="E662">
        <f>D662*C662</f>
        <v>0</v>
      </c>
      <c r="F662" s="1" t="s">
        <v>1871</v>
      </c>
      <c r="G662" s="17">
        <v>78176</v>
      </c>
    </row>
    <row r="663" spans="1:7">
      <c r="A663" s="1" t="s">
        <v>1872</v>
      </c>
      <c r="B663" s="1" t="s">
        <v>1873</v>
      </c>
      <c r="C663">
        <f>(1-(B7/100))*93.43</f>
        <v>93.43</v>
      </c>
      <c r="D663" s="1">
        <v>0</v>
      </c>
      <c r="E663">
        <f>D663*C663</f>
        <v>0</v>
      </c>
      <c r="F663" s="1" t="s">
        <v>1874</v>
      </c>
      <c r="G663" s="17">
        <v>78182</v>
      </c>
    </row>
    <row r="664" spans="1:7">
      <c r="A664" s="1" t="s">
        <v>1875</v>
      </c>
      <c r="B664" s="1" t="s">
        <v>1876</v>
      </c>
      <c r="C664">
        <f>(1-(B7/100))*316.92</f>
        <v>316.92</v>
      </c>
      <c r="D664" s="1">
        <v>0</v>
      </c>
      <c r="E664">
        <f>D664*C664</f>
        <v>0</v>
      </c>
      <c r="F664" s="1" t="s">
        <v>1877</v>
      </c>
      <c r="G664" s="17">
        <v>78188</v>
      </c>
    </row>
    <row r="665" spans="1:7">
      <c r="A665" s="1" t="s">
        <v>1878</v>
      </c>
      <c r="B665" s="1" t="s">
        <v>1879</v>
      </c>
      <c r="C665">
        <f>(1-(B7/100))*34.18</f>
        <v>34.18</v>
      </c>
      <c r="D665" s="1">
        <v>0</v>
      </c>
      <c r="E665">
        <f>D665*C665</f>
        <v>0</v>
      </c>
      <c r="F665" s="1" t="s">
        <v>1880</v>
      </c>
      <c r="G665" s="17">
        <v>78189</v>
      </c>
    </row>
    <row r="666" spans="1:7">
      <c r="A666" s="1" t="s">
        <v>1881</v>
      </c>
      <c r="B666" s="1" t="s">
        <v>1882</v>
      </c>
      <c r="C666">
        <f>(1-(B7/100))*25.74</f>
        <v>25.74</v>
      </c>
      <c r="D666" s="1">
        <v>0</v>
      </c>
      <c r="E666">
        <f>D666*C666</f>
        <v>0</v>
      </c>
      <c r="F666" s="1" t="s">
        <v>1883</v>
      </c>
      <c r="G666" s="17">
        <v>78190</v>
      </c>
    </row>
    <row r="667" spans="1:7">
      <c r="A667" s="1" t="s">
        <v>1884</v>
      </c>
      <c r="B667" s="1" t="s">
        <v>1885</v>
      </c>
      <c r="C667">
        <f>(1-(B7/100))*123.8</f>
        <v>123.8</v>
      </c>
      <c r="D667" s="1">
        <v>0</v>
      </c>
      <c r="E667">
        <f>D667*C667</f>
        <v>0</v>
      </c>
      <c r="F667" s="1" t="s">
        <v>1886</v>
      </c>
      <c r="G667" s="17">
        <v>78192</v>
      </c>
    </row>
    <row r="668" spans="1:7">
      <c r="A668" s="1" t="s">
        <v>1887</v>
      </c>
      <c r="B668" s="1" t="s">
        <v>1888</v>
      </c>
      <c r="C668">
        <f>(1-(B7/100))*287.07</f>
        <v>287.07</v>
      </c>
      <c r="D668" s="1">
        <v>0</v>
      </c>
      <c r="E668">
        <f>D668*C668</f>
        <v>0</v>
      </c>
      <c r="F668" s="1" t="s">
        <v>1889</v>
      </c>
      <c r="G668" s="17">
        <v>78197</v>
      </c>
    </row>
    <row r="669" spans="1:7">
      <c r="A669" s="1" t="s">
        <v>1890</v>
      </c>
      <c r="B669" s="1" t="s">
        <v>1891</v>
      </c>
      <c r="C669">
        <f>(1-(B7/100))*303.32</f>
        <v>303.32</v>
      </c>
      <c r="D669" s="1">
        <v>0</v>
      </c>
      <c r="E669">
        <f>D669*C669</f>
        <v>0</v>
      </c>
      <c r="F669" s="1" t="s">
        <v>1892</v>
      </c>
      <c r="G669" s="17">
        <v>78198</v>
      </c>
    </row>
    <row r="670" spans="1:7">
      <c r="A670" s="1" t="s">
        <v>1893</v>
      </c>
      <c r="B670" s="1" t="s">
        <v>1894</v>
      </c>
      <c r="C670">
        <f>(1-(B7/100))*251.19</f>
        <v>251.19</v>
      </c>
      <c r="D670" s="1">
        <v>0</v>
      </c>
      <c r="E670">
        <f>D670*C670</f>
        <v>0</v>
      </c>
      <c r="F670" s="1" t="s">
        <v>1895</v>
      </c>
      <c r="G670" s="17">
        <v>78200</v>
      </c>
    </row>
    <row r="671" spans="1:7">
      <c r="A671" s="1" t="s">
        <v>1896</v>
      </c>
      <c r="B671" s="1" t="s">
        <v>1897</v>
      </c>
      <c r="C671">
        <f>(1-(B7/100))*1297.76</f>
        <v>1297.76</v>
      </c>
      <c r="D671" s="1">
        <v>0</v>
      </c>
      <c r="E671">
        <f>D671*C671</f>
        <v>0</v>
      </c>
      <c r="F671" s="1" t="s">
        <v>1898</v>
      </c>
      <c r="G671" s="17">
        <v>78203</v>
      </c>
    </row>
    <row r="672" spans="1:7">
      <c r="A672" s="1" t="s">
        <v>1899</v>
      </c>
      <c r="B672" s="1" t="s">
        <v>1900</v>
      </c>
      <c r="C672">
        <f>(1-(B7/100))*1443.25</f>
        <v>1443.25</v>
      </c>
      <c r="D672" s="1">
        <v>0</v>
      </c>
      <c r="E672">
        <f>D672*C672</f>
        <v>0</v>
      </c>
      <c r="F672" s="1" t="s">
        <v>1901</v>
      </c>
      <c r="G672" s="17">
        <v>78208</v>
      </c>
    </row>
    <row r="673" spans="1:7">
      <c r="A673" s="1" t="s">
        <v>1902</v>
      </c>
      <c r="B673" s="1" t="s">
        <v>1903</v>
      </c>
      <c r="C673">
        <f>(1-(B7/100))*1574.75</f>
        <v>1574.75</v>
      </c>
      <c r="D673" s="1">
        <v>0</v>
      </c>
      <c r="E673">
        <f>D673*C673</f>
        <v>0</v>
      </c>
      <c r="F673" s="1" t="s">
        <v>1904</v>
      </c>
      <c r="G673" s="17">
        <v>78209</v>
      </c>
    </row>
    <row r="674" spans="1:7">
      <c r="A674" s="1" t="s">
        <v>1905</v>
      </c>
      <c r="B674" s="1" t="s">
        <v>1906</v>
      </c>
      <c r="C674">
        <f>(1-(B7/100))*64.99</f>
        <v>64.99</v>
      </c>
      <c r="D674" s="1">
        <v>0</v>
      </c>
      <c r="E674">
        <f>D674*C674</f>
        <v>0</v>
      </c>
      <c r="F674" s="1" t="s">
        <v>1907</v>
      </c>
      <c r="G674" s="17">
        <v>78219</v>
      </c>
    </row>
    <row r="675" spans="1:7">
      <c r="A675" s="1" t="s">
        <v>1908</v>
      </c>
      <c r="B675" s="1" t="s">
        <v>1909</v>
      </c>
      <c r="C675">
        <f>(1-(B7/100))*14490.29</f>
        <v>14490.29</v>
      </c>
      <c r="D675" s="1">
        <v>0</v>
      </c>
      <c r="E675">
        <f>D675*C675</f>
        <v>0</v>
      </c>
      <c r="F675" s="1" t="s">
        <v>16</v>
      </c>
      <c r="G675" s="17">
        <v>78225</v>
      </c>
    </row>
    <row r="676" spans="1:7">
      <c r="A676" s="1" t="s">
        <v>1910</v>
      </c>
      <c r="B676" s="1" t="s">
        <v>1911</v>
      </c>
      <c r="C676">
        <f>(1-(B7/100))*13633.42</f>
        <v>13633.42</v>
      </c>
      <c r="D676" s="1">
        <v>0</v>
      </c>
      <c r="E676">
        <f>D676*C676</f>
        <v>0</v>
      </c>
      <c r="F676" s="1" t="s">
        <v>1912</v>
      </c>
      <c r="G676" s="17">
        <v>78227</v>
      </c>
    </row>
    <row r="677" spans="1:7">
      <c r="A677" s="1" t="s">
        <v>1913</v>
      </c>
      <c r="B677" s="1" t="s">
        <v>1914</v>
      </c>
      <c r="C677">
        <f>(1-(B7/100))*418.34</f>
        <v>418.34</v>
      </c>
      <c r="D677" s="1">
        <v>0</v>
      </c>
      <c r="E677">
        <f>D677*C677</f>
        <v>0</v>
      </c>
      <c r="F677" s="1" t="s">
        <v>1915</v>
      </c>
      <c r="G677" s="17">
        <v>78230</v>
      </c>
    </row>
    <row r="678" spans="1:7">
      <c r="A678" s="1" t="s">
        <v>1916</v>
      </c>
      <c r="B678" s="1" t="s">
        <v>1917</v>
      </c>
      <c r="C678">
        <f>(1-(B7/100))*471.87</f>
        <v>471.87</v>
      </c>
      <c r="D678" s="1">
        <v>0</v>
      </c>
      <c r="E678">
        <f>D678*C678</f>
        <v>0</v>
      </c>
      <c r="F678" s="1" t="s">
        <v>1918</v>
      </c>
      <c r="G678" s="17">
        <v>78231</v>
      </c>
    </row>
    <row r="679" spans="1:7">
      <c r="A679" s="1" t="s">
        <v>1919</v>
      </c>
      <c r="B679" s="1" t="s">
        <v>1917</v>
      </c>
      <c r="C679">
        <f>(1-(B7/100))*418.34</f>
        <v>418.34</v>
      </c>
      <c r="D679" s="1">
        <v>0</v>
      </c>
      <c r="E679">
        <f>D679*C679</f>
        <v>0</v>
      </c>
      <c r="F679" s="1" t="s">
        <v>1920</v>
      </c>
      <c r="G679" s="17">
        <v>78232</v>
      </c>
    </row>
    <row r="680" spans="1:7">
      <c r="A680" s="1" t="s">
        <v>1921</v>
      </c>
      <c r="B680" s="1" t="s">
        <v>1922</v>
      </c>
      <c r="C680">
        <f>(1-(B7/100))*397.34</f>
        <v>397.34</v>
      </c>
      <c r="D680" s="1">
        <v>0</v>
      </c>
      <c r="E680">
        <f>D680*C680</f>
        <v>0</v>
      </c>
      <c r="F680" s="1" t="s">
        <v>1923</v>
      </c>
      <c r="G680" s="17">
        <v>78233</v>
      </c>
    </row>
    <row r="681" spans="1:7">
      <c r="A681" s="1" t="s">
        <v>1924</v>
      </c>
      <c r="B681" s="1" t="s">
        <v>1925</v>
      </c>
      <c r="C681">
        <f>(1-(B7/100))*531.54</f>
        <v>531.54</v>
      </c>
      <c r="D681" s="1">
        <v>0</v>
      </c>
      <c r="E681">
        <f>D681*C681</f>
        <v>0</v>
      </c>
      <c r="F681" s="1" t="s">
        <v>1926</v>
      </c>
      <c r="G681" s="17">
        <v>78234</v>
      </c>
    </row>
    <row r="682" spans="1:7">
      <c r="A682" s="1" t="s">
        <v>1927</v>
      </c>
      <c r="B682" s="1" t="s">
        <v>1928</v>
      </c>
      <c r="C682">
        <f>(1-(B7/100))*440.02</f>
        <v>440.02</v>
      </c>
      <c r="D682" s="1">
        <v>0</v>
      </c>
      <c r="E682">
        <f>D682*C682</f>
        <v>0</v>
      </c>
      <c r="F682" s="1" t="s">
        <v>1929</v>
      </c>
      <c r="G682" s="17">
        <v>78235</v>
      </c>
    </row>
    <row r="683" spans="1:7">
      <c r="A683" s="1" t="s">
        <v>1930</v>
      </c>
      <c r="B683" s="1" t="s">
        <v>1931</v>
      </c>
      <c r="C683">
        <f>(1-(B7/100))*453.1</f>
        <v>453.1</v>
      </c>
      <c r="D683" s="1">
        <v>0</v>
      </c>
      <c r="E683">
        <f>D683*C683</f>
        <v>0</v>
      </c>
      <c r="F683" s="1" t="s">
        <v>1932</v>
      </c>
      <c r="G683" s="17">
        <v>78236</v>
      </c>
    </row>
    <row r="684" spans="1:7">
      <c r="A684" s="1" t="s">
        <v>1933</v>
      </c>
      <c r="B684" s="1" t="s">
        <v>1934</v>
      </c>
      <c r="C684">
        <f>(1-(B7/100))*569.4</f>
        <v>569.4</v>
      </c>
      <c r="D684" s="1">
        <v>0</v>
      </c>
      <c r="E684">
        <f>D684*C684</f>
        <v>0</v>
      </c>
      <c r="F684" s="1" t="s">
        <v>1935</v>
      </c>
      <c r="G684" s="17">
        <v>78237</v>
      </c>
    </row>
    <row r="685" spans="1:7">
      <c r="A685" s="1" t="s">
        <v>1936</v>
      </c>
      <c r="B685" s="1" t="s">
        <v>1937</v>
      </c>
      <c r="C685">
        <f>(1-(B7/100))*501.33</f>
        <v>501.33</v>
      </c>
      <c r="D685" s="1">
        <v>0</v>
      </c>
      <c r="E685">
        <f>D685*C685</f>
        <v>0</v>
      </c>
      <c r="F685" s="1" t="s">
        <v>1938</v>
      </c>
      <c r="G685" s="17">
        <v>78238</v>
      </c>
    </row>
    <row r="686" spans="1:7">
      <c r="A686" s="1" t="s">
        <v>1939</v>
      </c>
      <c r="B686" s="1" t="s">
        <v>1940</v>
      </c>
      <c r="C686">
        <f>(1-(B7/100))*663.22</f>
        <v>663.22</v>
      </c>
      <c r="D686" s="1">
        <v>0</v>
      </c>
      <c r="E686">
        <f>D686*C686</f>
        <v>0</v>
      </c>
      <c r="F686" s="1" t="s">
        <v>1941</v>
      </c>
      <c r="G686" s="17">
        <v>78239</v>
      </c>
    </row>
    <row r="687" spans="1:7">
      <c r="A687" s="1" t="s">
        <v>1942</v>
      </c>
      <c r="B687" s="1" t="s">
        <v>1943</v>
      </c>
      <c r="C687">
        <f>(1-(B7/100))*52.25</f>
        <v>52.25</v>
      </c>
      <c r="D687" s="1">
        <v>0</v>
      </c>
      <c r="E687">
        <f>D687*C687</f>
        <v>0</v>
      </c>
      <c r="F687" s="1" t="s">
        <v>1944</v>
      </c>
      <c r="G687" s="17">
        <v>78244</v>
      </c>
    </row>
    <row r="688" spans="1:7">
      <c r="A688" s="1" t="s">
        <v>1945</v>
      </c>
      <c r="B688" s="1" t="s">
        <v>1946</v>
      </c>
      <c r="C688">
        <f>(1-(B7/100))*31.88</f>
        <v>31.88</v>
      </c>
      <c r="D688" s="1">
        <v>0</v>
      </c>
      <c r="E688">
        <f>D688*C688</f>
        <v>0</v>
      </c>
      <c r="F688" s="1" t="s">
        <v>1947</v>
      </c>
      <c r="G688" s="17">
        <v>78247</v>
      </c>
    </row>
    <row r="689" spans="1:7">
      <c r="A689" s="1" t="s">
        <v>1948</v>
      </c>
      <c r="B689" s="1" t="s">
        <v>1949</v>
      </c>
      <c r="C689">
        <f>(1-(B7/100))*124.91</f>
        <v>124.91</v>
      </c>
      <c r="D689" s="1">
        <v>0</v>
      </c>
      <c r="E689">
        <f>D689*C689</f>
        <v>0</v>
      </c>
      <c r="F689" s="1" t="s">
        <v>1950</v>
      </c>
      <c r="G689" s="17">
        <v>78254</v>
      </c>
    </row>
    <row r="690" spans="1:7">
      <c r="A690" s="1" t="s">
        <v>1951</v>
      </c>
      <c r="B690" s="1" t="s">
        <v>1952</v>
      </c>
      <c r="C690">
        <f>(1-(B7/100))*240.26</f>
        <v>240.26</v>
      </c>
      <c r="D690" s="1">
        <v>0</v>
      </c>
      <c r="E690">
        <f>D690*C690</f>
        <v>0</v>
      </c>
      <c r="F690" s="1" t="s">
        <v>1953</v>
      </c>
      <c r="G690" s="17">
        <v>78256</v>
      </c>
    </row>
    <row r="691" spans="1:7">
      <c r="A691" s="1" t="s">
        <v>1954</v>
      </c>
      <c r="B691" s="1" t="s">
        <v>1955</v>
      </c>
      <c r="C691">
        <f>(1-(B7/100))*399.45</f>
        <v>399.45</v>
      </c>
      <c r="D691" s="1">
        <v>0</v>
      </c>
      <c r="E691">
        <f>D691*C691</f>
        <v>0</v>
      </c>
      <c r="F691" s="1" t="s">
        <v>1956</v>
      </c>
      <c r="G691" s="17">
        <v>78258</v>
      </c>
    </row>
    <row r="692" spans="1:7">
      <c r="A692" s="1" t="s">
        <v>1957</v>
      </c>
      <c r="B692" s="1" t="s">
        <v>1958</v>
      </c>
      <c r="C692">
        <f>(1-(B7/100))*220.64</f>
        <v>220.64</v>
      </c>
      <c r="D692" s="1">
        <v>0</v>
      </c>
      <c r="E692">
        <f>D692*C692</f>
        <v>0</v>
      </c>
      <c r="F692" s="1" t="s">
        <v>1959</v>
      </c>
      <c r="G692" s="17">
        <v>78259</v>
      </c>
    </row>
    <row r="693" spans="1:7">
      <c r="A693" s="1" t="s">
        <v>1960</v>
      </c>
      <c r="B693" s="1" t="s">
        <v>1961</v>
      </c>
      <c r="C693">
        <f>(1-(B7/100))*330.03</f>
        <v>330.03</v>
      </c>
      <c r="D693" s="1">
        <v>0</v>
      </c>
      <c r="E693">
        <f>D693*C693</f>
        <v>0</v>
      </c>
      <c r="F693" s="1" t="s">
        <v>1962</v>
      </c>
      <c r="G693" s="17">
        <v>78260</v>
      </c>
    </row>
    <row r="694" spans="1:7">
      <c r="A694" s="1" t="s">
        <v>1963</v>
      </c>
      <c r="B694" s="1" t="s">
        <v>1964</v>
      </c>
      <c r="C694">
        <f>(1-(B7/100))*220.64</f>
        <v>220.64</v>
      </c>
      <c r="D694" s="1">
        <v>0</v>
      </c>
      <c r="E694">
        <f>D694*C694</f>
        <v>0</v>
      </c>
      <c r="F694" s="1" t="s">
        <v>1965</v>
      </c>
      <c r="G694" s="17">
        <v>78261</v>
      </c>
    </row>
    <row r="695" spans="1:7">
      <c r="A695" s="1" t="s">
        <v>1966</v>
      </c>
      <c r="B695" s="1" t="s">
        <v>1967</v>
      </c>
      <c r="C695">
        <f>(1-(B7/100))*399.45</f>
        <v>399.45</v>
      </c>
      <c r="D695" s="1">
        <v>0</v>
      </c>
      <c r="E695">
        <f>D695*C695</f>
        <v>0</v>
      </c>
      <c r="F695" s="1" t="s">
        <v>1968</v>
      </c>
      <c r="G695" s="17">
        <v>78262</v>
      </c>
    </row>
    <row r="696" spans="1:7">
      <c r="A696" s="1" t="s">
        <v>1969</v>
      </c>
      <c r="B696" s="1" t="s">
        <v>1970</v>
      </c>
      <c r="C696">
        <f>(1-(B7/100))*422.55</f>
        <v>422.55</v>
      </c>
      <c r="D696" s="1">
        <v>0</v>
      </c>
      <c r="E696">
        <f>D696*C696</f>
        <v>0</v>
      </c>
      <c r="F696" s="1" t="s">
        <v>1971</v>
      </c>
      <c r="G696" s="17">
        <v>78264</v>
      </c>
    </row>
    <row r="697" spans="1:7">
      <c r="A697" s="1" t="s">
        <v>1972</v>
      </c>
      <c r="B697" s="1" t="s">
        <v>1973</v>
      </c>
      <c r="C697">
        <f>(1-(B7/100))*333.87</f>
        <v>333.87</v>
      </c>
      <c r="D697" s="1">
        <v>0</v>
      </c>
      <c r="E697">
        <f>D697*C697</f>
        <v>0</v>
      </c>
      <c r="F697" s="1" t="s">
        <v>1974</v>
      </c>
      <c r="G697" s="17">
        <v>78267</v>
      </c>
    </row>
    <row r="698" spans="1:7">
      <c r="A698" s="1" t="s">
        <v>1975</v>
      </c>
      <c r="B698" s="1" t="s">
        <v>1976</v>
      </c>
      <c r="C698">
        <f>(1-(B7/100))*259.92</f>
        <v>259.92</v>
      </c>
      <c r="D698" s="1">
        <v>0</v>
      </c>
      <c r="E698">
        <f>D698*C698</f>
        <v>0</v>
      </c>
      <c r="F698" s="1" t="s">
        <v>1977</v>
      </c>
      <c r="G698" s="17">
        <v>78268</v>
      </c>
    </row>
    <row r="699" spans="1:7">
      <c r="A699" s="1" t="s">
        <v>1978</v>
      </c>
      <c r="B699" s="1" t="s">
        <v>1979</v>
      </c>
      <c r="C699">
        <f>(1-(B7/100))*346.53</f>
        <v>346.53</v>
      </c>
      <c r="D699" s="1">
        <v>0</v>
      </c>
      <c r="E699">
        <f>D699*C699</f>
        <v>0</v>
      </c>
      <c r="F699" s="1" t="s">
        <v>1980</v>
      </c>
      <c r="G699" s="17">
        <v>78269</v>
      </c>
    </row>
    <row r="700" spans="1:7">
      <c r="A700" s="1" t="s">
        <v>1981</v>
      </c>
      <c r="B700" s="1" t="s">
        <v>1982</v>
      </c>
      <c r="C700">
        <f>(1-(B7/100))*259.92</f>
        <v>259.92</v>
      </c>
      <c r="D700" s="1">
        <v>0</v>
      </c>
      <c r="E700">
        <f>D700*C700</f>
        <v>0</v>
      </c>
      <c r="F700" s="1" t="s">
        <v>1983</v>
      </c>
      <c r="G700" s="17">
        <v>78270</v>
      </c>
    </row>
    <row r="701" spans="1:7">
      <c r="A701" s="1" t="s">
        <v>1984</v>
      </c>
      <c r="B701" s="1" t="s">
        <v>1985</v>
      </c>
      <c r="C701">
        <f>(1-(B7/100))*456.12</f>
        <v>456.12</v>
      </c>
      <c r="D701" s="1">
        <v>0</v>
      </c>
      <c r="E701">
        <f>D701*C701</f>
        <v>0</v>
      </c>
      <c r="F701" s="1" t="s">
        <v>1986</v>
      </c>
      <c r="G701" s="17">
        <v>78271</v>
      </c>
    </row>
    <row r="702" spans="1:7">
      <c r="A702" s="1" t="s">
        <v>1987</v>
      </c>
      <c r="B702" s="1" t="s">
        <v>1988</v>
      </c>
      <c r="C702">
        <f>(1-(B7/100))*279.51</f>
        <v>279.51</v>
      </c>
      <c r="D702" s="1">
        <v>0</v>
      </c>
      <c r="E702">
        <f>D702*C702</f>
        <v>0</v>
      </c>
      <c r="F702" s="1" t="s">
        <v>1989</v>
      </c>
      <c r="G702" s="17">
        <v>78272</v>
      </c>
    </row>
    <row r="703" spans="1:7">
      <c r="A703" s="1" t="s">
        <v>1990</v>
      </c>
      <c r="B703" s="1" t="s">
        <v>1991</v>
      </c>
      <c r="C703">
        <f>(1-(B7/100))*456.12</f>
        <v>456.12</v>
      </c>
      <c r="D703" s="1">
        <v>0</v>
      </c>
      <c r="E703">
        <f>D703*C703</f>
        <v>0</v>
      </c>
      <c r="F703" s="1" t="s">
        <v>1992</v>
      </c>
      <c r="G703" s="17">
        <v>78277</v>
      </c>
    </row>
    <row r="704" spans="1:7">
      <c r="A704" s="1" t="s">
        <v>1993</v>
      </c>
      <c r="B704" s="1" t="s">
        <v>1994</v>
      </c>
      <c r="C704">
        <f>(1-(B7/100))*473.59</f>
        <v>473.59</v>
      </c>
      <c r="D704" s="1">
        <v>0</v>
      </c>
      <c r="E704">
        <f>D704*C704</f>
        <v>0</v>
      </c>
      <c r="F704" s="1" t="s">
        <v>1995</v>
      </c>
      <c r="G704" s="17">
        <v>78280</v>
      </c>
    </row>
    <row r="705" spans="1:7">
      <c r="A705" s="1" t="s">
        <v>1996</v>
      </c>
      <c r="B705" s="1" t="s">
        <v>1922</v>
      </c>
      <c r="C705">
        <f>(1-(B7/100))*369.35</f>
        <v>369.35</v>
      </c>
      <c r="D705" s="1">
        <v>0</v>
      </c>
      <c r="E705">
        <f>D705*C705</f>
        <v>0</v>
      </c>
      <c r="F705" s="1" t="s">
        <v>1997</v>
      </c>
      <c r="G705" s="17">
        <v>78281</v>
      </c>
    </row>
    <row r="706" spans="1:7">
      <c r="A706" s="1" t="s">
        <v>1998</v>
      </c>
      <c r="B706" s="1" t="s">
        <v>1922</v>
      </c>
      <c r="C706">
        <f>(1-(B7/100))*328.77</f>
        <v>328.77</v>
      </c>
      <c r="D706" s="1">
        <v>0</v>
      </c>
      <c r="E706">
        <f>D706*C706</f>
        <v>0</v>
      </c>
      <c r="F706" s="1" t="s">
        <v>1999</v>
      </c>
      <c r="G706" s="17">
        <v>78282</v>
      </c>
    </row>
    <row r="707" spans="1:7">
      <c r="A707" s="1" t="s">
        <v>2000</v>
      </c>
      <c r="B707" s="1" t="s">
        <v>2001</v>
      </c>
      <c r="C707">
        <f>(1-(B7/100))*346.72</f>
        <v>346.72</v>
      </c>
      <c r="D707" s="1">
        <v>0</v>
      </c>
      <c r="E707">
        <f>D707*C707</f>
        <v>0</v>
      </c>
      <c r="F707" s="1" t="s">
        <v>2002</v>
      </c>
      <c r="G707" s="17">
        <v>78283</v>
      </c>
    </row>
    <row r="708" spans="1:7">
      <c r="A708" s="1" t="s">
        <v>2003</v>
      </c>
      <c r="B708" s="1" t="s">
        <v>2001</v>
      </c>
      <c r="C708">
        <f>(1-(B7/100))*328.77</f>
        <v>328.77</v>
      </c>
      <c r="D708" s="1">
        <v>0</v>
      </c>
      <c r="E708">
        <f>D708*C708</f>
        <v>0</v>
      </c>
      <c r="F708" s="1" t="s">
        <v>2004</v>
      </c>
      <c r="G708" s="17">
        <v>78284</v>
      </c>
    </row>
    <row r="709" spans="1:7">
      <c r="A709" s="1" t="s">
        <v>2005</v>
      </c>
      <c r="B709" s="1" t="s">
        <v>2006</v>
      </c>
      <c r="C709">
        <f>(1-(B7/100))*557.57</f>
        <v>557.57</v>
      </c>
      <c r="D709" s="1">
        <v>0</v>
      </c>
      <c r="E709">
        <f>D709*C709</f>
        <v>0</v>
      </c>
      <c r="F709" s="1" t="s">
        <v>2007</v>
      </c>
      <c r="G709" s="17">
        <v>78286</v>
      </c>
    </row>
    <row r="710" spans="1:7">
      <c r="A710" s="1" t="s">
        <v>2008</v>
      </c>
      <c r="B710" s="1" t="s">
        <v>2009</v>
      </c>
      <c r="C710">
        <f>(1-(B7/100))*40.77</f>
        <v>40.77</v>
      </c>
      <c r="D710" s="1">
        <v>0</v>
      </c>
      <c r="E710">
        <f>D710*C710</f>
        <v>0</v>
      </c>
      <c r="F710" s="1" t="s">
        <v>2010</v>
      </c>
      <c r="G710" s="17">
        <v>78289</v>
      </c>
    </row>
    <row r="711" spans="1:7">
      <c r="A711" s="1" t="s">
        <v>2011</v>
      </c>
      <c r="B711" s="1" t="s">
        <v>2012</v>
      </c>
      <c r="C711">
        <f>(1-(B7/100))*34.69</f>
        <v>34.69</v>
      </c>
      <c r="D711" s="1">
        <v>0</v>
      </c>
      <c r="E711">
        <f>D711*C711</f>
        <v>0</v>
      </c>
      <c r="F711" s="1" t="s">
        <v>2013</v>
      </c>
      <c r="G711" s="17">
        <v>78290</v>
      </c>
    </row>
    <row r="712" spans="1:7">
      <c r="A712" s="1" t="s">
        <v>2014</v>
      </c>
      <c r="B712" s="1" t="s">
        <v>2015</v>
      </c>
      <c r="C712">
        <f>(1-(B7/100))*35.53</f>
        <v>35.53</v>
      </c>
      <c r="D712" s="1">
        <v>0</v>
      </c>
      <c r="E712">
        <f>D712*C712</f>
        <v>0</v>
      </c>
      <c r="F712" s="1" t="s">
        <v>2016</v>
      </c>
      <c r="G712" s="17">
        <v>78291</v>
      </c>
    </row>
    <row r="713" spans="1:7">
      <c r="A713" s="1" t="s">
        <v>2017</v>
      </c>
      <c r="B713" s="1" t="s">
        <v>2018</v>
      </c>
      <c r="C713">
        <f>(1-(B7/100))*30.5</f>
        <v>30.5</v>
      </c>
      <c r="D713" s="1">
        <v>0</v>
      </c>
      <c r="E713">
        <f>D713*C713</f>
        <v>0</v>
      </c>
      <c r="F713" s="1" t="s">
        <v>2019</v>
      </c>
      <c r="G713" s="17">
        <v>78292</v>
      </c>
    </row>
    <row r="714" spans="1:7">
      <c r="A714" s="1" t="s">
        <v>2020</v>
      </c>
      <c r="B714" s="1" t="s">
        <v>2021</v>
      </c>
      <c r="C714">
        <f>(1-(B7/100))*40.02</f>
        <v>40.02</v>
      </c>
      <c r="D714" s="1">
        <v>0</v>
      </c>
      <c r="E714">
        <f>D714*C714</f>
        <v>0</v>
      </c>
      <c r="F714" s="1" t="s">
        <v>2022</v>
      </c>
      <c r="G714" s="17">
        <v>78294</v>
      </c>
    </row>
    <row r="715" spans="1:7">
      <c r="A715" s="1" t="s">
        <v>2023</v>
      </c>
      <c r="B715" s="1" t="s">
        <v>2024</v>
      </c>
      <c r="C715">
        <f>(1-(B7/100))*31.7</f>
        <v>31.7</v>
      </c>
      <c r="D715" s="1">
        <v>0</v>
      </c>
      <c r="E715">
        <f>D715*C715</f>
        <v>0</v>
      </c>
      <c r="F715" s="1" t="s">
        <v>2025</v>
      </c>
      <c r="G715" s="17">
        <v>78296</v>
      </c>
    </row>
    <row r="716" spans="1:7">
      <c r="A716" s="1" t="s">
        <v>2026</v>
      </c>
      <c r="B716" s="1" t="s">
        <v>2027</v>
      </c>
      <c r="C716">
        <f>(1-(B7/100))*31.03</f>
        <v>31.03</v>
      </c>
      <c r="D716" s="1">
        <v>0</v>
      </c>
      <c r="E716">
        <f>D716*C716</f>
        <v>0</v>
      </c>
      <c r="F716" s="1" t="s">
        <v>2028</v>
      </c>
      <c r="G716" s="17">
        <v>78297</v>
      </c>
    </row>
    <row r="717" spans="1:7">
      <c r="A717" s="1" t="s">
        <v>2029</v>
      </c>
      <c r="B717" s="1" t="s">
        <v>2030</v>
      </c>
      <c r="C717">
        <f>(1-(B7/100))*224.19</f>
        <v>224.19</v>
      </c>
      <c r="D717" s="1">
        <v>0</v>
      </c>
      <c r="E717">
        <f>D717*C717</f>
        <v>0</v>
      </c>
      <c r="F717" s="1" t="s">
        <v>2031</v>
      </c>
      <c r="G717" s="17">
        <v>78298</v>
      </c>
    </row>
    <row r="718" spans="1:7">
      <c r="A718" s="1" t="s">
        <v>2032</v>
      </c>
      <c r="B718" s="1" t="s">
        <v>2033</v>
      </c>
      <c r="C718">
        <f>(1-(B7/100))*31.7</f>
        <v>31.7</v>
      </c>
      <c r="D718" s="1">
        <v>0</v>
      </c>
      <c r="E718">
        <f>D718*C718</f>
        <v>0</v>
      </c>
      <c r="F718" s="1" t="s">
        <v>2034</v>
      </c>
      <c r="G718" s="17">
        <v>78299</v>
      </c>
    </row>
    <row r="719" spans="1:7">
      <c r="A719" s="1" t="s">
        <v>2035</v>
      </c>
      <c r="B719" s="1" t="s">
        <v>2036</v>
      </c>
      <c r="C719">
        <f>(1-(B7/100))*31.7</f>
        <v>31.7</v>
      </c>
      <c r="D719" s="1">
        <v>0</v>
      </c>
      <c r="E719">
        <f>D719*C719</f>
        <v>0</v>
      </c>
      <c r="F719" s="1" t="s">
        <v>2037</v>
      </c>
      <c r="G719" s="17">
        <v>78300</v>
      </c>
    </row>
    <row r="720" spans="1:7">
      <c r="A720" s="1" t="s">
        <v>2038</v>
      </c>
      <c r="B720" s="1" t="s">
        <v>2039</v>
      </c>
      <c r="C720">
        <f>(1-(B7/100))*35.88</f>
        <v>35.88</v>
      </c>
      <c r="D720" s="1">
        <v>0</v>
      </c>
      <c r="E720">
        <f>D720*C720</f>
        <v>0</v>
      </c>
      <c r="F720" s="1" t="s">
        <v>2040</v>
      </c>
      <c r="G720" s="17">
        <v>78304</v>
      </c>
    </row>
    <row r="721" spans="1:7">
      <c r="A721" s="1" t="s">
        <v>2041</v>
      </c>
      <c r="B721" s="1" t="s">
        <v>2042</v>
      </c>
      <c r="C721">
        <f>(1-(B7/100))*30.5</f>
        <v>30.5</v>
      </c>
      <c r="D721" s="1">
        <v>0</v>
      </c>
      <c r="E721">
        <f>D721*C721</f>
        <v>0</v>
      </c>
      <c r="F721" s="1" t="s">
        <v>2043</v>
      </c>
      <c r="G721" s="17">
        <v>78305</v>
      </c>
    </row>
    <row r="722" spans="1:7">
      <c r="A722" s="1" t="s">
        <v>2044</v>
      </c>
      <c r="B722" s="1" t="s">
        <v>2045</v>
      </c>
      <c r="C722">
        <f>(1-(B7/100))*31.88</f>
        <v>31.88</v>
      </c>
      <c r="D722" s="1">
        <v>0</v>
      </c>
      <c r="E722">
        <f>D722*C722</f>
        <v>0</v>
      </c>
      <c r="F722" s="1" t="s">
        <v>2046</v>
      </c>
      <c r="G722" s="17">
        <v>78306</v>
      </c>
    </row>
    <row r="723" spans="1:7">
      <c r="A723" s="1" t="s">
        <v>2047</v>
      </c>
      <c r="B723" s="1" t="s">
        <v>2048</v>
      </c>
      <c r="C723">
        <f>(1-(B7/100))*30.28</f>
        <v>30.28</v>
      </c>
      <c r="D723" s="1">
        <v>0</v>
      </c>
      <c r="E723">
        <f>D723*C723</f>
        <v>0</v>
      </c>
      <c r="F723" s="1" t="s">
        <v>2049</v>
      </c>
      <c r="G723" s="17">
        <v>78308</v>
      </c>
    </row>
    <row r="724" spans="1:7">
      <c r="A724" s="1" t="s">
        <v>2050</v>
      </c>
      <c r="B724" s="1" t="s">
        <v>2051</v>
      </c>
      <c r="C724">
        <f>(1-(B7/100))*45.05</f>
        <v>45.05</v>
      </c>
      <c r="D724" s="1">
        <v>0</v>
      </c>
      <c r="E724">
        <f>D724*C724</f>
        <v>0</v>
      </c>
      <c r="F724" s="1" t="s">
        <v>2052</v>
      </c>
      <c r="G724" s="17">
        <v>78309</v>
      </c>
    </row>
    <row r="725" spans="1:7">
      <c r="A725" s="1" t="s">
        <v>2053</v>
      </c>
      <c r="B725" s="1" t="s">
        <v>2054</v>
      </c>
      <c r="C725">
        <f>(1-(B7/100))*67.49</f>
        <v>67.49</v>
      </c>
      <c r="D725" s="1">
        <v>0</v>
      </c>
      <c r="E725">
        <f>D725*C725</f>
        <v>0</v>
      </c>
      <c r="F725" s="1" t="s">
        <v>2055</v>
      </c>
      <c r="G725" s="17">
        <v>78310</v>
      </c>
    </row>
    <row r="726" spans="1:7">
      <c r="A726" s="1" t="s">
        <v>2056</v>
      </c>
      <c r="B726" s="1" t="s">
        <v>2057</v>
      </c>
      <c r="C726">
        <f>(1-(B7/100))*679.31</f>
        <v>679.31</v>
      </c>
      <c r="D726" s="1">
        <v>0</v>
      </c>
      <c r="E726">
        <f>D726*C726</f>
        <v>0</v>
      </c>
      <c r="F726" s="1" t="s">
        <v>2058</v>
      </c>
      <c r="G726" s="17">
        <v>78311</v>
      </c>
    </row>
    <row r="727" spans="1:7">
      <c r="A727" s="1" t="s">
        <v>2059</v>
      </c>
      <c r="B727" s="1" t="s">
        <v>2060</v>
      </c>
      <c r="C727">
        <f>(1-(B7/100))*588.21</f>
        <v>588.21</v>
      </c>
      <c r="D727" s="1">
        <v>0</v>
      </c>
      <c r="E727">
        <f>D727*C727</f>
        <v>0</v>
      </c>
      <c r="F727" s="1" t="s">
        <v>2061</v>
      </c>
      <c r="G727" s="17">
        <v>78312</v>
      </c>
    </row>
    <row r="728" spans="1:7">
      <c r="A728" s="1" t="s">
        <v>2062</v>
      </c>
      <c r="B728" s="1" t="s">
        <v>2063</v>
      </c>
      <c r="C728">
        <f>(1-(B7/100))*387.16</f>
        <v>387.16</v>
      </c>
      <c r="D728" s="1">
        <v>0</v>
      </c>
      <c r="E728">
        <f>D728*C728</f>
        <v>0</v>
      </c>
      <c r="F728" s="1" t="s">
        <v>2064</v>
      </c>
      <c r="G728" s="17">
        <v>78313</v>
      </c>
    </row>
    <row r="729" spans="1:7">
      <c r="A729" s="1" t="s">
        <v>2065</v>
      </c>
      <c r="B729" s="1" t="s">
        <v>2066</v>
      </c>
      <c r="C729">
        <f>(1-(B7/100))*359.04</f>
        <v>359.04</v>
      </c>
      <c r="D729" s="1">
        <v>0</v>
      </c>
      <c r="E729">
        <f>D729*C729</f>
        <v>0</v>
      </c>
      <c r="F729" s="1" t="s">
        <v>2067</v>
      </c>
      <c r="G729" s="17">
        <v>78314</v>
      </c>
    </row>
    <row r="730" spans="1:7">
      <c r="A730" s="1" t="s">
        <v>2068</v>
      </c>
      <c r="B730" s="1" t="s">
        <v>2069</v>
      </c>
      <c r="C730">
        <f>(1-(B7/100))*520.98</f>
        <v>520.98</v>
      </c>
      <c r="D730" s="1">
        <v>0</v>
      </c>
      <c r="E730">
        <f>D730*C730</f>
        <v>0</v>
      </c>
      <c r="F730" s="1" t="s">
        <v>2070</v>
      </c>
      <c r="G730" s="17">
        <v>78317</v>
      </c>
    </row>
    <row r="731" spans="1:7">
      <c r="A731" s="1" t="s">
        <v>2071</v>
      </c>
      <c r="B731" s="1" t="s">
        <v>2072</v>
      </c>
      <c r="C731">
        <f>(1-(B7/100))*456.02</f>
        <v>456.02</v>
      </c>
      <c r="D731" s="1">
        <v>0</v>
      </c>
      <c r="E731">
        <f>D731*C731</f>
        <v>0</v>
      </c>
      <c r="F731" s="1" t="s">
        <v>2073</v>
      </c>
      <c r="G731" s="17">
        <v>78319</v>
      </c>
    </row>
    <row r="732" spans="1:7">
      <c r="A732" s="1" t="s">
        <v>2074</v>
      </c>
      <c r="B732" s="1" t="s">
        <v>2075</v>
      </c>
      <c r="C732">
        <f>(1-(B7/100))*29.6</f>
        <v>29.6</v>
      </c>
      <c r="D732" s="1">
        <v>0</v>
      </c>
      <c r="E732">
        <f>D732*C732</f>
        <v>0</v>
      </c>
      <c r="F732" s="1" t="s">
        <v>2076</v>
      </c>
      <c r="G732" s="17">
        <v>78321</v>
      </c>
    </row>
    <row r="733" spans="1:7">
      <c r="A733" s="1" t="s">
        <v>2077</v>
      </c>
      <c r="B733" s="1" t="s">
        <v>2078</v>
      </c>
      <c r="C733">
        <f>(1-(B7/100))*84.93</f>
        <v>84.93</v>
      </c>
      <c r="D733" s="1">
        <v>0</v>
      </c>
      <c r="E733">
        <f>D733*C733</f>
        <v>0</v>
      </c>
      <c r="F733" s="1" t="s">
        <v>2079</v>
      </c>
      <c r="G733" s="17">
        <v>78322</v>
      </c>
    </row>
    <row r="734" spans="1:7">
      <c r="A734" s="1" t="s">
        <v>2080</v>
      </c>
      <c r="B734" s="1" t="s">
        <v>2081</v>
      </c>
      <c r="C734">
        <f>(1-(B7/100))*10.77</f>
        <v>10.77</v>
      </c>
      <c r="D734" s="1">
        <v>0</v>
      </c>
      <c r="E734">
        <f>D734*C734</f>
        <v>0</v>
      </c>
      <c r="F734" s="1" t="s">
        <v>2082</v>
      </c>
      <c r="G734" s="17">
        <v>78323</v>
      </c>
    </row>
    <row r="735" spans="1:7">
      <c r="A735" s="1" t="s">
        <v>2083</v>
      </c>
      <c r="B735" s="1" t="s">
        <v>2084</v>
      </c>
      <c r="C735">
        <f>(1-(B7/100))*111.31</f>
        <v>111.31</v>
      </c>
      <c r="D735" s="1">
        <v>0</v>
      </c>
      <c r="E735">
        <f>D735*C735</f>
        <v>0</v>
      </c>
      <c r="F735" s="1" t="s">
        <v>2085</v>
      </c>
      <c r="G735" s="17">
        <v>78324</v>
      </c>
    </row>
    <row r="736" spans="1:7">
      <c r="A736" s="1" t="s">
        <v>2086</v>
      </c>
      <c r="B736" s="1" t="s">
        <v>2087</v>
      </c>
      <c r="C736">
        <f>(1-(B7/100))*26.39</f>
        <v>26.39</v>
      </c>
      <c r="D736" s="1">
        <v>0</v>
      </c>
      <c r="E736">
        <f>D736*C736</f>
        <v>0</v>
      </c>
      <c r="F736" s="1" t="s">
        <v>2088</v>
      </c>
      <c r="G736" s="17">
        <v>78331</v>
      </c>
    </row>
    <row r="737" spans="1:7">
      <c r="A737" s="1" t="s">
        <v>2089</v>
      </c>
      <c r="B737" s="1" t="s">
        <v>1955</v>
      </c>
      <c r="C737">
        <f>(1-(B7/100))*240.26</f>
        <v>240.26</v>
      </c>
      <c r="D737" s="1">
        <v>0</v>
      </c>
      <c r="E737">
        <f>D737*C737</f>
        <v>0</v>
      </c>
      <c r="F737" s="1" t="s">
        <v>2090</v>
      </c>
      <c r="G737" s="17">
        <v>78332</v>
      </c>
    </row>
    <row r="738" spans="1:7">
      <c r="A738" s="1" t="s">
        <v>2091</v>
      </c>
      <c r="B738" s="1" t="s">
        <v>2092</v>
      </c>
      <c r="C738">
        <f>(1-(B7/100))*279.51</f>
        <v>279.51</v>
      </c>
      <c r="D738" s="1">
        <v>0</v>
      </c>
      <c r="E738">
        <f>D738*C738</f>
        <v>0</v>
      </c>
      <c r="F738" s="1" t="s">
        <v>2093</v>
      </c>
      <c r="G738" s="17">
        <v>78333</v>
      </c>
    </row>
    <row r="739" spans="1:7">
      <c r="A739" s="1" t="s">
        <v>2094</v>
      </c>
      <c r="B739" s="1" t="s">
        <v>1141</v>
      </c>
      <c r="C739">
        <f>(1-(B7/100))*33.82</f>
        <v>33.82</v>
      </c>
      <c r="D739" s="1">
        <v>0</v>
      </c>
      <c r="E739">
        <f>D739*C739</f>
        <v>0</v>
      </c>
      <c r="F739" s="1" t="s">
        <v>2095</v>
      </c>
      <c r="G739" s="17">
        <v>78335</v>
      </c>
    </row>
    <row r="740" spans="1:7">
      <c r="A740" s="1" t="s">
        <v>2096</v>
      </c>
      <c r="B740" s="1" t="s">
        <v>2097</v>
      </c>
      <c r="C740">
        <f>(1-(B7/100))*63.68</f>
        <v>63.68</v>
      </c>
      <c r="D740" s="1">
        <v>0</v>
      </c>
      <c r="E740">
        <f>D740*C740</f>
        <v>0</v>
      </c>
      <c r="F740" s="1" t="s">
        <v>2098</v>
      </c>
      <c r="G740" s="17">
        <v>78336</v>
      </c>
    </row>
    <row r="741" spans="1:7">
      <c r="A741" s="1" t="s">
        <v>2099</v>
      </c>
      <c r="B741" s="1" t="s">
        <v>2100</v>
      </c>
      <c r="C741">
        <f>(1-(B7/100))*100.45</f>
        <v>100.45</v>
      </c>
      <c r="D741" s="1">
        <v>0</v>
      </c>
      <c r="E741">
        <f>D741*C741</f>
        <v>0</v>
      </c>
      <c r="F741" s="1" t="s">
        <v>2101</v>
      </c>
      <c r="G741" s="17">
        <v>78345</v>
      </c>
    </row>
    <row r="742" spans="1:7">
      <c r="A742" s="1" t="s">
        <v>2102</v>
      </c>
      <c r="B742" s="1" t="s">
        <v>2103</v>
      </c>
      <c r="C742">
        <f>(1-(B7/100))*158.94</f>
        <v>158.94</v>
      </c>
      <c r="D742" s="1">
        <v>0</v>
      </c>
      <c r="E742">
        <f>D742*C742</f>
        <v>0</v>
      </c>
      <c r="F742" s="1" t="s">
        <v>2104</v>
      </c>
      <c r="G742" s="17">
        <v>78346</v>
      </c>
    </row>
    <row r="743" spans="1:7">
      <c r="A743" s="1" t="s">
        <v>2105</v>
      </c>
      <c r="B743" s="1" t="s">
        <v>2106</v>
      </c>
      <c r="C743">
        <f>(1-(B7/100))*75.7</f>
        <v>75.7</v>
      </c>
      <c r="D743" s="1">
        <v>0</v>
      </c>
      <c r="E743">
        <f>D743*C743</f>
        <v>0</v>
      </c>
      <c r="F743" s="1" t="s">
        <v>2107</v>
      </c>
      <c r="G743" s="17">
        <v>78350</v>
      </c>
    </row>
    <row r="744" spans="1:7">
      <c r="A744" s="1" t="s">
        <v>2108</v>
      </c>
      <c r="B744" s="1" t="s">
        <v>2109</v>
      </c>
      <c r="C744">
        <f>(1-(B7/100))*19.95</f>
        <v>19.95</v>
      </c>
      <c r="D744" s="1">
        <v>0</v>
      </c>
      <c r="E744">
        <f>D744*C744</f>
        <v>0</v>
      </c>
      <c r="F744" s="1" t="s">
        <v>2110</v>
      </c>
      <c r="G744" s="17">
        <v>78351</v>
      </c>
    </row>
    <row r="745" spans="1:7">
      <c r="A745" s="1" t="s">
        <v>2111</v>
      </c>
      <c r="B745" s="1" t="s">
        <v>2112</v>
      </c>
      <c r="C745">
        <f>(1-(B7/100))*34.02</f>
        <v>34.02</v>
      </c>
      <c r="D745" s="1">
        <v>0</v>
      </c>
      <c r="E745">
        <f>D745*C745</f>
        <v>0</v>
      </c>
      <c r="F745" s="1" t="s">
        <v>2113</v>
      </c>
      <c r="G745" s="17">
        <v>78352</v>
      </c>
    </row>
    <row r="746" spans="1:7">
      <c r="A746" s="1" t="s">
        <v>2114</v>
      </c>
      <c r="B746" s="1" t="s">
        <v>2115</v>
      </c>
      <c r="C746">
        <f>(1-(B7/100))*45.13</f>
        <v>45.13</v>
      </c>
      <c r="D746" s="1">
        <v>0</v>
      </c>
      <c r="E746">
        <f>D746*C746</f>
        <v>0</v>
      </c>
      <c r="F746" s="1" t="s">
        <v>2116</v>
      </c>
      <c r="G746" s="17">
        <v>78353</v>
      </c>
    </row>
    <row r="747" spans="1:7">
      <c r="A747" s="1" t="s">
        <v>2117</v>
      </c>
      <c r="B747" s="1" t="s">
        <v>2118</v>
      </c>
      <c r="C747">
        <f>(1-(B7/100))*32.15</f>
        <v>32.15</v>
      </c>
      <c r="D747" s="1">
        <v>0</v>
      </c>
      <c r="E747">
        <f>D747*C747</f>
        <v>0</v>
      </c>
      <c r="F747" s="1" t="s">
        <v>2119</v>
      </c>
      <c r="G747" s="17">
        <v>78355</v>
      </c>
    </row>
    <row r="748" spans="1:7">
      <c r="A748" s="1" t="s">
        <v>2120</v>
      </c>
      <c r="B748" s="1" t="s">
        <v>2121</v>
      </c>
      <c r="C748">
        <f>(1-(B7/100))*684.89</f>
        <v>684.89</v>
      </c>
      <c r="D748" s="1">
        <v>0</v>
      </c>
      <c r="E748">
        <f>D748*C748</f>
        <v>0</v>
      </c>
      <c r="F748" s="1" t="s">
        <v>2122</v>
      </c>
      <c r="G748" s="17">
        <v>78357</v>
      </c>
    </row>
    <row r="749" spans="1:7">
      <c r="A749" s="1" t="s">
        <v>2123</v>
      </c>
      <c r="B749" s="1" t="s">
        <v>2124</v>
      </c>
      <c r="C749">
        <f>(1-(B7/100))*620.16</f>
        <v>620.16</v>
      </c>
      <c r="D749" s="1">
        <v>0</v>
      </c>
      <c r="E749">
        <f>D749*C749</f>
        <v>0</v>
      </c>
      <c r="F749" s="1" t="s">
        <v>2125</v>
      </c>
      <c r="G749" s="17">
        <v>78359</v>
      </c>
    </row>
    <row r="750" spans="1:7">
      <c r="A750" s="1" t="s">
        <v>2126</v>
      </c>
      <c r="B750" s="1" t="s">
        <v>2127</v>
      </c>
      <c r="C750">
        <f>(1-(B7/100))*676.53</f>
        <v>676.53</v>
      </c>
      <c r="D750" s="1">
        <v>0</v>
      </c>
      <c r="E750">
        <f>D750*C750</f>
        <v>0</v>
      </c>
      <c r="F750" s="1" t="s">
        <v>2128</v>
      </c>
      <c r="G750" s="17">
        <v>78364</v>
      </c>
    </row>
    <row r="751" spans="1:7">
      <c r="A751" s="1" t="s">
        <v>2129</v>
      </c>
      <c r="B751" s="1" t="s">
        <v>2130</v>
      </c>
      <c r="C751">
        <f>(1-(B7/100))*789.29</f>
        <v>789.29</v>
      </c>
      <c r="D751" s="1">
        <v>0</v>
      </c>
      <c r="E751">
        <f>D751*C751</f>
        <v>0</v>
      </c>
      <c r="F751" s="1" t="s">
        <v>2131</v>
      </c>
      <c r="G751" s="17">
        <v>78373</v>
      </c>
    </row>
    <row r="752" spans="1:7">
      <c r="A752" s="1" t="s">
        <v>2132</v>
      </c>
      <c r="B752" s="1" t="s">
        <v>2133</v>
      </c>
      <c r="C752">
        <f>(1-(B7/100))*55.32</f>
        <v>55.32</v>
      </c>
      <c r="D752" s="1">
        <v>0</v>
      </c>
      <c r="E752">
        <f>D752*C752</f>
        <v>0</v>
      </c>
      <c r="F752" s="1" t="s">
        <v>2134</v>
      </c>
      <c r="G752" s="17">
        <v>78374</v>
      </c>
    </row>
    <row r="753" spans="1:7">
      <c r="A753" s="1" t="s">
        <v>2135</v>
      </c>
      <c r="B753" s="1" t="s">
        <v>2136</v>
      </c>
      <c r="C753">
        <f>(1-(B7/100))*128.66</f>
        <v>128.66</v>
      </c>
      <c r="D753" s="1">
        <v>0</v>
      </c>
      <c r="E753">
        <f>D753*C753</f>
        <v>0</v>
      </c>
      <c r="F753" s="1" t="s">
        <v>2137</v>
      </c>
      <c r="G753" s="17">
        <v>78381</v>
      </c>
    </row>
    <row r="754" spans="1:7">
      <c r="A754" s="1" t="s">
        <v>2138</v>
      </c>
      <c r="B754" s="1" t="s">
        <v>2139</v>
      </c>
      <c r="C754">
        <f>(1-(B7/100))*41.62</f>
        <v>41.62</v>
      </c>
      <c r="D754" s="1">
        <v>0</v>
      </c>
      <c r="E754">
        <f>D754*C754</f>
        <v>0</v>
      </c>
      <c r="F754" s="1" t="s">
        <v>2140</v>
      </c>
      <c r="G754" s="17">
        <v>78384</v>
      </c>
    </row>
    <row r="755" spans="1:7">
      <c r="A755" s="1" t="s">
        <v>2141</v>
      </c>
      <c r="B755" s="1" t="s">
        <v>2142</v>
      </c>
      <c r="C755">
        <f>(1-(B7/100))*28.72</f>
        <v>28.72</v>
      </c>
      <c r="D755" s="1">
        <v>0</v>
      </c>
      <c r="E755">
        <f>D755*C755</f>
        <v>0</v>
      </c>
      <c r="F755" s="1" t="s">
        <v>2143</v>
      </c>
      <c r="G755" s="17">
        <v>78387</v>
      </c>
    </row>
    <row r="756" spans="1:7">
      <c r="A756" s="1" t="s">
        <v>2144</v>
      </c>
      <c r="B756" s="1" t="s">
        <v>2145</v>
      </c>
      <c r="C756">
        <f>(1-(B7/100))*48.68</f>
        <v>48.68</v>
      </c>
      <c r="D756" s="1">
        <v>0</v>
      </c>
      <c r="E756">
        <f>D756*C756</f>
        <v>0</v>
      </c>
      <c r="F756" s="1" t="s">
        <v>2146</v>
      </c>
      <c r="G756" s="17">
        <v>78389</v>
      </c>
    </row>
    <row r="757" spans="1:7">
      <c r="A757" s="1" t="s">
        <v>2147</v>
      </c>
      <c r="B757" s="1" t="s">
        <v>2148</v>
      </c>
      <c r="C757">
        <f>(1-(B7/100))*128.56</f>
        <v>128.56</v>
      </c>
      <c r="D757" s="1">
        <v>0</v>
      </c>
      <c r="E757">
        <f>D757*C757</f>
        <v>0</v>
      </c>
      <c r="F757" s="1" t="s">
        <v>2149</v>
      </c>
      <c r="G757" s="17">
        <v>78394</v>
      </c>
    </row>
    <row r="758" spans="1:7">
      <c r="A758" s="1" t="s">
        <v>2150</v>
      </c>
      <c r="B758" s="1" t="s">
        <v>2151</v>
      </c>
      <c r="C758">
        <f>(1-(B7/100))*146.11</f>
        <v>146.11</v>
      </c>
      <c r="D758" s="1">
        <v>0</v>
      </c>
      <c r="E758">
        <f>D758*C758</f>
        <v>0</v>
      </c>
      <c r="F758" s="1" t="s">
        <v>2152</v>
      </c>
      <c r="G758" s="17">
        <v>78395</v>
      </c>
    </row>
    <row r="759" spans="1:7">
      <c r="A759" s="1" t="s">
        <v>2153</v>
      </c>
      <c r="B759" s="1" t="s">
        <v>2154</v>
      </c>
      <c r="C759">
        <f>(1-(B7/100))*11.51</f>
        <v>11.51</v>
      </c>
      <c r="D759" s="1">
        <v>0</v>
      </c>
      <c r="E759">
        <f>D759*C759</f>
        <v>0</v>
      </c>
      <c r="F759" s="1" t="s">
        <v>2155</v>
      </c>
      <c r="G759" s="17">
        <v>78398</v>
      </c>
    </row>
    <row r="760" spans="1:7">
      <c r="A760" s="1" t="s">
        <v>2156</v>
      </c>
      <c r="B760" s="1" t="s">
        <v>2157</v>
      </c>
      <c r="C760">
        <f>(1-(B7/100))*30.28</f>
        <v>30.28</v>
      </c>
      <c r="D760" s="1">
        <v>0</v>
      </c>
      <c r="E760">
        <f>D760*C760</f>
        <v>0</v>
      </c>
      <c r="F760" s="1" t="s">
        <v>2158</v>
      </c>
      <c r="G760" s="17">
        <v>78401</v>
      </c>
    </row>
    <row r="761" spans="1:7">
      <c r="A761" s="1" t="s">
        <v>2159</v>
      </c>
      <c r="B761" s="1" t="s">
        <v>2160</v>
      </c>
      <c r="C761">
        <f>(1-(B7/100))*1998.47</f>
        <v>1998.47</v>
      </c>
      <c r="D761" s="1">
        <v>0</v>
      </c>
      <c r="E761">
        <f>D761*C761</f>
        <v>0</v>
      </c>
      <c r="F761" s="1" t="s">
        <v>2161</v>
      </c>
      <c r="G761" s="17">
        <v>78405</v>
      </c>
    </row>
    <row r="762" spans="1:7">
      <c r="A762" s="1" t="s">
        <v>2162</v>
      </c>
      <c r="B762" s="1" t="s">
        <v>2163</v>
      </c>
      <c r="C762">
        <f>(1-(B7/100))*1892.45</f>
        <v>1892.45</v>
      </c>
      <c r="D762" s="1">
        <v>0</v>
      </c>
      <c r="E762">
        <f>D762*C762</f>
        <v>0</v>
      </c>
      <c r="F762" s="1" t="s">
        <v>2164</v>
      </c>
      <c r="G762" s="17">
        <v>78406</v>
      </c>
    </row>
    <row r="763" spans="1:7">
      <c r="A763" s="1" t="s">
        <v>2165</v>
      </c>
      <c r="B763" s="1" t="s">
        <v>2166</v>
      </c>
      <c r="C763">
        <f>(1-(B7/100))*41.88</f>
        <v>41.88</v>
      </c>
      <c r="D763" s="1">
        <v>0</v>
      </c>
      <c r="E763">
        <f>D763*C763</f>
        <v>0</v>
      </c>
      <c r="F763" s="1" t="s">
        <v>2167</v>
      </c>
      <c r="G763" s="17">
        <v>78408</v>
      </c>
    </row>
    <row r="764" spans="1:7">
      <c r="A764" s="1" t="s">
        <v>2168</v>
      </c>
      <c r="B764" s="1" t="s">
        <v>2169</v>
      </c>
      <c r="C764">
        <f>(1-(B7/100))*75.96</f>
        <v>75.96</v>
      </c>
      <c r="D764" s="1">
        <v>0</v>
      </c>
      <c r="E764">
        <f>D764*C764</f>
        <v>0</v>
      </c>
      <c r="F764" s="1" t="s">
        <v>2170</v>
      </c>
      <c r="G764" s="17">
        <v>78411</v>
      </c>
    </row>
    <row r="765" spans="1:7">
      <c r="A765" s="1" t="s">
        <v>2171</v>
      </c>
      <c r="B765" s="1" t="s">
        <v>2172</v>
      </c>
      <c r="C765">
        <f>(1-(B7/100))*171.98</f>
        <v>171.98</v>
      </c>
      <c r="D765" s="1">
        <v>0</v>
      </c>
      <c r="E765">
        <f>D765*C765</f>
        <v>0</v>
      </c>
      <c r="F765" s="1" t="s">
        <v>2173</v>
      </c>
      <c r="G765" s="17">
        <v>78416</v>
      </c>
    </row>
    <row r="766" spans="1:7">
      <c r="A766" s="1" t="s">
        <v>2174</v>
      </c>
      <c r="B766" s="1" t="s">
        <v>2175</v>
      </c>
      <c r="C766">
        <f>(1-(B7/100))*285.92</f>
        <v>285.92</v>
      </c>
      <c r="D766" s="1">
        <v>0</v>
      </c>
      <c r="E766">
        <f>D766*C766</f>
        <v>0</v>
      </c>
      <c r="F766" s="1" t="s">
        <v>2176</v>
      </c>
      <c r="G766" s="17">
        <v>78418</v>
      </c>
    </row>
    <row r="767" spans="1:7">
      <c r="A767" s="1" t="s">
        <v>2177</v>
      </c>
      <c r="B767" s="1" t="s">
        <v>2178</v>
      </c>
      <c r="C767">
        <f>(1-(B7/100))*328.32</f>
        <v>328.32</v>
      </c>
      <c r="D767" s="1">
        <v>0</v>
      </c>
      <c r="E767">
        <f>D767*C767</f>
        <v>0</v>
      </c>
      <c r="F767" s="1" t="s">
        <v>2179</v>
      </c>
      <c r="G767" s="17">
        <v>78419</v>
      </c>
    </row>
    <row r="768" spans="1:7">
      <c r="A768" s="1" t="s">
        <v>2180</v>
      </c>
      <c r="B768" s="1" t="s">
        <v>2181</v>
      </c>
      <c r="C768">
        <f>(1-(B7/100))*394.84</f>
        <v>394.84</v>
      </c>
      <c r="D768" s="1">
        <v>0</v>
      </c>
      <c r="E768">
        <f>D768*C768</f>
        <v>0</v>
      </c>
      <c r="F768" s="1" t="s">
        <v>2182</v>
      </c>
      <c r="G768" s="17">
        <v>78420</v>
      </c>
    </row>
    <row r="769" spans="1:7">
      <c r="A769" s="1" t="s">
        <v>2183</v>
      </c>
      <c r="B769" s="1" t="s">
        <v>2184</v>
      </c>
      <c r="C769">
        <f>(1-(B7/100))*218.98</f>
        <v>218.98</v>
      </c>
      <c r="D769" s="1">
        <v>0</v>
      </c>
      <c r="E769">
        <f>D769*C769</f>
        <v>0</v>
      </c>
      <c r="F769" s="1" t="s">
        <v>2185</v>
      </c>
      <c r="G769" s="17">
        <v>78422</v>
      </c>
    </row>
    <row r="770" spans="1:7">
      <c r="A770" s="1" t="s">
        <v>2186</v>
      </c>
      <c r="B770" s="1" t="s">
        <v>2187</v>
      </c>
      <c r="C770">
        <f>(1-(B7/100))*197.64</f>
        <v>197.64</v>
      </c>
      <c r="D770" s="1">
        <v>0</v>
      </c>
      <c r="E770">
        <f>D770*C770</f>
        <v>0</v>
      </c>
      <c r="F770" s="1" t="s">
        <v>2188</v>
      </c>
      <c r="G770" s="17">
        <v>78424</v>
      </c>
    </row>
    <row r="771" spans="1:7">
      <c r="A771" s="1" t="s">
        <v>2189</v>
      </c>
      <c r="B771" s="1" t="s">
        <v>2190</v>
      </c>
      <c r="C771">
        <f>(1-(B7/100))*43.69</f>
        <v>43.69</v>
      </c>
      <c r="D771" s="1">
        <v>0</v>
      </c>
      <c r="E771">
        <f>D771*C771</f>
        <v>0</v>
      </c>
      <c r="F771" s="1" t="s">
        <v>16</v>
      </c>
      <c r="G771" s="17">
        <v>78426</v>
      </c>
    </row>
    <row r="772" spans="1:7">
      <c r="A772" s="1" t="s">
        <v>2191</v>
      </c>
      <c r="B772" s="1" t="s">
        <v>2192</v>
      </c>
      <c r="C772">
        <f>(1-(B7/100))*29.7</f>
        <v>29.7</v>
      </c>
      <c r="D772" s="1">
        <v>0</v>
      </c>
      <c r="E772">
        <f>D772*C772</f>
        <v>0</v>
      </c>
      <c r="F772" s="1" t="s">
        <v>2193</v>
      </c>
      <c r="G772" s="17">
        <v>78428</v>
      </c>
    </row>
    <row r="773" spans="1:7">
      <c r="A773" s="1" t="s">
        <v>2194</v>
      </c>
      <c r="B773" s="1" t="s">
        <v>2195</v>
      </c>
      <c r="C773">
        <f>(1-(B7/100))*76.75</f>
        <v>76.75</v>
      </c>
      <c r="D773" s="1">
        <v>0</v>
      </c>
      <c r="E773">
        <f>D773*C773</f>
        <v>0</v>
      </c>
      <c r="F773" s="1" t="s">
        <v>2196</v>
      </c>
      <c r="G773" s="17">
        <v>78431</v>
      </c>
    </row>
    <row r="774" spans="1:7">
      <c r="A774" s="1" t="s">
        <v>2197</v>
      </c>
      <c r="B774" s="1" t="s">
        <v>2198</v>
      </c>
      <c r="C774">
        <f>(1-(B7/100))*641.71</f>
        <v>641.71</v>
      </c>
      <c r="D774" s="1">
        <v>0</v>
      </c>
      <c r="E774">
        <f>D774*C774</f>
        <v>0</v>
      </c>
      <c r="F774" s="1" t="s">
        <v>2199</v>
      </c>
      <c r="G774" s="17">
        <v>78434</v>
      </c>
    </row>
    <row r="775" spans="1:7">
      <c r="A775" s="1" t="s">
        <v>2200</v>
      </c>
      <c r="B775" s="1" t="s">
        <v>2201</v>
      </c>
      <c r="C775">
        <f>(1-(B7/100))*836.49</f>
        <v>836.49</v>
      </c>
      <c r="D775" s="1">
        <v>0</v>
      </c>
      <c r="E775">
        <f>D775*C775</f>
        <v>0</v>
      </c>
      <c r="F775" s="1" t="s">
        <v>2202</v>
      </c>
      <c r="G775" s="17">
        <v>78435</v>
      </c>
    </row>
    <row r="776" spans="1:7">
      <c r="A776" s="1" t="s">
        <v>2203</v>
      </c>
      <c r="B776" s="1" t="s">
        <v>2204</v>
      </c>
      <c r="C776">
        <f>(1-(B7/100))*1780.37</f>
        <v>1780.37</v>
      </c>
      <c r="D776" s="1">
        <v>0</v>
      </c>
      <c r="E776">
        <f>D776*C776</f>
        <v>0</v>
      </c>
      <c r="F776" s="1" t="s">
        <v>2205</v>
      </c>
      <c r="G776" s="17">
        <v>78439</v>
      </c>
    </row>
    <row r="777" spans="1:7">
      <c r="A777" s="1" t="s">
        <v>2206</v>
      </c>
      <c r="B777" s="1" t="s">
        <v>2207</v>
      </c>
      <c r="C777">
        <f>(1-(B7/100))*121.58</f>
        <v>121.58</v>
      </c>
      <c r="D777" s="1">
        <v>0</v>
      </c>
      <c r="E777">
        <f>D777*C777</f>
        <v>0</v>
      </c>
      <c r="F777" s="1" t="s">
        <v>2208</v>
      </c>
      <c r="G777" s="17">
        <v>78442</v>
      </c>
    </row>
    <row r="778" spans="1:7">
      <c r="A778" s="1" t="s">
        <v>2209</v>
      </c>
      <c r="B778" s="1" t="s">
        <v>2210</v>
      </c>
      <c r="C778">
        <f>(1-(B7/100))*84.82</f>
        <v>84.82</v>
      </c>
      <c r="D778" s="1">
        <v>0</v>
      </c>
      <c r="E778">
        <f>D778*C778</f>
        <v>0</v>
      </c>
      <c r="F778" s="1" t="s">
        <v>2211</v>
      </c>
      <c r="G778" s="17">
        <v>78446</v>
      </c>
    </row>
    <row r="779" spans="1:7">
      <c r="A779" s="1" t="s">
        <v>2212</v>
      </c>
      <c r="B779" s="1" t="s">
        <v>2213</v>
      </c>
      <c r="C779">
        <f>(1-(B7/100))*41.5</f>
        <v>41.5</v>
      </c>
      <c r="D779" s="1">
        <v>0</v>
      </c>
      <c r="E779">
        <f>D779*C779</f>
        <v>0</v>
      </c>
      <c r="F779" s="1" t="s">
        <v>2214</v>
      </c>
      <c r="G779" s="17">
        <v>78449</v>
      </c>
    </row>
    <row r="780" spans="1:7">
      <c r="A780" s="1" t="s">
        <v>2215</v>
      </c>
      <c r="B780" s="1" t="s">
        <v>2216</v>
      </c>
      <c r="C780">
        <f>(1-(B7/100))*512.07</f>
        <v>512.07</v>
      </c>
      <c r="D780" s="1">
        <v>0</v>
      </c>
      <c r="E780">
        <f>D780*C780</f>
        <v>0</v>
      </c>
      <c r="F780" s="1" t="s">
        <v>2217</v>
      </c>
      <c r="G780" s="17">
        <v>78454</v>
      </c>
    </row>
    <row r="781" spans="1:7">
      <c r="A781" s="1" t="s">
        <v>2218</v>
      </c>
      <c r="B781" s="1" t="s">
        <v>1538</v>
      </c>
      <c r="C781">
        <f>(1-(B7/100))*456.92</f>
        <v>456.92</v>
      </c>
      <c r="D781" s="1">
        <v>0</v>
      </c>
      <c r="E781">
        <f>D781*C781</f>
        <v>0</v>
      </c>
      <c r="F781" s="1" t="s">
        <v>2219</v>
      </c>
      <c r="G781" s="17">
        <v>78455</v>
      </c>
    </row>
    <row r="782" spans="1:7">
      <c r="A782" s="1" t="s">
        <v>2220</v>
      </c>
      <c r="B782" s="1" t="s">
        <v>2221</v>
      </c>
      <c r="C782">
        <f>(1-(B7/100))*838.6</f>
        <v>838.6</v>
      </c>
      <c r="D782" s="1">
        <v>0</v>
      </c>
      <c r="E782">
        <f>D782*C782</f>
        <v>0</v>
      </c>
      <c r="F782" s="1" t="s">
        <v>2222</v>
      </c>
      <c r="G782" s="17">
        <v>78457</v>
      </c>
    </row>
    <row r="783" spans="1:7">
      <c r="A783" s="1" t="s">
        <v>2223</v>
      </c>
      <c r="B783" s="1" t="s">
        <v>2224</v>
      </c>
      <c r="C783">
        <f>(1-(B7/100))*218.19</f>
        <v>218.19</v>
      </c>
      <c r="D783" s="1">
        <v>0</v>
      </c>
      <c r="E783">
        <f>D783*C783</f>
        <v>0</v>
      </c>
      <c r="F783" s="1" t="s">
        <v>2225</v>
      </c>
      <c r="G783" s="17">
        <v>78460</v>
      </c>
    </row>
    <row r="784" spans="1:7">
      <c r="A784" s="1" t="s">
        <v>2226</v>
      </c>
      <c r="B784" s="1" t="s">
        <v>2227</v>
      </c>
      <c r="C784">
        <f>(1-(B7/100))*219.01</f>
        <v>219.01</v>
      </c>
      <c r="D784" s="1">
        <v>0</v>
      </c>
      <c r="E784">
        <f>D784*C784</f>
        <v>0</v>
      </c>
      <c r="F784" s="1" t="s">
        <v>2228</v>
      </c>
      <c r="G784" s="17">
        <v>78461</v>
      </c>
    </row>
    <row r="785" spans="1:7">
      <c r="A785" s="1" t="s">
        <v>2229</v>
      </c>
      <c r="B785" s="1" t="s">
        <v>2230</v>
      </c>
      <c r="C785">
        <f>(1-(B7/100))*212.06</f>
        <v>212.06</v>
      </c>
      <c r="D785" s="1">
        <v>0</v>
      </c>
      <c r="E785">
        <f>D785*C785</f>
        <v>0</v>
      </c>
      <c r="F785" s="1" t="s">
        <v>2231</v>
      </c>
      <c r="G785" s="17">
        <v>78465</v>
      </c>
    </row>
    <row r="786" spans="1:7">
      <c r="A786" s="1" t="s">
        <v>2232</v>
      </c>
      <c r="B786" s="1" t="s">
        <v>2233</v>
      </c>
      <c r="C786">
        <f>(1-(B7/100))*51.68</f>
        <v>51.68</v>
      </c>
      <c r="D786" s="1">
        <v>0</v>
      </c>
      <c r="E786">
        <f>D786*C786</f>
        <v>0</v>
      </c>
      <c r="F786" s="1" t="s">
        <v>2234</v>
      </c>
      <c r="G786" s="17">
        <v>78466</v>
      </c>
    </row>
    <row r="787" spans="1:7">
      <c r="A787" s="1" t="s">
        <v>2235</v>
      </c>
      <c r="B787" s="1" t="s">
        <v>2236</v>
      </c>
      <c r="C787">
        <f>(1-(B7/100))*232.08</f>
        <v>232.08</v>
      </c>
      <c r="D787" s="1">
        <v>0</v>
      </c>
      <c r="E787">
        <f>D787*C787</f>
        <v>0</v>
      </c>
      <c r="F787" s="1" t="s">
        <v>2237</v>
      </c>
      <c r="G787" s="17">
        <v>78468</v>
      </c>
    </row>
    <row r="788" spans="1:7">
      <c r="A788" s="1" t="s">
        <v>2238</v>
      </c>
      <c r="B788" s="1" t="s">
        <v>2239</v>
      </c>
      <c r="C788">
        <f>(1-(B7/100))*927.72</f>
        <v>927.72</v>
      </c>
      <c r="D788" s="1">
        <v>0</v>
      </c>
      <c r="E788">
        <f>D788*C788</f>
        <v>0</v>
      </c>
      <c r="F788" s="1" t="s">
        <v>2240</v>
      </c>
      <c r="G788" s="17">
        <v>78475</v>
      </c>
    </row>
    <row r="789" spans="1:7">
      <c r="A789" s="1" t="s">
        <v>2241</v>
      </c>
      <c r="B789" s="1" t="s">
        <v>2242</v>
      </c>
      <c r="C789">
        <f>(1-(B7/100))*48.89</f>
        <v>48.89</v>
      </c>
      <c r="D789" s="1">
        <v>0</v>
      </c>
      <c r="E789">
        <f>D789*C789</f>
        <v>0</v>
      </c>
      <c r="F789" s="1" t="s">
        <v>2243</v>
      </c>
      <c r="G789" s="17">
        <v>78481</v>
      </c>
    </row>
    <row r="790" spans="1:7">
      <c r="A790" s="1" t="s">
        <v>2244</v>
      </c>
      <c r="B790" s="1" t="s">
        <v>2245</v>
      </c>
      <c r="C790">
        <f>(1-(B7/100))*76.46</f>
        <v>76.46</v>
      </c>
      <c r="D790" s="1">
        <v>0</v>
      </c>
      <c r="E790">
        <f>D790*C790</f>
        <v>0</v>
      </c>
      <c r="F790" s="1" t="s">
        <v>2246</v>
      </c>
      <c r="G790" s="17">
        <v>78482</v>
      </c>
    </row>
    <row r="791" spans="1:7">
      <c r="A791" s="1" t="s">
        <v>2247</v>
      </c>
      <c r="B791" s="1" t="s">
        <v>2248</v>
      </c>
      <c r="C791">
        <f>(1-(B7/100))*244.5</f>
        <v>244.5</v>
      </c>
      <c r="D791" s="1">
        <v>0</v>
      </c>
      <c r="E791">
        <f>D791*C791</f>
        <v>0</v>
      </c>
      <c r="F791" s="1" t="s">
        <v>2249</v>
      </c>
      <c r="G791" s="17">
        <v>78483</v>
      </c>
    </row>
    <row r="792" spans="1:7">
      <c r="A792" s="1" t="s">
        <v>2250</v>
      </c>
      <c r="B792" s="1" t="s">
        <v>2251</v>
      </c>
      <c r="C792">
        <f>(1-(B7/100))*280.25</f>
        <v>280.25</v>
      </c>
      <c r="D792" s="1">
        <v>0</v>
      </c>
      <c r="E792">
        <f>D792*C792</f>
        <v>0</v>
      </c>
      <c r="F792" s="1" t="s">
        <v>2252</v>
      </c>
      <c r="G792" s="17">
        <v>78485</v>
      </c>
    </row>
    <row r="793" spans="1:7">
      <c r="A793" s="1" t="s">
        <v>2253</v>
      </c>
      <c r="B793" s="1" t="s">
        <v>2254</v>
      </c>
      <c r="C793">
        <f>(1-(B7/100))*904.38</f>
        <v>904.38</v>
      </c>
      <c r="D793" s="1">
        <v>0</v>
      </c>
      <c r="E793">
        <f>D793*C793</f>
        <v>0</v>
      </c>
      <c r="F793" s="1" t="s">
        <v>2255</v>
      </c>
      <c r="G793" s="17">
        <v>78486</v>
      </c>
    </row>
    <row r="794" spans="1:7">
      <c r="A794" s="1" t="s">
        <v>2256</v>
      </c>
      <c r="B794" s="1" t="s">
        <v>2257</v>
      </c>
      <c r="C794">
        <f>(1-(B7/100))*202.27</f>
        <v>202.27</v>
      </c>
      <c r="D794" s="1">
        <v>0</v>
      </c>
      <c r="E794">
        <f>D794*C794</f>
        <v>0</v>
      </c>
      <c r="F794" s="1" t="s">
        <v>2258</v>
      </c>
      <c r="G794" s="17">
        <v>78487</v>
      </c>
    </row>
    <row r="795" spans="1:7">
      <c r="A795" s="1" t="s">
        <v>2259</v>
      </c>
      <c r="B795" s="1" t="s">
        <v>2260</v>
      </c>
      <c r="C795">
        <f>(1-(B7/100))*427.74</f>
        <v>427.74</v>
      </c>
      <c r="D795" s="1">
        <v>0</v>
      </c>
      <c r="E795">
        <f>D795*C795</f>
        <v>0</v>
      </c>
      <c r="F795" s="1" t="s">
        <v>2261</v>
      </c>
      <c r="G795" s="17">
        <v>78490</v>
      </c>
    </row>
    <row r="796" spans="1:7">
      <c r="A796" s="1" t="s">
        <v>2262</v>
      </c>
      <c r="B796" s="1" t="s">
        <v>2263</v>
      </c>
      <c r="C796">
        <f>(1-(B7/100))*401.51</f>
        <v>401.51</v>
      </c>
      <c r="D796" s="1">
        <v>0</v>
      </c>
      <c r="E796">
        <f>D796*C796</f>
        <v>0</v>
      </c>
      <c r="F796" s="1" t="s">
        <v>2264</v>
      </c>
      <c r="G796" s="17">
        <v>78491</v>
      </c>
    </row>
    <row r="797" spans="1:7">
      <c r="A797" s="1" t="s">
        <v>2265</v>
      </c>
      <c r="B797" s="1" t="s">
        <v>2266</v>
      </c>
      <c r="C797">
        <f>(1-(B7/100))*404.89</f>
        <v>404.89</v>
      </c>
      <c r="D797" s="1">
        <v>0</v>
      </c>
      <c r="E797">
        <f>D797*C797</f>
        <v>0</v>
      </c>
      <c r="F797" s="1" t="s">
        <v>2267</v>
      </c>
      <c r="G797" s="17">
        <v>78492</v>
      </c>
    </row>
    <row r="798" spans="1:7">
      <c r="A798" s="1" t="s">
        <v>2268</v>
      </c>
      <c r="B798" s="1" t="s">
        <v>2269</v>
      </c>
      <c r="C798">
        <f>(1-(B7/100))*43.63</f>
        <v>43.63</v>
      </c>
      <c r="D798" s="1">
        <v>0</v>
      </c>
      <c r="E798">
        <f>D798*C798</f>
        <v>0</v>
      </c>
      <c r="F798" s="1" t="s">
        <v>2270</v>
      </c>
      <c r="G798" s="17">
        <v>78494</v>
      </c>
    </row>
    <row r="799" spans="1:7">
      <c r="A799" s="1" t="s">
        <v>2271</v>
      </c>
      <c r="B799" s="1" t="s">
        <v>2272</v>
      </c>
      <c r="C799">
        <f>(1-(B7/100))*28.5</f>
        <v>28.5</v>
      </c>
      <c r="D799" s="1">
        <v>0</v>
      </c>
      <c r="E799">
        <f>D799*C799</f>
        <v>0</v>
      </c>
      <c r="F799" s="1" t="s">
        <v>2273</v>
      </c>
      <c r="G799" s="17">
        <v>78496</v>
      </c>
    </row>
    <row r="800" spans="1:7">
      <c r="A800" s="1" t="s">
        <v>2274</v>
      </c>
      <c r="B800" s="1" t="s">
        <v>2275</v>
      </c>
      <c r="C800">
        <f>(1-(B7/100))*26.09</f>
        <v>26.09</v>
      </c>
      <c r="D800" s="1">
        <v>0</v>
      </c>
      <c r="E800">
        <f>D800*C800</f>
        <v>0</v>
      </c>
      <c r="F800" s="1" t="s">
        <v>2276</v>
      </c>
      <c r="G800" s="17">
        <v>78498</v>
      </c>
    </row>
    <row r="801" spans="1:7">
      <c r="A801" s="1" t="s">
        <v>2277</v>
      </c>
      <c r="B801" s="1" t="s">
        <v>2278</v>
      </c>
      <c r="C801">
        <f>(1-(B7/100))*32.75</f>
        <v>32.75</v>
      </c>
      <c r="D801" s="1">
        <v>0</v>
      </c>
      <c r="E801">
        <f>D801*C801</f>
        <v>0</v>
      </c>
      <c r="F801" s="1" t="s">
        <v>2279</v>
      </c>
      <c r="G801" s="17">
        <v>78501</v>
      </c>
    </row>
    <row r="802" spans="1:7">
      <c r="A802" s="1" t="s">
        <v>2280</v>
      </c>
      <c r="B802" s="1" t="s">
        <v>2281</v>
      </c>
      <c r="C802">
        <f>(1-(B7/100))*560.7</f>
        <v>560.7</v>
      </c>
      <c r="D802" s="1">
        <v>0</v>
      </c>
      <c r="E802">
        <f>D802*C802</f>
        <v>0</v>
      </c>
      <c r="F802" s="1" t="s">
        <v>2282</v>
      </c>
      <c r="G802" s="17">
        <v>78504</v>
      </c>
    </row>
    <row r="803" spans="1:7">
      <c r="A803" s="1" t="s">
        <v>2283</v>
      </c>
      <c r="B803" s="1" t="s">
        <v>2284</v>
      </c>
      <c r="C803">
        <f>(1-(B7/100))*76.56</f>
        <v>76.56</v>
      </c>
      <c r="D803" s="1">
        <v>0</v>
      </c>
      <c r="E803">
        <f>D803*C803</f>
        <v>0</v>
      </c>
      <c r="F803" s="1" t="s">
        <v>16</v>
      </c>
      <c r="G803" s="17">
        <v>78506</v>
      </c>
    </row>
    <row r="804" spans="1:7">
      <c r="A804" s="1" t="s">
        <v>2285</v>
      </c>
      <c r="B804" s="1" t="s">
        <v>2286</v>
      </c>
      <c r="C804">
        <f>(1-(B7/100))*51.32</f>
        <v>51.32</v>
      </c>
      <c r="D804" s="1">
        <v>0</v>
      </c>
      <c r="E804">
        <f>D804*C804</f>
        <v>0</v>
      </c>
      <c r="F804" s="1" t="s">
        <v>2287</v>
      </c>
      <c r="G804" s="17">
        <v>78507</v>
      </c>
    </row>
    <row r="805" spans="1:7">
      <c r="A805" s="1" t="s">
        <v>2288</v>
      </c>
      <c r="B805" s="1" t="s">
        <v>2289</v>
      </c>
      <c r="C805">
        <f>(1-(B7/100))*55.46</f>
        <v>55.46</v>
      </c>
      <c r="D805" s="1">
        <v>0</v>
      </c>
      <c r="E805">
        <f>D805*C805</f>
        <v>0</v>
      </c>
      <c r="F805" s="1" t="s">
        <v>2290</v>
      </c>
      <c r="G805" s="17">
        <v>78508</v>
      </c>
    </row>
    <row r="806" spans="1:7">
      <c r="A806" s="1" t="s">
        <v>2291</v>
      </c>
      <c r="B806" s="1" t="s">
        <v>2292</v>
      </c>
      <c r="C806">
        <f>(1-(B7/100))*31.88</f>
        <v>31.88</v>
      </c>
      <c r="D806" s="1">
        <v>0</v>
      </c>
      <c r="E806">
        <f>D806*C806</f>
        <v>0</v>
      </c>
      <c r="F806" s="1" t="s">
        <v>2293</v>
      </c>
      <c r="G806" s="17">
        <v>78509</v>
      </c>
    </row>
    <row r="807" spans="1:7">
      <c r="A807" s="1" t="s">
        <v>2294</v>
      </c>
      <c r="B807" s="1" t="s">
        <v>2295</v>
      </c>
      <c r="C807">
        <f>(1-(B7/100))*28.77</f>
        <v>28.77</v>
      </c>
      <c r="D807" s="1">
        <v>0</v>
      </c>
      <c r="E807">
        <f>D807*C807</f>
        <v>0</v>
      </c>
      <c r="F807" s="1" t="s">
        <v>2296</v>
      </c>
      <c r="G807" s="17">
        <v>78511</v>
      </c>
    </row>
    <row r="808" spans="1:7">
      <c r="A808" s="1" t="s">
        <v>2297</v>
      </c>
      <c r="B808" s="1" t="s">
        <v>2298</v>
      </c>
      <c r="C808">
        <f>(1-(B7/100))*299.09</f>
        <v>299.09</v>
      </c>
      <c r="D808" s="1">
        <v>0</v>
      </c>
      <c r="E808">
        <f>D808*C808</f>
        <v>0</v>
      </c>
      <c r="F808" s="1" t="s">
        <v>2299</v>
      </c>
      <c r="G808" s="17">
        <v>78516</v>
      </c>
    </row>
    <row r="809" spans="1:7">
      <c r="A809" s="1" t="s">
        <v>2300</v>
      </c>
      <c r="B809" s="1" t="s">
        <v>2301</v>
      </c>
      <c r="C809">
        <f>(1-(B7/100))*372.33</f>
        <v>372.33</v>
      </c>
      <c r="D809" s="1">
        <v>0</v>
      </c>
      <c r="E809">
        <f>D809*C809</f>
        <v>0</v>
      </c>
      <c r="F809" s="1" t="s">
        <v>2302</v>
      </c>
      <c r="G809" s="17">
        <v>78518</v>
      </c>
    </row>
    <row r="810" spans="1:7">
      <c r="A810" s="1" t="s">
        <v>2303</v>
      </c>
      <c r="B810" s="1" t="s">
        <v>2304</v>
      </c>
      <c r="C810">
        <f>(1-(B7/100))*810.07</f>
        <v>810.07</v>
      </c>
      <c r="D810" s="1">
        <v>0</v>
      </c>
      <c r="E810">
        <f>D810*C810</f>
        <v>0</v>
      </c>
      <c r="F810" s="1" t="s">
        <v>2305</v>
      </c>
      <c r="G810" s="17">
        <v>78521</v>
      </c>
    </row>
    <row r="811" spans="1:7">
      <c r="A811" s="1" t="s">
        <v>2306</v>
      </c>
      <c r="B811" s="1" t="s">
        <v>2307</v>
      </c>
      <c r="C811">
        <f>(1-(B7/100))*606.36</f>
        <v>606.36</v>
      </c>
      <c r="D811" s="1">
        <v>0</v>
      </c>
      <c r="E811">
        <f>D811*C811</f>
        <v>0</v>
      </c>
      <c r="F811" s="1" t="s">
        <v>2308</v>
      </c>
      <c r="G811" s="17">
        <v>78522</v>
      </c>
    </row>
    <row r="812" spans="1:7">
      <c r="A812" s="1" t="s">
        <v>2309</v>
      </c>
      <c r="B812" s="1" t="s">
        <v>2310</v>
      </c>
      <c r="C812">
        <f>(1-(B7/100))*889.57</f>
        <v>889.57</v>
      </c>
      <c r="D812" s="1">
        <v>0</v>
      </c>
      <c r="E812">
        <f>D812*C812</f>
        <v>0</v>
      </c>
      <c r="F812" s="1" t="s">
        <v>2311</v>
      </c>
      <c r="G812" s="17">
        <v>78523</v>
      </c>
    </row>
    <row r="813" spans="1:7">
      <c r="A813" s="1" t="s">
        <v>2312</v>
      </c>
      <c r="B813" s="1" t="s">
        <v>2313</v>
      </c>
      <c r="C813">
        <f>(1-(B7/100))*437</f>
        <v>437</v>
      </c>
      <c r="D813" s="1">
        <v>0</v>
      </c>
      <c r="E813">
        <f>D813*C813</f>
        <v>0</v>
      </c>
      <c r="F813" s="1" t="s">
        <v>2314</v>
      </c>
      <c r="G813" s="17">
        <v>78528</v>
      </c>
    </row>
    <row r="814" spans="1:7">
      <c r="A814" s="1" t="s">
        <v>2315</v>
      </c>
      <c r="B814" s="1" t="s">
        <v>2316</v>
      </c>
      <c r="C814">
        <f>(1-(B7/100))*46.22</f>
        <v>46.22</v>
      </c>
      <c r="D814" s="1">
        <v>0</v>
      </c>
      <c r="E814">
        <f>D814*C814</f>
        <v>0</v>
      </c>
      <c r="F814" s="1" t="s">
        <v>2317</v>
      </c>
      <c r="G814" s="17">
        <v>78533</v>
      </c>
    </row>
    <row r="815" spans="1:7">
      <c r="A815" s="1" t="s">
        <v>2318</v>
      </c>
      <c r="B815" s="1" t="s">
        <v>2319</v>
      </c>
      <c r="C815">
        <f>(1-(B7/100))*338.26</f>
        <v>338.26</v>
      </c>
      <c r="D815" s="1">
        <v>0</v>
      </c>
      <c r="E815">
        <f>D815*C815</f>
        <v>0</v>
      </c>
      <c r="F815" s="1" t="s">
        <v>2320</v>
      </c>
      <c r="G815" s="17">
        <v>78535</v>
      </c>
    </row>
    <row r="816" spans="1:7">
      <c r="A816" s="1" t="s">
        <v>2321</v>
      </c>
      <c r="B816" s="1" t="s">
        <v>1726</v>
      </c>
      <c r="C816">
        <f>(1-(B7/100))*334.08</f>
        <v>334.08</v>
      </c>
      <c r="D816" s="1">
        <v>0</v>
      </c>
      <c r="E816">
        <f>D816*C816</f>
        <v>0</v>
      </c>
      <c r="F816" s="1" t="s">
        <v>2322</v>
      </c>
      <c r="G816" s="17">
        <v>78537</v>
      </c>
    </row>
    <row r="817" spans="1:7">
      <c r="A817" s="1" t="s">
        <v>2323</v>
      </c>
      <c r="B817" s="1" t="s">
        <v>2324</v>
      </c>
      <c r="C817">
        <f>(1-(B7/100))*480.66</f>
        <v>480.66</v>
      </c>
      <c r="D817" s="1">
        <v>0</v>
      </c>
      <c r="E817">
        <f>D817*C817</f>
        <v>0</v>
      </c>
      <c r="F817" s="1" t="s">
        <v>2325</v>
      </c>
      <c r="G817" s="17">
        <v>78538</v>
      </c>
    </row>
    <row r="818" spans="1:7">
      <c r="A818" s="1" t="s">
        <v>2326</v>
      </c>
      <c r="B818" s="1" t="s">
        <v>2327</v>
      </c>
      <c r="C818">
        <f>(1-(B7/100))*44.21</f>
        <v>44.21</v>
      </c>
      <c r="D818" s="1">
        <v>0</v>
      </c>
      <c r="E818">
        <f>D818*C818</f>
        <v>0</v>
      </c>
      <c r="F818" s="1" t="s">
        <v>2328</v>
      </c>
      <c r="G818" s="17">
        <v>78540</v>
      </c>
    </row>
    <row r="819" spans="1:7">
      <c r="A819" s="1" t="s">
        <v>2329</v>
      </c>
      <c r="B819" s="1" t="s">
        <v>2330</v>
      </c>
      <c r="C819">
        <f>(1-(B7/100))*16.97</f>
        <v>16.97</v>
      </c>
      <c r="D819" s="1">
        <v>0</v>
      </c>
      <c r="E819">
        <f>D819*C819</f>
        <v>0</v>
      </c>
      <c r="F819" s="1" t="s">
        <v>2331</v>
      </c>
      <c r="G819" s="17">
        <v>78541</v>
      </c>
    </row>
    <row r="820" spans="1:7">
      <c r="A820" s="1" t="s">
        <v>2332</v>
      </c>
      <c r="B820" s="1" t="s">
        <v>2333</v>
      </c>
      <c r="C820">
        <f>(1-(B7/100))*382.24</f>
        <v>382.24</v>
      </c>
      <c r="D820" s="1">
        <v>0</v>
      </c>
      <c r="E820">
        <f>D820*C820</f>
        <v>0</v>
      </c>
      <c r="F820" s="1" t="s">
        <v>2334</v>
      </c>
      <c r="G820" s="17">
        <v>78547</v>
      </c>
    </row>
    <row r="821" spans="1:7">
      <c r="A821" s="1" t="s">
        <v>2335</v>
      </c>
      <c r="B821" s="1" t="s">
        <v>2336</v>
      </c>
      <c r="C821">
        <f>(1-(B7/100))*305.79</f>
        <v>305.79</v>
      </c>
      <c r="D821" s="1">
        <v>0</v>
      </c>
      <c r="E821">
        <f>D821*C821</f>
        <v>0</v>
      </c>
      <c r="F821" s="1" t="s">
        <v>2337</v>
      </c>
      <c r="G821" s="17">
        <v>78549</v>
      </c>
    </row>
    <row r="822" spans="1:7">
      <c r="A822" s="1" t="s">
        <v>2338</v>
      </c>
      <c r="B822" s="1" t="s">
        <v>2339</v>
      </c>
      <c r="C822">
        <f>(1-(B7/100))*495.53</f>
        <v>495.53</v>
      </c>
      <c r="D822" s="1">
        <v>0</v>
      </c>
      <c r="E822">
        <f>D822*C822</f>
        <v>0</v>
      </c>
      <c r="F822" s="1" t="s">
        <v>2340</v>
      </c>
      <c r="G822" s="17">
        <v>78550</v>
      </c>
    </row>
    <row r="823" spans="1:7">
      <c r="A823" s="1" t="s">
        <v>2341</v>
      </c>
      <c r="B823" s="1" t="s">
        <v>2342</v>
      </c>
      <c r="C823">
        <f>(1-(B7/100))*506.57</f>
        <v>506.57</v>
      </c>
      <c r="D823" s="1">
        <v>0</v>
      </c>
      <c r="E823">
        <f>D823*C823</f>
        <v>0</v>
      </c>
      <c r="F823" s="1" t="s">
        <v>2343</v>
      </c>
      <c r="G823" s="17">
        <v>78551</v>
      </c>
    </row>
    <row r="824" spans="1:7">
      <c r="A824" s="1" t="s">
        <v>2344</v>
      </c>
      <c r="B824" s="1" t="s">
        <v>2345</v>
      </c>
      <c r="C824">
        <f>(1-(B7/100))*302.01</f>
        <v>302.01</v>
      </c>
      <c r="D824" s="1">
        <v>0</v>
      </c>
      <c r="E824">
        <f>D824*C824</f>
        <v>0</v>
      </c>
      <c r="F824" s="1" t="s">
        <v>2346</v>
      </c>
      <c r="G824" s="17">
        <v>78555</v>
      </c>
    </row>
    <row r="825" spans="1:7">
      <c r="A825" s="1" t="s">
        <v>2347</v>
      </c>
      <c r="B825" s="1" t="s">
        <v>2348</v>
      </c>
      <c r="C825">
        <f>(1-(B7/100))*564.55</f>
        <v>564.55</v>
      </c>
      <c r="D825" s="1">
        <v>0</v>
      </c>
      <c r="E825">
        <f>D825*C825</f>
        <v>0</v>
      </c>
      <c r="F825" s="1" t="s">
        <v>2349</v>
      </c>
      <c r="G825" s="17">
        <v>78569</v>
      </c>
    </row>
    <row r="826" spans="1:7">
      <c r="A826" s="1" t="s">
        <v>2350</v>
      </c>
      <c r="B826" s="1" t="s">
        <v>2351</v>
      </c>
      <c r="C826">
        <f>(1-(B7/100))*385.85</f>
        <v>385.85</v>
      </c>
      <c r="D826" s="1">
        <v>0</v>
      </c>
      <c r="E826">
        <f>D826*C826</f>
        <v>0</v>
      </c>
      <c r="F826" s="1" t="s">
        <v>2352</v>
      </c>
      <c r="G826" s="17">
        <v>78570</v>
      </c>
    </row>
    <row r="827" spans="1:7">
      <c r="A827" s="1" t="s">
        <v>2353</v>
      </c>
      <c r="B827" s="1" t="s">
        <v>2354</v>
      </c>
      <c r="C827">
        <f>(1-(B7/100))*922.52</f>
        <v>922.52</v>
      </c>
      <c r="D827" s="1">
        <v>0</v>
      </c>
      <c r="E827">
        <f>D827*C827</f>
        <v>0</v>
      </c>
      <c r="F827" s="1" t="s">
        <v>2355</v>
      </c>
      <c r="G827" s="17">
        <v>78574</v>
      </c>
    </row>
    <row r="828" spans="1:7">
      <c r="A828" s="1" t="s">
        <v>2356</v>
      </c>
      <c r="B828" s="1" t="s">
        <v>2357</v>
      </c>
      <c r="C828">
        <f>(1-(B7/100))*1078.17</f>
        <v>1078.17</v>
      </c>
      <c r="D828" s="1">
        <v>0</v>
      </c>
      <c r="E828">
        <f>D828*C828</f>
        <v>0</v>
      </c>
      <c r="F828" s="1" t="s">
        <v>2358</v>
      </c>
      <c r="G828" s="17">
        <v>78578</v>
      </c>
    </row>
    <row r="829" spans="1:7">
      <c r="A829" s="1" t="s">
        <v>2359</v>
      </c>
      <c r="B829" s="1" t="s">
        <v>2360</v>
      </c>
      <c r="C829">
        <f>(1-(B7/100))*175.08</f>
        <v>175.08</v>
      </c>
      <c r="D829" s="1">
        <v>0</v>
      </c>
      <c r="E829">
        <f>D829*C829</f>
        <v>0</v>
      </c>
      <c r="F829" s="1" t="s">
        <v>2361</v>
      </c>
      <c r="G829" s="17">
        <v>78589</v>
      </c>
    </row>
    <row r="830" spans="1:7">
      <c r="A830" s="1" t="s">
        <v>2362</v>
      </c>
      <c r="B830" s="1" t="s">
        <v>2363</v>
      </c>
      <c r="C830">
        <f>(1-(B7/100))*366.55</f>
        <v>366.55</v>
      </c>
      <c r="D830" s="1">
        <v>0</v>
      </c>
      <c r="E830">
        <f>D830*C830</f>
        <v>0</v>
      </c>
      <c r="F830" s="1" t="s">
        <v>2364</v>
      </c>
      <c r="G830" s="17">
        <v>78591</v>
      </c>
    </row>
    <row r="831" spans="1:7">
      <c r="A831" s="1" t="s">
        <v>2365</v>
      </c>
      <c r="B831" s="1" t="s">
        <v>2366</v>
      </c>
      <c r="C831">
        <f>(1-(B7/100))*59.84</f>
        <v>59.84</v>
      </c>
      <c r="D831" s="1">
        <v>0</v>
      </c>
      <c r="E831">
        <f>D831*C831</f>
        <v>0</v>
      </c>
      <c r="F831" s="1" t="s">
        <v>2367</v>
      </c>
      <c r="G831" s="17">
        <v>78599</v>
      </c>
    </row>
    <row r="832" spans="1:7">
      <c r="A832" s="1" t="s">
        <v>2368</v>
      </c>
      <c r="B832" s="1" t="s">
        <v>2369</v>
      </c>
      <c r="C832">
        <f>(1-(B7/100))*363.04</f>
        <v>363.04</v>
      </c>
      <c r="D832" s="1">
        <v>0</v>
      </c>
      <c r="E832">
        <f>D832*C832</f>
        <v>0</v>
      </c>
      <c r="F832" s="1" t="s">
        <v>2370</v>
      </c>
      <c r="G832" s="17">
        <v>78600</v>
      </c>
    </row>
    <row r="833" spans="1:7">
      <c r="A833" s="1" t="s">
        <v>2371</v>
      </c>
      <c r="B833" s="1" t="s">
        <v>2372</v>
      </c>
      <c r="C833">
        <f>(1-(B7/100))*399.83</f>
        <v>399.83</v>
      </c>
      <c r="D833" s="1">
        <v>0</v>
      </c>
      <c r="E833">
        <f>D833*C833</f>
        <v>0</v>
      </c>
      <c r="F833" s="1" t="s">
        <v>2373</v>
      </c>
      <c r="G833" s="17">
        <v>78602</v>
      </c>
    </row>
    <row r="834" spans="1:7">
      <c r="A834" s="1" t="s">
        <v>2374</v>
      </c>
      <c r="B834" s="1" t="s">
        <v>2375</v>
      </c>
      <c r="C834">
        <f>(1-(B7/100))*399.83</f>
        <v>399.83</v>
      </c>
      <c r="D834" s="1">
        <v>0</v>
      </c>
      <c r="E834">
        <f>D834*C834</f>
        <v>0</v>
      </c>
      <c r="F834" s="1" t="s">
        <v>2376</v>
      </c>
      <c r="G834" s="17">
        <v>78606</v>
      </c>
    </row>
    <row r="835" spans="1:7">
      <c r="A835" s="1" t="s">
        <v>2377</v>
      </c>
      <c r="B835" s="1" t="s">
        <v>2375</v>
      </c>
      <c r="C835">
        <f>(1-(B7/100))*388.26</f>
        <v>388.26</v>
      </c>
      <c r="D835" s="1">
        <v>0</v>
      </c>
      <c r="E835">
        <f>D835*C835</f>
        <v>0</v>
      </c>
      <c r="F835" s="1" t="s">
        <v>2378</v>
      </c>
      <c r="G835" s="17">
        <v>78607</v>
      </c>
    </row>
    <row r="836" spans="1:7">
      <c r="A836" s="1" t="s">
        <v>2379</v>
      </c>
      <c r="B836" s="1" t="s">
        <v>2380</v>
      </c>
      <c r="C836">
        <f>(1-(B7/100))*620.51</f>
        <v>620.51</v>
      </c>
      <c r="D836" s="1">
        <v>0</v>
      </c>
      <c r="E836">
        <f>D836*C836</f>
        <v>0</v>
      </c>
      <c r="F836" s="1" t="s">
        <v>2381</v>
      </c>
      <c r="G836" s="17">
        <v>78614</v>
      </c>
    </row>
    <row r="837" spans="1:7">
      <c r="A837" s="1" t="s">
        <v>2382</v>
      </c>
      <c r="B837" s="1" t="s">
        <v>1994</v>
      </c>
      <c r="C837">
        <f>(1-(B7/100))*686.07</f>
        <v>686.07</v>
      </c>
      <c r="D837" s="1">
        <v>0</v>
      </c>
      <c r="E837">
        <f>D837*C837</f>
        <v>0</v>
      </c>
      <c r="F837" s="1" t="s">
        <v>2383</v>
      </c>
      <c r="G837" s="17">
        <v>78616</v>
      </c>
    </row>
    <row r="838" spans="1:7">
      <c r="A838" s="1" t="s">
        <v>2384</v>
      </c>
      <c r="B838" s="1" t="s">
        <v>2385</v>
      </c>
      <c r="C838">
        <f>(1-(B7/100))*645.68</f>
        <v>645.68</v>
      </c>
      <c r="D838" s="1">
        <v>0</v>
      </c>
      <c r="E838">
        <f>D838*C838</f>
        <v>0</v>
      </c>
      <c r="F838" s="1" t="s">
        <v>2386</v>
      </c>
      <c r="G838" s="17">
        <v>78619</v>
      </c>
    </row>
    <row r="839" spans="1:7">
      <c r="A839" s="1" t="s">
        <v>2387</v>
      </c>
      <c r="B839" s="1" t="s">
        <v>2388</v>
      </c>
      <c r="C839">
        <f>(1-(B7/100))*40.11</f>
        <v>40.11</v>
      </c>
      <c r="D839" s="1">
        <v>0</v>
      </c>
      <c r="E839">
        <f>D839*C839</f>
        <v>0</v>
      </c>
      <c r="F839" s="1" t="s">
        <v>2389</v>
      </c>
      <c r="G839" s="17">
        <v>78627</v>
      </c>
    </row>
    <row r="840" spans="1:7">
      <c r="A840" s="1" t="s">
        <v>2390</v>
      </c>
      <c r="B840" s="1" t="s">
        <v>2391</v>
      </c>
      <c r="C840">
        <f>(1-(B7/100))*35.39</f>
        <v>35.39</v>
      </c>
      <c r="D840" s="1">
        <v>0</v>
      </c>
      <c r="E840">
        <f>D840*C840</f>
        <v>0</v>
      </c>
      <c r="F840" s="1" t="s">
        <v>2392</v>
      </c>
      <c r="G840" s="17">
        <v>78628</v>
      </c>
    </row>
    <row r="841" spans="1:7">
      <c r="A841" s="1" t="s">
        <v>2393</v>
      </c>
      <c r="B841" s="1" t="s">
        <v>2394</v>
      </c>
      <c r="C841">
        <f>(1-(B7/100))*53.63</f>
        <v>53.63</v>
      </c>
      <c r="D841" s="1">
        <v>0</v>
      </c>
      <c r="E841">
        <f>D841*C841</f>
        <v>0</v>
      </c>
      <c r="F841" s="1" t="s">
        <v>2395</v>
      </c>
      <c r="G841" s="17">
        <v>78629</v>
      </c>
    </row>
    <row r="842" spans="1:7">
      <c r="A842" s="1" t="s">
        <v>2396</v>
      </c>
      <c r="B842" s="1" t="s">
        <v>2397</v>
      </c>
      <c r="C842">
        <f>(1-(B7/100))*34.52</f>
        <v>34.52</v>
      </c>
      <c r="D842" s="1">
        <v>0</v>
      </c>
      <c r="E842">
        <f>D842*C842</f>
        <v>0</v>
      </c>
      <c r="F842" s="1" t="s">
        <v>2398</v>
      </c>
      <c r="G842" s="17">
        <v>78633</v>
      </c>
    </row>
    <row r="843" spans="1:7">
      <c r="A843" s="1" t="s">
        <v>2399</v>
      </c>
      <c r="B843" s="1" t="s">
        <v>2400</v>
      </c>
      <c r="C843">
        <f>(1-(B7/100))*53.63</f>
        <v>53.63</v>
      </c>
      <c r="D843" s="1">
        <v>0</v>
      </c>
      <c r="E843">
        <f>D843*C843</f>
        <v>0</v>
      </c>
      <c r="F843" s="1" t="s">
        <v>2401</v>
      </c>
      <c r="G843" s="17">
        <v>78634</v>
      </c>
    </row>
    <row r="844" spans="1:7">
      <c r="A844" s="1" t="s">
        <v>2402</v>
      </c>
      <c r="B844" s="1" t="s">
        <v>2403</v>
      </c>
      <c r="C844">
        <f>(1-(B7/100))*31.7</f>
        <v>31.7</v>
      </c>
      <c r="D844" s="1">
        <v>0</v>
      </c>
      <c r="E844">
        <f>D844*C844</f>
        <v>0</v>
      </c>
      <c r="F844" s="1" t="s">
        <v>2404</v>
      </c>
      <c r="G844" s="17">
        <v>78635</v>
      </c>
    </row>
    <row r="845" spans="1:7">
      <c r="A845" s="1" t="s">
        <v>2405</v>
      </c>
      <c r="B845" s="1" t="s">
        <v>2406</v>
      </c>
      <c r="C845">
        <f>(1-(B7/100))*34.52</f>
        <v>34.52</v>
      </c>
      <c r="D845" s="1">
        <v>0</v>
      </c>
      <c r="E845">
        <f>D845*C845</f>
        <v>0</v>
      </c>
      <c r="F845" s="1" t="s">
        <v>2407</v>
      </c>
      <c r="G845" s="17">
        <v>78636</v>
      </c>
    </row>
    <row r="846" spans="1:7">
      <c r="A846" s="1" t="s">
        <v>2408</v>
      </c>
      <c r="B846" s="1" t="s">
        <v>2409</v>
      </c>
      <c r="C846">
        <f>(1-(B7/100))*141.17</f>
        <v>141.17</v>
      </c>
      <c r="D846" s="1">
        <v>0</v>
      </c>
      <c r="E846">
        <f>D846*C846</f>
        <v>0</v>
      </c>
      <c r="F846" s="1" t="s">
        <v>2410</v>
      </c>
      <c r="G846" s="17">
        <v>84700</v>
      </c>
    </row>
    <row r="847" spans="1:7">
      <c r="A847" s="1" t="s">
        <v>2411</v>
      </c>
      <c r="B847" s="1" t="s">
        <v>2412</v>
      </c>
      <c r="C847">
        <f>(1-(B7/100))*66.46</f>
        <v>66.46</v>
      </c>
      <c r="D847" s="1">
        <v>0</v>
      </c>
      <c r="E847">
        <f>D847*C847</f>
        <v>0</v>
      </c>
      <c r="F847" s="1" t="s">
        <v>2413</v>
      </c>
      <c r="G847" s="17">
        <v>85757</v>
      </c>
    </row>
    <row r="848" spans="1:7">
      <c r="A848" s="1" t="s">
        <v>2414</v>
      </c>
      <c r="B848" s="1" t="s">
        <v>2415</v>
      </c>
      <c r="C848">
        <f>(1-(B7/100))*208.19</f>
        <v>208.19</v>
      </c>
      <c r="D848" s="1">
        <v>0</v>
      </c>
      <c r="E848">
        <f>D848*C848</f>
        <v>0</v>
      </c>
      <c r="F848" s="1" t="s">
        <v>2416</v>
      </c>
      <c r="G848" s="17">
        <v>85758</v>
      </c>
    </row>
    <row r="849" spans="1:7">
      <c r="A849" s="1" t="s">
        <v>2417</v>
      </c>
      <c r="B849" s="1" t="s">
        <v>2418</v>
      </c>
      <c r="C849">
        <f>(1-(B7/100))*17.28</f>
        <v>17.28</v>
      </c>
      <c r="D849" s="1">
        <v>0</v>
      </c>
      <c r="E849">
        <f>D849*C849</f>
        <v>0</v>
      </c>
      <c r="F849" s="1" t="s">
        <v>2419</v>
      </c>
      <c r="G849" s="17">
        <v>85759</v>
      </c>
    </row>
    <row r="850" spans="1:7">
      <c r="A850" s="1" t="s">
        <v>2420</v>
      </c>
      <c r="B850" s="1" t="s">
        <v>2421</v>
      </c>
      <c r="C850">
        <f>(1-(B7/100))*14.53</f>
        <v>14.53</v>
      </c>
      <c r="D850" s="1">
        <v>0</v>
      </c>
      <c r="E850">
        <f>D850*C850</f>
        <v>0</v>
      </c>
      <c r="F850" s="1" t="s">
        <v>2422</v>
      </c>
      <c r="G850" s="17">
        <v>85761</v>
      </c>
    </row>
    <row r="851" spans="1:7">
      <c r="A851" s="1" t="s">
        <v>2423</v>
      </c>
      <c r="B851" s="1" t="s">
        <v>2424</v>
      </c>
      <c r="C851">
        <f>(1-(B7/100))*83.73</f>
        <v>83.73</v>
      </c>
      <c r="D851" s="1">
        <v>0</v>
      </c>
      <c r="E851">
        <f>D851*C851</f>
        <v>0</v>
      </c>
      <c r="F851" s="1" t="s">
        <v>2425</v>
      </c>
      <c r="G851" s="17">
        <v>85765</v>
      </c>
    </row>
    <row r="852" spans="1:7">
      <c r="A852" s="1" t="s">
        <v>2426</v>
      </c>
      <c r="B852" s="1" t="s">
        <v>2427</v>
      </c>
      <c r="C852">
        <f>(1-(B7/100))*676.53</f>
        <v>676.53</v>
      </c>
      <c r="D852" s="1">
        <v>0</v>
      </c>
      <c r="E852">
        <f>D852*C852</f>
        <v>0</v>
      </c>
      <c r="F852" s="1" t="s">
        <v>2428</v>
      </c>
      <c r="G852" s="17">
        <v>85767</v>
      </c>
    </row>
    <row r="853" spans="1:7">
      <c r="A853" s="1" t="s">
        <v>2429</v>
      </c>
      <c r="B853" s="1" t="s">
        <v>2430</v>
      </c>
      <c r="C853">
        <f>(1-(B7/100))*672.1</f>
        <v>672.1</v>
      </c>
      <c r="D853" s="1">
        <v>0</v>
      </c>
      <c r="E853">
        <f>D853*C853</f>
        <v>0</v>
      </c>
      <c r="F853" s="1" t="s">
        <v>2431</v>
      </c>
      <c r="G853" s="17">
        <v>85768</v>
      </c>
    </row>
    <row r="854" spans="1:7">
      <c r="A854" s="1" t="s">
        <v>2432</v>
      </c>
      <c r="B854" s="1" t="s">
        <v>2433</v>
      </c>
      <c r="C854">
        <f>(1-(B7/100))*1849.44</f>
        <v>1849.44</v>
      </c>
      <c r="D854" s="1">
        <v>0</v>
      </c>
      <c r="E854">
        <f>D854*C854</f>
        <v>0</v>
      </c>
      <c r="F854" s="1" t="s">
        <v>2434</v>
      </c>
      <c r="G854" s="17">
        <v>85773</v>
      </c>
    </row>
    <row r="855" spans="1:7">
      <c r="A855" s="1" t="s">
        <v>2435</v>
      </c>
      <c r="B855" s="1" t="s">
        <v>2436</v>
      </c>
      <c r="C855">
        <f>(1-(B7/100))*958.42</f>
        <v>958.42</v>
      </c>
      <c r="D855" s="1">
        <v>0</v>
      </c>
      <c r="E855">
        <f>D855*C855</f>
        <v>0</v>
      </c>
      <c r="F855" s="1" t="s">
        <v>2437</v>
      </c>
      <c r="G855" s="17">
        <v>85776</v>
      </c>
    </row>
    <row r="856" spans="1:7">
      <c r="A856" s="1" t="s">
        <v>2438</v>
      </c>
      <c r="B856" s="1" t="s">
        <v>2439</v>
      </c>
      <c r="C856">
        <f>(1-(B7/100))*51.16</f>
        <v>51.16</v>
      </c>
      <c r="D856" s="1">
        <v>0</v>
      </c>
      <c r="E856">
        <f>D856*C856</f>
        <v>0</v>
      </c>
      <c r="F856" s="1" t="s">
        <v>2440</v>
      </c>
      <c r="G856" s="17">
        <v>85789</v>
      </c>
    </row>
    <row r="857" spans="1:7">
      <c r="A857" s="1" t="s">
        <v>2441</v>
      </c>
      <c r="B857" s="1" t="s">
        <v>2442</v>
      </c>
      <c r="C857">
        <f>(1-(B7/100))*28.16</f>
        <v>28.16</v>
      </c>
      <c r="D857" s="1">
        <v>0</v>
      </c>
      <c r="E857">
        <f>D857*C857</f>
        <v>0</v>
      </c>
      <c r="F857" s="1" t="s">
        <v>2443</v>
      </c>
      <c r="G857" s="17">
        <v>85792</v>
      </c>
    </row>
    <row r="858" spans="1:7">
      <c r="A858" s="1" t="s">
        <v>2444</v>
      </c>
      <c r="B858" s="1" t="s">
        <v>2445</v>
      </c>
      <c r="C858">
        <f>(1-(B7/100))*56.64</f>
        <v>56.64</v>
      </c>
      <c r="D858" s="1">
        <v>0</v>
      </c>
      <c r="E858">
        <f>D858*C858</f>
        <v>0</v>
      </c>
      <c r="F858" s="1" t="s">
        <v>2446</v>
      </c>
      <c r="G858" s="17">
        <v>85793</v>
      </c>
    </row>
    <row r="859" spans="1:7">
      <c r="A859" s="1" t="s">
        <v>2447</v>
      </c>
      <c r="B859" s="1" t="s">
        <v>2448</v>
      </c>
      <c r="C859">
        <f>(1-(B7/100))*14.57</f>
        <v>14.57</v>
      </c>
      <c r="D859" s="1">
        <v>0</v>
      </c>
      <c r="E859">
        <f>D859*C859</f>
        <v>0</v>
      </c>
      <c r="F859" s="1" t="s">
        <v>2449</v>
      </c>
      <c r="G859" s="17">
        <v>85851</v>
      </c>
    </row>
    <row r="860" spans="1:7">
      <c r="A860" s="1" t="s">
        <v>2450</v>
      </c>
      <c r="B860" s="1" t="s">
        <v>2451</v>
      </c>
      <c r="C860">
        <f>(1-(B7/100))*40.85</f>
        <v>40.85</v>
      </c>
      <c r="D860" s="1">
        <v>0</v>
      </c>
      <c r="E860">
        <f>D860*C860</f>
        <v>0</v>
      </c>
      <c r="F860" s="1" t="s">
        <v>2452</v>
      </c>
      <c r="G860" s="17">
        <v>85852</v>
      </c>
    </row>
    <row r="861" spans="1:7">
      <c r="A861" s="1" t="s">
        <v>2453</v>
      </c>
      <c r="B861" s="1" t="s">
        <v>2454</v>
      </c>
      <c r="C861">
        <f>(1-(B7/100))*72.97</f>
        <v>72.97</v>
      </c>
      <c r="D861" s="1">
        <v>0</v>
      </c>
      <c r="E861">
        <f>D861*C861</f>
        <v>0</v>
      </c>
      <c r="F861" s="1" t="s">
        <v>2455</v>
      </c>
      <c r="G861" s="17">
        <v>85854</v>
      </c>
    </row>
    <row r="862" spans="1:7">
      <c r="A862" s="1" t="s">
        <v>2456</v>
      </c>
      <c r="B862" s="1" t="s">
        <v>2457</v>
      </c>
      <c r="C862">
        <f>(1-(B7/100))*217.34</f>
        <v>217.34</v>
      </c>
      <c r="D862" s="1">
        <v>0</v>
      </c>
      <c r="E862">
        <f>D862*C862</f>
        <v>0</v>
      </c>
      <c r="F862" s="1" t="s">
        <v>2458</v>
      </c>
      <c r="G862" s="17">
        <v>85858</v>
      </c>
    </row>
    <row r="863" spans="1:7">
      <c r="A863" s="1" t="s">
        <v>2459</v>
      </c>
      <c r="B863" s="1" t="s">
        <v>2460</v>
      </c>
      <c r="C863">
        <f>(1-(B7/100))*84.6</f>
        <v>84.6</v>
      </c>
      <c r="D863" s="1">
        <v>0</v>
      </c>
      <c r="E863">
        <f>D863*C863</f>
        <v>0</v>
      </c>
      <c r="F863" s="1" t="s">
        <v>2461</v>
      </c>
      <c r="G863" s="17">
        <v>85864</v>
      </c>
    </row>
    <row r="864" spans="1:7">
      <c r="A864" s="1" t="s">
        <v>2462</v>
      </c>
      <c r="B864" s="1" t="s">
        <v>2463</v>
      </c>
      <c r="C864">
        <f>(1-(B7/100))*13.12</f>
        <v>13.12</v>
      </c>
      <c r="D864" s="1">
        <v>0</v>
      </c>
      <c r="E864">
        <f>D864*C864</f>
        <v>0</v>
      </c>
      <c r="F864" s="1" t="s">
        <v>2464</v>
      </c>
      <c r="G864" s="17">
        <v>85865</v>
      </c>
    </row>
    <row r="865" spans="1:7">
      <c r="A865" s="1" t="s">
        <v>2465</v>
      </c>
      <c r="B865" s="1" t="s">
        <v>2466</v>
      </c>
      <c r="C865">
        <f>(1-(B7/100))*67.11</f>
        <v>67.11</v>
      </c>
      <c r="D865" s="1">
        <v>0</v>
      </c>
      <c r="E865">
        <f>D865*C865</f>
        <v>0</v>
      </c>
      <c r="F865" s="1" t="s">
        <v>2467</v>
      </c>
      <c r="G865" s="17">
        <v>85866</v>
      </c>
    </row>
    <row r="866" spans="1:7">
      <c r="A866" s="1" t="s">
        <v>2468</v>
      </c>
      <c r="B866" s="1" t="s">
        <v>2469</v>
      </c>
      <c r="C866">
        <f>(1-(B7/100))*1354.52</f>
        <v>1354.52</v>
      </c>
      <c r="D866" s="1">
        <v>0</v>
      </c>
      <c r="E866">
        <f>D866*C866</f>
        <v>0</v>
      </c>
      <c r="F866" s="1" t="s">
        <v>2470</v>
      </c>
      <c r="G866" s="17">
        <v>85867</v>
      </c>
    </row>
    <row r="867" spans="1:7">
      <c r="A867" s="1" t="s">
        <v>2471</v>
      </c>
      <c r="B867" s="1" t="s">
        <v>2472</v>
      </c>
      <c r="C867">
        <f>(1-(B7/100))*62.08</f>
        <v>62.08</v>
      </c>
      <c r="D867" s="1">
        <v>0</v>
      </c>
      <c r="E867">
        <f>D867*C867</f>
        <v>0</v>
      </c>
      <c r="F867" s="1" t="s">
        <v>2473</v>
      </c>
      <c r="G867" s="17">
        <v>85868</v>
      </c>
    </row>
    <row r="868" spans="1:7">
      <c r="A868" s="1" t="s">
        <v>2474</v>
      </c>
      <c r="B868" s="1" t="s">
        <v>2475</v>
      </c>
      <c r="C868">
        <f>(1-(B7/100))*447.4</f>
        <v>447.4</v>
      </c>
      <c r="D868" s="1">
        <v>0</v>
      </c>
      <c r="E868">
        <f>D868*C868</f>
        <v>0</v>
      </c>
      <c r="F868" s="1" t="s">
        <v>2476</v>
      </c>
      <c r="G868" s="17">
        <v>85873</v>
      </c>
    </row>
    <row r="869" spans="1:7">
      <c r="A869" s="1" t="s">
        <v>2477</v>
      </c>
      <c r="B869" s="1" t="s">
        <v>2478</v>
      </c>
      <c r="C869">
        <f>(1-(B7/100))*26.31</f>
        <v>26.31</v>
      </c>
      <c r="D869" s="1">
        <v>0</v>
      </c>
      <c r="E869">
        <f>D869*C869</f>
        <v>0</v>
      </c>
      <c r="F869" s="1" t="s">
        <v>2479</v>
      </c>
      <c r="G869" s="17">
        <v>86111</v>
      </c>
    </row>
    <row r="870" spans="1:7">
      <c r="A870" s="1" t="s">
        <v>2480</v>
      </c>
      <c r="B870" s="1" t="s">
        <v>2481</v>
      </c>
      <c r="C870">
        <f>(1-(B7/100))*452.67</f>
        <v>452.67</v>
      </c>
      <c r="D870" s="1">
        <v>0</v>
      </c>
      <c r="E870">
        <f>D870*C870</f>
        <v>0</v>
      </c>
      <c r="F870" s="1" t="s">
        <v>2482</v>
      </c>
      <c r="G870" s="17">
        <v>86135</v>
      </c>
    </row>
    <row r="871" spans="1:7">
      <c r="A871" s="1" t="s">
        <v>2483</v>
      </c>
      <c r="B871" s="1" t="s">
        <v>2484</v>
      </c>
      <c r="C871">
        <f>(1-(B7/100))*182.61</f>
        <v>182.61</v>
      </c>
      <c r="D871" s="1">
        <v>0</v>
      </c>
      <c r="E871">
        <f>D871*C871</f>
        <v>0</v>
      </c>
      <c r="F871" s="1" t="s">
        <v>2485</v>
      </c>
      <c r="G871" s="17">
        <v>86334</v>
      </c>
    </row>
    <row r="872" spans="1:7">
      <c r="A872" s="1" t="s">
        <v>2486</v>
      </c>
      <c r="B872" s="1" t="s">
        <v>2487</v>
      </c>
      <c r="C872">
        <f>(1-(B7/100))*1069.63</f>
        <v>1069.63</v>
      </c>
      <c r="D872" s="1">
        <v>0</v>
      </c>
      <c r="E872">
        <f>D872*C872</f>
        <v>0</v>
      </c>
      <c r="F872" s="1" t="s">
        <v>2488</v>
      </c>
      <c r="G872" s="17">
        <v>86590</v>
      </c>
    </row>
    <row r="873" spans="1:7">
      <c r="A873" s="1" t="s">
        <v>2489</v>
      </c>
      <c r="B873" s="1" t="s">
        <v>2490</v>
      </c>
      <c r="C873">
        <f>(1-(B7/100))*851.31</f>
        <v>851.31</v>
      </c>
      <c r="D873" s="1">
        <v>0</v>
      </c>
      <c r="E873">
        <f>D873*C873</f>
        <v>0</v>
      </c>
      <c r="F873" s="1" t="s">
        <v>2491</v>
      </c>
      <c r="G873" s="17">
        <v>86763</v>
      </c>
    </row>
    <row r="874" spans="1:7">
      <c r="A874" s="1" t="s">
        <v>2492</v>
      </c>
      <c r="B874" s="1" t="s">
        <v>2493</v>
      </c>
      <c r="C874">
        <f>(1-(B7/100))*76.75</f>
        <v>76.75</v>
      </c>
      <c r="D874" s="1">
        <v>0</v>
      </c>
      <c r="E874">
        <f>D874*C874</f>
        <v>0</v>
      </c>
      <c r="F874" s="1" t="s">
        <v>2494</v>
      </c>
      <c r="G874" s="17">
        <v>86953</v>
      </c>
    </row>
    <row r="875" spans="1:7">
      <c r="A875" s="1" t="s">
        <v>2495</v>
      </c>
      <c r="B875" s="1" t="s">
        <v>2496</v>
      </c>
      <c r="C875">
        <f>(1-(B7/100))*49.05</f>
        <v>49.05</v>
      </c>
      <c r="D875" s="1">
        <v>0</v>
      </c>
      <c r="E875">
        <f>D875*C875</f>
        <v>0</v>
      </c>
      <c r="F875" s="1" t="s">
        <v>2497</v>
      </c>
      <c r="G875" s="17">
        <v>87449</v>
      </c>
    </row>
    <row r="876" spans="1:7">
      <c r="A876" s="1" t="s">
        <v>2498</v>
      </c>
      <c r="B876" s="1" t="s">
        <v>2499</v>
      </c>
      <c r="C876">
        <f>(1-(B7/100))*282.27</f>
        <v>282.27</v>
      </c>
      <c r="D876" s="1">
        <v>0</v>
      </c>
      <c r="E876">
        <f>D876*C876</f>
        <v>0</v>
      </c>
      <c r="F876" s="1" t="s">
        <v>2500</v>
      </c>
      <c r="G876" s="17">
        <v>87450</v>
      </c>
    </row>
    <row r="877" spans="1:7">
      <c r="A877" s="1" t="s">
        <v>2501</v>
      </c>
      <c r="B877" s="1" t="s">
        <v>2502</v>
      </c>
      <c r="C877">
        <f>(1-(B7/100))*33.09</f>
        <v>33.09</v>
      </c>
      <c r="D877" s="1">
        <v>0</v>
      </c>
      <c r="E877">
        <f>D877*C877</f>
        <v>0</v>
      </c>
      <c r="F877" s="1" t="s">
        <v>2503</v>
      </c>
      <c r="G877" s="17">
        <v>87451</v>
      </c>
    </row>
    <row r="878" spans="1:7">
      <c r="A878" s="16"/>
      <c r="B878" s="16" t="s">
        <v>2504</v>
      </c>
      <c r="C878" s="16"/>
      <c r="D878" s="16"/>
      <c r="E878" s="16"/>
      <c r="F878" s="16"/>
    </row>
    <row r="879" spans="1:7">
      <c r="A879" s="16"/>
      <c r="B879" s="16" t="s">
        <v>2505</v>
      </c>
      <c r="C879" s="16"/>
      <c r="D879" s="16"/>
      <c r="E879" s="16"/>
      <c r="F879" s="16"/>
    </row>
    <row r="880" spans="1:7">
      <c r="A880" s="16"/>
      <c r="B880" s="16" t="s">
        <v>2506</v>
      </c>
      <c r="C880" s="16"/>
      <c r="D880" s="16"/>
      <c r="E880" s="16"/>
      <c r="F880" s="16"/>
    </row>
    <row r="881" spans="1:7">
      <c r="A881" s="1" t="s">
        <v>2507</v>
      </c>
      <c r="B881" s="1" t="s">
        <v>2508</v>
      </c>
      <c r="C881">
        <f>(1-(B7/100))*254.98</f>
        <v>254.98</v>
      </c>
      <c r="D881" s="1">
        <v>0</v>
      </c>
      <c r="E881">
        <f>D881*C881</f>
        <v>0</v>
      </c>
      <c r="F881" s="1" t="s">
        <v>2509</v>
      </c>
      <c r="G881" s="17">
        <v>63157</v>
      </c>
    </row>
    <row r="882" spans="1:7">
      <c r="A882" s="1" t="s">
        <v>2510</v>
      </c>
      <c r="B882" s="1" t="s">
        <v>2511</v>
      </c>
      <c r="C882">
        <f>(1-(B7/100))*134.6</f>
        <v>134.6</v>
      </c>
      <c r="D882" s="1">
        <v>0</v>
      </c>
      <c r="E882">
        <f>D882*C882</f>
        <v>0</v>
      </c>
      <c r="F882" s="1" t="s">
        <v>2512</v>
      </c>
      <c r="G882" s="17">
        <v>63169</v>
      </c>
    </row>
    <row r="883" spans="1:7">
      <c r="A883" s="1" t="s">
        <v>2513</v>
      </c>
      <c r="B883" s="1" t="s">
        <v>2514</v>
      </c>
      <c r="C883">
        <f>(1-(B7/100))*106.11</f>
        <v>106.11</v>
      </c>
      <c r="D883" s="1">
        <v>0</v>
      </c>
      <c r="E883">
        <f>D883*C883</f>
        <v>0</v>
      </c>
      <c r="F883" s="1" t="s">
        <v>2515</v>
      </c>
      <c r="G883" s="17">
        <v>63291</v>
      </c>
    </row>
    <row r="884" spans="1:7">
      <c r="A884" s="1" t="s">
        <v>2516</v>
      </c>
      <c r="B884" s="1" t="s">
        <v>2517</v>
      </c>
      <c r="C884">
        <f>(1-(B7/100))*76.22</f>
        <v>76.22</v>
      </c>
      <c r="D884" s="1">
        <v>0</v>
      </c>
      <c r="E884">
        <f>D884*C884</f>
        <v>0</v>
      </c>
      <c r="F884" s="1" t="s">
        <v>2518</v>
      </c>
      <c r="G884" s="17">
        <v>63769</v>
      </c>
    </row>
    <row r="885" spans="1:7">
      <c r="A885" s="1" t="s">
        <v>2519</v>
      </c>
      <c r="B885" s="1" t="s">
        <v>2520</v>
      </c>
      <c r="C885">
        <f>(1-(B7/100))*96.89</f>
        <v>96.89</v>
      </c>
      <c r="D885" s="1">
        <v>0</v>
      </c>
      <c r="E885">
        <f>D885*C885</f>
        <v>0</v>
      </c>
      <c r="F885" s="1" t="s">
        <v>2521</v>
      </c>
      <c r="G885" s="17">
        <v>63771</v>
      </c>
    </row>
    <row r="886" spans="1:7">
      <c r="A886" s="1" t="s">
        <v>2522</v>
      </c>
      <c r="B886" s="1" t="s">
        <v>2523</v>
      </c>
      <c r="C886">
        <f>(1-(B7/100))*92.09</f>
        <v>92.09</v>
      </c>
      <c r="D886" s="1">
        <v>0</v>
      </c>
      <c r="E886">
        <f>D886*C886</f>
        <v>0</v>
      </c>
      <c r="F886" s="1" t="s">
        <v>2524</v>
      </c>
      <c r="G886" s="17">
        <v>63776</v>
      </c>
    </row>
    <row r="887" spans="1:7">
      <c r="A887" s="1" t="s">
        <v>2525</v>
      </c>
      <c r="B887" s="1" t="s">
        <v>2526</v>
      </c>
      <c r="C887">
        <f>(1-(B7/100))*92.09</f>
        <v>92.09</v>
      </c>
      <c r="D887" s="1">
        <v>0</v>
      </c>
      <c r="E887">
        <f>D887*C887</f>
        <v>0</v>
      </c>
      <c r="F887" s="1" t="s">
        <v>2527</v>
      </c>
      <c r="G887" s="17">
        <v>63782</v>
      </c>
    </row>
    <row r="888" spans="1:7">
      <c r="A888" s="1" t="s">
        <v>2528</v>
      </c>
      <c r="B888" s="1" t="s">
        <v>2529</v>
      </c>
      <c r="C888">
        <f>(1-(B7/100))*96.89</f>
        <v>96.89</v>
      </c>
      <c r="D888" s="1">
        <v>0</v>
      </c>
      <c r="E888">
        <f>D888*C888</f>
        <v>0</v>
      </c>
      <c r="F888" s="1" t="s">
        <v>2530</v>
      </c>
      <c r="G888" s="17">
        <v>63783</v>
      </c>
    </row>
    <row r="889" spans="1:7">
      <c r="A889" s="1" t="s">
        <v>2531</v>
      </c>
      <c r="B889" s="1" t="s">
        <v>2532</v>
      </c>
      <c r="C889">
        <f>(1-(B7/100))*86.87</f>
        <v>86.87</v>
      </c>
      <c r="D889" s="1">
        <v>0</v>
      </c>
      <c r="E889">
        <f>D889*C889</f>
        <v>0</v>
      </c>
      <c r="F889" s="1" t="s">
        <v>2533</v>
      </c>
      <c r="G889" s="17">
        <v>64374</v>
      </c>
    </row>
    <row r="890" spans="1:7">
      <c r="A890" s="1" t="s">
        <v>2534</v>
      </c>
      <c r="B890" s="1" t="s">
        <v>2535</v>
      </c>
      <c r="C890">
        <f>(1-(B7/100))*1895.61</f>
        <v>1895.61</v>
      </c>
      <c r="D890" s="1">
        <v>0</v>
      </c>
      <c r="E890">
        <f>D890*C890</f>
        <v>0</v>
      </c>
      <c r="F890" s="1" t="s">
        <v>2536</v>
      </c>
      <c r="G890" s="17">
        <v>64556</v>
      </c>
    </row>
    <row r="891" spans="1:7">
      <c r="A891" s="1" t="s">
        <v>2537</v>
      </c>
      <c r="B891" s="1" t="s">
        <v>2538</v>
      </c>
      <c r="C891">
        <f>(1-(B7/100))*255.78</f>
        <v>255.78</v>
      </c>
      <c r="D891" s="1">
        <v>0</v>
      </c>
      <c r="E891">
        <f>D891*C891</f>
        <v>0</v>
      </c>
      <c r="F891" s="1" t="s">
        <v>2539</v>
      </c>
      <c r="G891" s="17">
        <v>64557</v>
      </c>
    </row>
    <row r="892" spans="1:7">
      <c r="A892" s="1" t="s">
        <v>2540</v>
      </c>
      <c r="B892" s="1" t="s">
        <v>2541</v>
      </c>
      <c r="C892">
        <f>(1-(B7/100))*319.1</f>
        <v>319.1</v>
      </c>
      <c r="D892" s="1">
        <v>0</v>
      </c>
      <c r="E892">
        <f>D892*C892</f>
        <v>0</v>
      </c>
      <c r="F892" s="1" t="s">
        <v>2542</v>
      </c>
      <c r="G892" s="17">
        <v>64558</v>
      </c>
    </row>
    <row r="893" spans="1:7">
      <c r="A893" s="1" t="s">
        <v>2543</v>
      </c>
      <c r="B893" s="1" t="s">
        <v>2544</v>
      </c>
      <c r="C893">
        <f>(1-(B7/100))*212.9</f>
        <v>212.9</v>
      </c>
      <c r="D893" s="1">
        <v>0</v>
      </c>
      <c r="E893">
        <f>D893*C893</f>
        <v>0</v>
      </c>
      <c r="F893" s="1" t="s">
        <v>2545</v>
      </c>
      <c r="G893" s="17">
        <v>64782</v>
      </c>
    </row>
    <row r="894" spans="1:7">
      <c r="A894" s="1" t="s">
        <v>2546</v>
      </c>
      <c r="B894" s="1" t="s">
        <v>2547</v>
      </c>
      <c r="C894">
        <f>(1-(B7/100))*164.84</f>
        <v>164.84</v>
      </c>
      <c r="D894" s="1">
        <v>0</v>
      </c>
      <c r="E894">
        <f>D894*C894</f>
        <v>0</v>
      </c>
      <c r="F894" s="1" t="s">
        <v>2548</v>
      </c>
      <c r="G894" s="17">
        <v>64787</v>
      </c>
    </row>
    <row r="895" spans="1:7">
      <c r="A895" s="1" t="s">
        <v>2549</v>
      </c>
      <c r="B895" s="1" t="s">
        <v>2550</v>
      </c>
      <c r="C895">
        <f>(1-(B7/100))*201.48</f>
        <v>201.48</v>
      </c>
      <c r="D895" s="1">
        <v>0</v>
      </c>
      <c r="E895">
        <f>D895*C895</f>
        <v>0</v>
      </c>
      <c r="F895" s="1" t="s">
        <v>2551</v>
      </c>
      <c r="G895" s="17">
        <v>66288</v>
      </c>
    </row>
    <row r="896" spans="1:7">
      <c r="A896" s="1" t="s">
        <v>2552</v>
      </c>
      <c r="B896" s="1" t="s">
        <v>2553</v>
      </c>
      <c r="C896">
        <f>(1-(B7/100))*741.98</f>
        <v>741.98</v>
      </c>
      <c r="D896" s="1">
        <v>0</v>
      </c>
      <c r="E896">
        <f>D896*C896</f>
        <v>0</v>
      </c>
      <c r="F896" s="1" t="s">
        <v>2554</v>
      </c>
      <c r="G896" s="17">
        <v>66292</v>
      </c>
    </row>
    <row r="897" spans="1:7">
      <c r="A897" s="1" t="s">
        <v>2555</v>
      </c>
      <c r="B897" s="1" t="s">
        <v>2556</v>
      </c>
      <c r="C897">
        <f>(1-(B7/100))*213.93</f>
        <v>213.93</v>
      </c>
      <c r="D897" s="1">
        <v>0</v>
      </c>
      <c r="E897">
        <f>D897*C897</f>
        <v>0</v>
      </c>
      <c r="F897" s="1" t="s">
        <v>2557</v>
      </c>
      <c r="G897" s="17">
        <v>66294</v>
      </c>
    </row>
    <row r="898" spans="1:7">
      <c r="A898" s="1" t="s">
        <v>2558</v>
      </c>
      <c r="B898" s="1" t="s">
        <v>2559</v>
      </c>
      <c r="C898">
        <f>(1-(B7/100))*392.13</f>
        <v>392.13</v>
      </c>
      <c r="D898" s="1">
        <v>0</v>
      </c>
      <c r="E898">
        <f>D898*C898</f>
        <v>0</v>
      </c>
      <c r="F898" s="1" t="s">
        <v>2560</v>
      </c>
      <c r="G898" s="17">
        <v>66305</v>
      </c>
    </row>
    <row r="899" spans="1:7">
      <c r="A899" s="1" t="s">
        <v>2561</v>
      </c>
      <c r="B899" s="1" t="s">
        <v>2562</v>
      </c>
      <c r="C899">
        <f>(1-(B7/100))*123.6</f>
        <v>123.6</v>
      </c>
      <c r="D899" s="1">
        <v>0</v>
      </c>
      <c r="E899">
        <f>D899*C899</f>
        <v>0</v>
      </c>
      <c r="F899" s="1" t="s">
        <v>2563</v>
      </c>
      <c r="G899" s="17">
        <v>66313</v>
      </c>
    </row>
    <row r="900" spans="1:7">
      <c r="A900" s="1" t="s">
        <v>2564</v>
      </c>
      <c r="B900" s="1" t="s">
        <v>2565</v>
      </c>
      <c r="C900">
        <f>(1-(B7/100))*72.46</f>
        <v>72.46</v>
      </c>
      <c r="D900" s="1">
        <v>0</v>
      </c>
      <c r="E900">
        <f>D900*C900</f>
        <v>0</v>
      </c>
      <c r="F900" s="1" t="s">
        <v>2566</v>
      </c>
      <c r="G900" s="17">
        <v>66335</v>
      </c>
    </row>
    <row r="901" spans="1:7">
      <c r="A901" s="1" t="s">
        <v>2567</v>
      </c>
      <c r="B901" s="1" t="s">
        <v>2568</v>
      </c>
      <c r="C901">
        <f>(1-(B7/100))*585.09</f>
        <v>585.09</v>
      </c>
      <c r="D901" s="1">
        <v>0</v>
      </c>
      <c r="E901">
        <f>D901*C901</f>
        <v>0</v>
      </c>
      <c r="F901" s="1" t="s">
        <v>2569</v>
      </c>
      <c r="G901" s="17">
        <v>66443</v>
      </c>
    </row>
    <row r="902" spans="1:7">
      <c r="A902" s="1" t="s">
        <v>2570</v>
      </c>
      <c r="B902" s="1" t="s">
        <v>2571</v>
      </c>
      <c r="C902">
        <f>(1-(B7/100))*28.76</f>
        <v>28.76</v>
      </c>
      <c r="D902" s="1">
        <v>0</v>
      </c>
      <c r="E902">
        <f>D902*C902</f>
        <v>0</v>
      </c>
      <c r="F902" s="1" t="s">
        <v>2572</v>
      </c>
      <c r="G902" s="17">
        <v>66455</v>
      </c>
    </row>
    <row r="903" spans="1:7">
      <c r="A903" s="1" t="s">
        <v>2573</v>
      </c>
      <c r="B903" s="1" t="s">
        <v>2574</v>
      </c>
      <c r="C903">
        <f>(1-(B7/100))*10.62</f>
        <v>10.62</v>
      </c>
      <c r="D903" s="1">
        <v>0</v>
      </c>
      <c r="E903">
        <f>D903*C903</f>
        <v>0</v>
      </c>
      <c r="F903" s="1" t="s">
        <v>2575</v>
      </c>
      <c r="G903" s="17">
        <v>66459</v>
      </c>
    </row>
    <row r="904" spans="1:7">
      <c r="A904" s="1" t="s">
        <v>2576</v>
      </c>
      <c r="B904" s="1" t="s">
        <v>2577</v>
      </c>
      <c r="C904">
        <f>(1-(B7/100))*42.56</f>
        <v>42.56</v>
      </c>
      <c r="D904" s="1">
        <v>0</v>
      </c>
      <c r="E904">
        <f>D904*C904</f>
        <v>0</v>
      </c>
      <c r="F904" s="1" t="s">
        <v>2578</v>
      </c>
      <c r="G904" s="17">
        <v>66489</v>
      </c>
    </row>
    <row r="905" spans="1:7">
      <c r="A905" s="1" t="s">
        <v>2579</v>
      </c>
      <c r="B905" s="1" t="s">
        <v>2580</v>
      </c>
      <c r="C905">
        <f>(1-(B7/100))*239.78</f>
        <v>239.78</v>
      </c>
      <c r="D905" s="1">
        <v>0</v>
      </c>
      <c r="E905">
        <f>D905*C905</f>
        <v>0</v>
      </c>
      <c r="F905" s="1" t="s">
        <v>2581</v>
      </c>
      <c r="G905" s="17">
        <v>66530</v>
      </c>
    </row>
    <row r="906" spans="1:7">
      <c r="A906" s="1" t="s">
        <v>2582</v>
      </c>
      <c r="B906" s="1" t="s">
        <v>2583</v>
      </c>
      <c r="C906">
        <f>(1-(B7/100))*169.31</f>
        <v>169.31</v>
      </c>
      <c r="D906" s="1">
        <v>0</v>
      </c>
      <c r="E906">
        <f>D906*C906</f>
        <v>0</v>
      </c>
      <c r="F906" s="1" t="s">
        <v>2584</v>
      </c>
      <c r="G906" s="17">
        <v>66535</v>
      </c>
    </row>
    <row r="907" spans="1:7">
      <c r="A907" s="1" t="s">
        <v>2585</v>
      </c>
      <c r="B907" s="1" t="s">
        <v>2586</v>
      </c>
      <c r="C907">
        <f>(1-(B7/100))*428.66</f>
        <v>428.66</v>
      </c>
      <c r="D907" s="1">
        <v>0</v>
      </c>
      <c r="E907">
        <f>D907*C907</f>
        <v>0</v>
      </c>
      <c r="F907" s="1" t="s">
        <v>2587</v>
      </c>
      <c r="G907" s="17">
        <v>66536</v>
      </c>
    </row>
    <row r="908" spans="1:7">
      <c r="A908" s="1" t="s">
        <v>2588</v>
      </c>
      <c r="B908" s="1" t="s">
        <v>2589</v>
      </c>
      <c r="C908">
        <f>(1-(B7/100))*168.99</f>
        <v>168.99</v>
      </c>
      <c r="D908" s="1">
        <v>0</v>
      </c>
      <c r="E908">
        <f>D908*C908</f>
        <v>0</v>
      </c>
      <c r="F908" s="1" t="s">
        <v>2590</v>
      </c>
      <c r="G908" s="17">
        <v>69087</v>
      </c>
    </row>
    <row r="909" spans="1:7">
      <c r="A909" s="1" t="s">
        <v>2591</v>
      </c>
      <c r="B909" s="1" t="s">
        <v>2592</v>
      </c>
      <c r="C909">
        <f>(1-(B7/100))*200</f>
        <v>200</v>
      </c>
      <c r="D909" s="1">
        <v>0</v>
      </c>
      <c r="E909">
        <f>D909*C909</f>
        <v>0</v>
      </c>
      <c r="F909" s="1" t="s">
        <v>16</v>
      </c>
      <c r="G909" s="17">
        <v>72166</v>
      </c>
    </row>
    <row r="910" spans="1:7">
      <c r="A910" s="1" t="s">
        <v>2593</v>
      </c>
      <c r="B910" s="1" t="s">
        <v>2594</v>
      </c>
      <c r="C910">
        <f>(1-(B7/100))*80</f>
        <v>80</v>
      </c>
      <c r="D910" s="1">
        <v>0</v>
      </c>
      <c r="E910">
        <f>D910*C910</f>
        <v>0</v>
      </c>
      <c r="F910" s="1" t="s">
        <v>16</v>
      </c>
      <c r="G910" s="17">
        <v>72173</v>
      </c>
    </row>
    <row r="911" spans="1:7">
      <c r="A911" s="1" t="s">
        <v>2595</v>
      </c>
      <c r="B911" s="1" t="s">
        <v>2596</v>
      </c>
      <c r="C911">
        <f>(1-(B7/100))*270.27</f>
        <v>270.27</v>
      </c>
      <c r="D911" s="1">
        <v>0</v>
      </c>
      <c r="E911">
        <f>D911*C911</f>
        <v>0</v>
      </c>
      <c r="F911" s="1" t="s">
        <v>2597</v>
      </c>
      <c r="G911" s="17">
        <v>72625</v>
      </c>
    </row>
    <row r="912" spans="1:7">
      <c r="A912" s="1" t="s">
        <v>2598</v>
      </c>
      <c r="B912" s="1" t="s">
        <v>2599</v>
      </c>
      <c r="C912">
        <f>(1-(B7/100))*54.42</f>
        <v>54.42</v>
      </c>
      <c r="D912" s="1">
        <v>0</v>
      </c>
      <c r="E912">
        <f>D912*C912</f>
        <v>0</v>
      </c>
      <c r="F912" s="1" t="s">
        <v>2600</v>
      </c>
      <c r="G912" s="17">
        <v>72648</v>
      </c>
    </row>
    <row r="913" spans="1:7">
      <c r="A913" s="1" t="s">
        <v>2601</v>
      </c>
      <c r="B913" s="1" t="s">
        <v>2602</v>
      </c>
      <c r="C913">
        <f>(1-(B7/100))*94.88</f>
        <v>94.88</v>
      </c>
      <c r="D913" s="1">
        <v>0</v>
      </c>
      <c r="E913">
        <f>D913*C913</f>
        <v>0</v>
      </c>
      <c r="F913" s="1" t="s">
        <v>2603</v>
      </c>
      <c r="G913" s="17">
        <v>72649</v>
      </c>
    </row>
    <row r="914" spans="1:7">
      <c r="A914" s="1" t="s">
        <v>2604</v>
      </c>
      <c r="B914" s="1" t="s">
        <v>2605</v>
      </c>
      <c r="C914">
        <f>(1-(B7/100))*50.33</f>
        <v>50.33</v>
      </c>
      <c r="D914" s="1">
        <v>0</v>
      </c>
      <c r="E914">
        <f>D914*C914</f>
        <v>0</v>
      </c>
      <c r="F914" s="1" t="s">
        <v>2606</v>
      </c>
      <c r="G914" s="17">
        <v>72655</v>
      </c>
    </row>
    <row r="915" spans="1:7">
      <c r="A915" s="1" t="s">
        <v>2607</v>
      </c>
      <c r="B915" s="1" t="s">
        <v>2608</v>
      </c>
      <c r="C915">
        <f>(1-(B7/100))*68.65</f>
        <v>68.65</v>
      </c>
      <c r="D915" s="1">
        <v>0</v>
      </c>
      <c r="E915">
        <f>D915*C915</f>
        <v>0</v>
      </c>
      <c r="F915" s="1" t="s">
        <v>2609</v>
      </c>
      <c r="G915" s="17">
        <v>72656</v>
      </c>
    </row>
    <row r="916" spans="1:7">
      <c r="A916" s="1" t="s">
        <v>2610</v>
      </c>
      <c r="B916" s="1" t="s">
        <v>2611</v>
      </c>
      <c r="C916">
        <f>(1-(B7/100))*260.37</f>
        <v>260.37</v>
      </c>
      <c r="D916" s="1">
        <v>0</v>
      </c>
      <c r="E916">
        <f>D916*C916</f>
        <v>0</v>
      </c>
      <c r="F916" s="1" t="s">
        <v>2612</v>
      </c>
      <c r="G916" s="17">
        <v>72769</v>
      </c>
    </row>
    <row r="917" spans="1:7">
      <c r="A917" s="1" t="s">
        <v>2613</v>
      </c>
      <c r="B917" s="1" t="s">
        <v>2614</v>
      </c>
      <c r="C917">
        <f>(1-(B7/100))*87.31</f>
        <v>87.31</v>
      </c>
      <c r="D917" s="1">
        <v>0</v>
      </c>
      <c r="E917">
        <f>D917*C917</f>
        <v>0</v>
      </c>
      <c r="F917" s="1" t="s">
        <v>2615</v>
      </c>
      <c r="G917" s="17">
        <v>72921</v>
      </c>
    </row>
    <row r="918" spans="1:7">
      <c r="A918" s="1" t="s">
        <v>2616</v>
      </c>
      <c r="B918" s="1" t="s">
        <v>2617</v>
      </c>
      <c r="C918">
        <f>(1-(B7/100))*126.92</f>
        <v>126.92</v>
      </c>
      <c r="D918" s="1">
        <v>0</v>
      </c>
      <c r="E918">
        <f>D918*C918</f>
        <v>0</v>
      </c>
      <c r="F918" s="1" t="s">
        <v>2618</v>
      </c>
      <c r="G918" s="17">
        <v>73149</v>
      </c>
    </row>
    <row r="919" spans="1:7">
      <c r="A919" s="1" t="s">
        <v>2619</v>
      </c>
      <c r="B919" s="1" t="s">
        <v>2620</v>
      </c>
      <c r="C919">
        <f>(1-(B7/100))*304.1</f>
        <v>304.1</v>
      </c>
      <c r="D919" s="1">
        <v>0</v>
      </c>
      <c r="E919">
        <f>D919*C919</f>
        <v>0</v>
      </c>
      <c r="F919" s="1" t="s">
        <v>2621</v>
      </c>
      <c r="G919" s="17">
        <v>73151</v>
      </c>
    </row>
    <row r="920" spans="1:7">
      <c r="A920" s="1" t="s">
        <v>2622</v>
      </c>
      <c r="B920" s="1" t="s">
        <v>2623</v>
      </c>
      <c r="C920">
        <f>(1-(B7/100))*21.3</f>
        <v>21.3</v>
      </c>
      <c r="D920" s="1">
        <v>0</v>
      </c>
      <c r="E920">
        <f>D920*C920</f>
        <v>0</v>
      </c>
      <c r="F920" s="1" t="s">
        <v>2624</v>
      </c>
      <c r="G920" s="17">
        <v>73155</v>
      </c>
    </row>
    <row r="921" spans="1:7">
      <c r="A921" s="1" t="s">
        <v>2625</v>
      </c>
      <c r="B921" s="1" t="s">
        <v>2626</v>
      </c>
      <c r="C921">
        <f>(1-(B7/100))*66.63</f>
        <v>66.63</v>
      </c>
      <c r="D921" s="1">
        <v>0</v>
      </c>
      <c r="E921">
        <f>D921*C921</f>
        <v>0</v>
      </c>
      <c r="F921" s="1" t="s">
        <v>2627</v>
      </c>
      <c r="G921" s="17">
        <v>74235</v>
      </c>
    </row>
    <row r="922" spans="1:7">
      <c r="A922" s="1" t="s">
        <v>2628</v>
      </c>
      <c r="B922" s="1" t="s">
        <v>2629</v>
      </c>
      <c r="C922">
        <f>(1-(B7/100))*96.89</f>
        <v>96.89</v>
      </c>
      <c r="D922" s="1">
        <v>0</v>
      </c>
      <c r="E922">
        <f>D922*C922</f>
        <v>0</v>
      </c>
      <c r="F922" s="1" t="s">
        <v>2630</v>
      </c>
      <c r="G922" s="17">
        <v>74239</v>
      </c>
    </row>
    <row r="923" spans="1:7">
      <c r="A923" s="1" t="s">
        <v>2631</v>
      </c>
      <c r="B923" s="1" t="s">
        <v>2632</v>
      </c>
      <c r="C923">
        <f>(1-(B7/100))*97.75</f>
        <v>97.75</v>
      </c>
      <c r="D923" s="1">
        <v>0</v>
      </c>
      <c r="E923">
        <f>D923*C923</f>
        <v>0</v>
      </c>
      <c r="F923" s="1" t="s">
        <v>2633</v>
      </c>
      <c r="G923" s="17">
        <v>74244</v>
      </c>
    </row>
    <row r="924" spans="1:7">
      <c r="A924" s="1" t="s">
        <v>2634</v>
      </c>
      <c r="B924" s="1" t="s">
        <v>2635</v>
      </c>
      <c r="C924">
        <f>(1-(B7/100))*92.09</f>
        <v>92.09</v>
      </c>
      <c r="D924" s="1">
        <v>0</v>
      </c>
      <c r="E924">
        <f>D924*C924</f>
        <v>0</v>
      </c>
      <c r="F924" s="1" t="s">
        <v>2636</v>
      </c>
      <c r="G924" s="17">
        <v>74245</v>
      </c>
    </row>
    <row r="925" spans="1:7">
      <c r="A925" s="1" t="s">
        <v>2637</v>
      </c>
      <c r="B925" s="1" t="s">
        <v>2638</v>
      </c>
      <c r="C925">
        <f>(1-(B7/100))*111.21</f>
        <v>111.21</v>
      </c>
      <c r="D925" s="1">
        <v>0</v>
      </c>
      <c r="E925">
        <f>D925*C925</f>
        <v>0</v>
      </c>
      <c r="F925" s="1" t="s">
        <v>2639</v>
      </c>
      <c r="G925" s="17">
        <v>74246</v>
      </c>
    </row>
    <row r="926" spans="1:7">
      <c r="A926" s="1" t="s">
        <v>2640</v>
      </c>
      <c r="B926" s="1" t="s">
        <v>2641</v>
      </c>
      <c r="C926">
        <f>(1-(B7/100))*154.19</f>
        <v>154.19</v>
      </c>
      <c r="D926" s="1">
        <v>0</v>
      </c>
      <c r="E926">
        <f>D926*C926</f>
        <v>0</v>
      </c>
      <c r="F926" s="1" t="s">
        <v>2642</v>
      </c>
      <c r="G926" s="17">
        <v>74248</v>
      </c>
    </row>
    <row r="927" spans="1:7">
      <c r="A927" s="1" t="s">
        <v>2643</v>
      </c>
      <c r="B927" s="1" t="s">
        <v>2644</v>
      </c>
      <c r="C927">
        <f>(1-(B7/100))*58.66</f>
        <v>58.66</v>
      </c>
      <c r="D927" s="1">
        <v>0</v>
      </c>
      <c r="E927">
        <f>D927*C927</f>
        <v>0</v>
      </c>
      <c r="F927" s="1" t="s">
        <v>2645</v>
      </c>
      <c r="G927" s="17">
        <v>76728</v>
      </c>
    </row>
    <row r="928" spans="1:7">
      <c r="A928" s="1" t="s">
        <v>2646</v>
      </c>
      <c r="B928" s="1" t="s">
        <v>2647</v>
      </c>
      <c r="C928">
        <f>(1-(B7/100))*187.17</f>
        <v>187.17</v>
      </c>
      <c r="D928" s="1">
        <v>0</v>
      </c>
      <c r="E928">
        <f>D928*C928</f>
        <v>0</v>
      </c>
      <c r="F928" s="1" t="s">
        <v>2648</v>
      </c>
      <c r="G928" s="17">
        <v>77223</v>
      </c>
    </row>
    <row r="929" spans="1:7">
      <c r="A929" s="1" t="s">
        <v>2649</v>
      </c>
      <c r="B929" s="1" t="s">
        <v>2650</v>
      </c>
      <c r="C929">
        <f>(1-(B7/100))*178.68</f>
        <v>178.68</v>
      </c>
      <c r="D929" s="1">
        <v>0</v>
      </c>
      <c r="E929">
        <f>D929*C929</f>
        <v>0</v>
      </c>
      <c r="F929" s="1" t="s">
        <v>2651</v>
      </c>
      <c r="G929" s="17">
        <v>77264</v>
      </c>
    </row>
    <row r="930" spans="1:7">
      <c r="A930" s="1" t="s">
        <v>2652</v>
      </c>
      <c r="B930" s="1" t="s">
        <v>2653</v>
      </c>
      <c r="C930">
        <f>(1-(B7/100))*245.72</f>
        <v>245.72</v>
      </c>
      <c r="D930" s="1">
        <v>0</v>
      </c>
      <c r="E930">
        <f>D930*C930</f>
        <v>0</v>
      </c>
      <c r="F930" s="1" t="s">
        <v>2654</v>
      </c>
      <c r="G930" s="17">
        <v>77913</v>
      </c>
    </row>
    <row r="931" spans="1:7">
      <c r="A931" s="1" t="s">
        <v>2655</v>
      </c>
      <c r="B931" s="1" t="s">
        <v>2656</v>
      </c>
      <c r="C931">
        <f>(1-(B7/100))*1100.62</f>
        <v>1100.62</v>
      </c>
      <c r="D931" s="1">
        <v>0</v>
      </c>
      <c r="E931">
        <f>D931*C931</f>
        <v>0</v>
      </c>
      <c r="F931" s="1" t="s">
        <v>2657</v>
      </c>
      <c r="G931" s="17">
        <v>78084</v>
      </c>
    </row>
    <row r="932" spans="1:7">
      <c r="A932" s="1" t="s">
        <v>2658</v>
      </c>
      <c r="B932" s="1" t="s">
        <v>2659</v>
      </c>
      <c r="C932">
        <f>(1-(B7/100))*94.52</f>
        <v>94.52</v>
      </c>
      <c r="D932" s="1">
        <v>0</v>
      </c>
      <c r="E932">
        <f>D932*C932</f>
        <v>0</v>
      </c>
      <c r="F932" s="1" t="s">
        <v>2660</v>
      </c>
      <c r="G932" s="17">
        <v>78213</v>
      </c>
    </row>
    <row r="933" spans="1:7">
      <c r="A933" s="1" t="s">
        <v>2661</v>
      </c>
      <c r="B933" s="1" t="s">
        <v>2662</v>
      </c>
      <c r="C933">
        <f>(1-(B7/100))*586.36</f>
        <v>586.36</v>
      </c>
      <c r="D933" s="1">
        <v>0</v>
      </c>
      <c r="E933">
        <f>D933*C933</f>
        <v>0</v>
      </c>
      <c r="F933" s="1" t="s">
        <v>2663</v>
      </c>
      <c r="G933" s="17">
        <v>79524</v>
      </c>
    </row>
    <row r="934" spans="1:7">
      <c r="A934" s="1" t="s">
        <v>2664</v>
      </c>
      <c r="B934" s="1" t="s">
        <v>2665</v>
      </c>
      <c r="C934">
        <f>(1-(B7/100))*608.02</f>
        <v>608.02</v>
      </c>
      <c r="D934" s="1">
        <v>0</v>
      </c>
      <c r="E934">
        <f>D934*C934</f>
        <v>0</v>
      </c>
      <c r="F934" s="1" t="s">
        <v>2666</v>
      </c>
      <c r="G934" s="17">
        <v>79530</v>
      </c>
    </row>
    <row r="935" spans="1:7">
      <c r="A935" s="1" t="s">
        <v>2667</v>
      </c>
      <c r="B935" s="1" t="s">
        <v>2668</v>
      </c>
      <c r="C935">
        <f>(1-(B7/100))*461.27</f>
        <v>461.27</v>
      </c>
      <c r="D935" s="1">
        <v>0</v>
      </c>
      <c r="E935">
        <f>D935*C935</f>
        <v>0</v>
      </c>
      <c r="F935" s="1" t="s">
        <v>2669</v>
      </c>
      <c r="G935" s="17">
        <v>79540</v>
      </c>
    </row>
    <row r="936" spans="1:7">
      <c r="A936" s="1" t="s">
        <v>2670</v>
      </c>
      <c r="B936" s="1" t="s">
        <v>2671</v>
      </c>
      <c r="C936">
        <f>(1-(B7/100))*71.8</f>
        <v>71.8</v>
      </c>
      <c r="D936" s="1">
        <v>0</v>
      </c>
      <c r="E936">
        <f>D936*C936</f>
        <v>0</v>
      </c>
      <c r="F936" s="1" t="s">
        <v>2672</v>
      </c>
      <c r="G936" s="17">
        <v>79547</v>
      </c>
    </row>
    <row r="937" spans="1:7">
      <c r="A937" s="1" t="s">
        <v>2673</v>
      </c>
      <c r="B937" s="1" t="s">
        <v>2674</v>
      </c>
      <c r="C937">
        <f>(1-(B7/100))*36.2</f>
        <v>36.2</v>
      </c>
      <c r="D937" s="1">
        <v>0</v>
      </c>
      <c r="E937">
        <f>D937*C937</f>
        <v>0</v>
      </c>
      <c r="F937" s="1" t="s">
        <v>2675</v>
      </c>
      <c r="G937" s="17">
        <v>79550</v>
      </c>
    </row>
    <row r="938" spans="1:7">
      <c r="A938" s="1" t="s">
        <v>2676</v>
      </c>
      <c r="B938" s="1" t="s">
        <v>2677</v>
      </c>
      <c r="C938">
        <f>(1-(B7/100))*143.8</f>
        <v>143.8</v>
      </c>
      <c r="D938" s="1">
        <v>0</v>
      </c>
      <c r="E938">
        <f>D938*C938</f>
        <v>0</v>
      </c>
      <c r="F938" s="1" t="s">
        <v>2678</v>
      </c>
      <c r="G938" s="17">
        <v>79552</v>
      </c>
    </row>
    <row r="939" spans="1:7">
      <c r="A939" s="1" t="s">
        <v>2679</v>
      </c>
      <c r="B939" s="1" t="s">
        <v>2680</v>
      </c>
      <c r="C939">
        <f>(1-(B7/100))*165</f>
        <v>165</v>
      </c>
      <c r="D939" s="1">
        <v>0</v>
      </c>
      <c r="E939">
        <f>D939*C939</f>
        <v>0</v>
      </c>
      <c r="F939" s="1" t="s">
        <v>2681</v>
      </c>
      <c r="G939" s="17">
        <v>79553</v>
      </c>
    </row>
    <row r="940" spans="1:7">
      <c r="A940" s="1" t="s">
        <v>2682</v>
      </c>
      <c r="B940" s="1" t="s">
        <v>2683</v>
      </c>
      <c r="C940">
        <f>(1-(B7/100))*321.77</f>
        <v>321.77</v>
      </c>
      <c r="D940" s="1">
        <v>0</v>
      </c>
      <c r="E940">
        <f>D940*C940</f>
        <v>0</v>
      </c>
      <c r="F940" s="1" t="s">
        <v>2684</v>
      </c>
      <c r="G940" s="17">
        <v>79556</v>
      </c>
    </row>
    <row r="941" spans="1:7">
      <c r="A941" s="1" t="s">
        <v>2685</v>
      </c>
      <c r="B941" s="1" t="s">
        <v>2686</v>
      </c>
      <c r="C941">
        <f>(1-(B7/100))*119.83</f>
        <v>119.83</v>
      </c>
      <c r="D941" s="1">
        <v>0</v>
      </c>
      <c r="E941">
        <f>D941*C941</f>
        <v>0</v>
      </c>
      <c r="F941" s="1" t="s">
        <v>2687</v>
      </c>
      <c r="G941" s="17">
        <v>79561</v>
      </c>
    </row>
    <row r="942" spans="1:7">
      <c r="A942" s="1" t="s">
        <v>2688</v>
      </c>
      <c r="B942" s="1" t="s">
        <v>2689</v>
      </c>
      <c r="C942">
        <f>(1-(B7/100))*360.15</f>
        <v>360.15</v>
      </c>
      <c r="D942" s="1">
        <v>0</v>
      </c>
      <c r="E942">
        <f>D942*C942</f>
        <v>0</v>
      </c>
      <c r="F942" s="1" t="s">
        <v>2690</v>
      </c>
      <c r="G942" s="17">
        <v>79563</v>
      </c>
    </row>
    <row r="943" spans="1:7">
      <c r="A943" s="1" t="s">
        <v>2691</v>
      </c>
      <c r="B943" s="1" t="s">
        <v>2692</v>
      </c>
      <c r="C943">
        <f>(1-(B7/100))*29.79</f>
        <v>29.79</v>
      </c>
      <c r="D943" s="1">
        <v>0</v>
      </c>
      <c r="E943">
        <f>D943*C943</f>
        <v>0</v>
      </c>
      <c r="F943" s="1" t="s">
        <v>2693</v>
      </c>
      <c r="G943" s="17">
        <v>79569</v>
      </c>
    </row>
    <row r="944" spans="1:7">
      <c r="A944" s="1" t="s">
        <v>2694</v>
      </c>
      <c r="B944" s="1" t="s">
        <v>2695</v>
      </c>
      <c r="C944">
        <f>(1-(B7/100))*28.76</f>
        <v>28.76</v>
      </c>
      <c r="D944" s="1">
        <v>0</v>
      </c>
      <c r="E944">
        <f>D944*C944</f>
        <v>0</v>
      </c>
      <c r="F944" s="1" t="s">
        <v>2696</v>
      </c>
      <c r="G944" s="17">
        <v>79570</v>
      </c>
    </row>
    <row r="945" spans="1:7">
      <c r="A945" s="1" t="s">
        <v>2697</v>
      </c>
      <c r="B945" s="1" t="s">
        <v>2698</v>
      </c>
      <c r="C945">
        <f>(1-(B7/100))*132.65</f>
        <v>132.65</v>
      </c>
      <c r="D945" s="1">
        <v>0</v>
      </c>
      <c r="E945">
        <f>D945*C945</f>
        <v>0</v>
      </c>
      <c r="F945" s="1" t="s">
        <v>2699</v>
      </c>
      <c r="G945" s="17">
        <v>79572</v>
      </c>
    </row>
    <row r="946" spans="1:7">
      <c r="A946" s="1" t="s">
        <v>2700</v>
      </c>
      <c r="B946" s="1" t="s">
        <v>2701</v>
      </c>
      <c r="C946">
        <f>(1-(B7/100))*143.87</f>
        <v>143.87</v>
      </c>
      <c r="D946" s="1">
        <v>0</v>
      </c>
      <c r="E946">
        <f>D946*C946</f>
        <v>0</v>
      </c>
      <c r="F946" s="1" t="s">
        <v>2702</v>
      </c>
      <c r="G946" s="17">
        <v>79573</v>
      </c>
    </row>
    <row r="947" spans="1:7">
      <c r="A947" s="1" t="s">
        <v>2703</v>
      </c>
      <c r="B947" s="1" t="s">
        <v>2704</v>
      </c>
      <c r="C947">
        <f>(1-(B7/100))*40.71</f>
        <v>40.71</v>
      </c>
      <c r="D947" s="1">
        <v>0</v>
      </c>
      <c r="E947">
        <f>D947*C947</f>
        <v>0</v>
      </c>
      <c r="F947" s="1" t="s">
        <v>2705</v>
      </c>
      <c r="G947" s="17">
        <v>79575</v>
      </c>
    </row>
    <row r="948" spans="1:7">
      <c r="A948" s="1" t="s">
        <v>2706</v>
      </c>
      <c r="B948" s="1" t="s">
        <v>2707</v>
      </c>
      <c r="C948">
        <f>(1-(B7/100))*317.21</f>
        <v>317.21</v>
      </c>
      <c r="D948" s="1">
        <v>0</v>
      </c>
      <c r="E948">
        <f>D948*C948</f>
        <v>0</v>
      </c>
      <c r="F948" s="1" t="s">
        <v>2708</v>
      </c>
      <c r="G948" s="17">
        <v>79578</v>
      </c>
    </row>
    <row r="949" spans="1:7">
      <c r="A949" s="1" t="s">
        <v>2709</v>
      </c>
      <c r="B949" s="1" t="s">
        <v>2710</v>
      </c>
      <c r="C949">
        <f>(1-(B7/100))*472.73</f>
        <v>472.73</v>
      </c>
      <c r="D949" s="1">
        <v>0</v>
      </c>
      <c r="E949">
        <f>D949*C949</f>
        <v>0</v>
      </c>
      <c r="F949" s="1" t="s">
        <v>2711</v>
      </c>
      <c r="G949" s="17">
        <v>79582</v>
      </c>
    </row>
    <row r="950" spans="1:7">
      <c r="A950" s="1" t="s">
        <v>2712</v>
      </c>
      <c r="B950" s="1" t="s">
        <v>2713</v>
      </c>
      <c r="C950">
        <f>(1-(B7/100))*433.98</f>
        <v>433.98</v>
      </c>
      <c r="D950" s="1">
        <v>0</v>
      </c>
      <c r="E950">
        <f>D950*C950</f>
        <v>0</v>
      </c>
      <c r="F950" s="1" t="s">
        <v>2714</v>
      </c>
      <c r="G950" s="17">
        <v>79583</v>
      </c>
    </row>
    <row r="951" spans="1:7">
      <c r="A951" s="1" t="s">
        <v>2715</v>
      </c>
      <c r="B951" s="1" t="s">
        <v>2716</v>
      </c>
      <c r="C951">
        <f>(1-(B7/100))*512.77</f>
        <v>512.77</v>
      </c>
      <c r="D951" s="1">
        <v>0</v>
      </c>
      <c r="E951">
        <f>D951*C951</f>
        <v>0</v>
      </c>
      <c r="F951" s="1" t="s">
        <v>2717</v>
      </c>
      <c r="G951" s="17">
        <v>79584</v>
      </c>
    </row>
    <row r="952" spans="1:7">
      <c r="A952" s="1" t="s">
        <v>2718</v>
      </c>
      <c r="B952" s="1" t="s">
        <v>2719</v>
      </c>
      <c r="C952">
        <f>(1-(B7/100))*72.18</f>
        <v>72.18</v>
      </c>
      <c r="D952" s="1">
        <v>0</v>
      </c>
      <c r="E952">
        <f>D952*C952</f>
        <v>0</v>
      </c>
      <c r="F952" s="1" t="s">
        <v>2720</v>
      </c>
      <c r="G952" s="17">
        <v>79586</v>
      </c>
    </row>
    <row r="953" spans="1:7">
      <c r="A953" s="1" t="s">
        <v>2721</v>
      </c>
      <c r="B953" s="1" t="s">
        <v>2722</v>
      </c>
      <c r="C953">
        <f>(1-(B7/100))*76.83</f>
        <v>76.83</v>
      </c>
      <c r="D953" s="1">
        <v>0</v>
      </c>
      <c r="E953">
        <f>D953*C953</f>
        <v>0</v>
      </c>
      <c r="F953" s="1" t="s">
        <v>2723</v>
      </c>
      <c r="G953" s="17">
        <v>79589</v>
      </c>
    </row>
    <row r="954" spans="1:7">
      <c r="A954" s="1" t="s">
        <v>2724</v>
      </c>
      <c r="B954" s="1" t="s">
        <v>2725</v>
      </c>
      <c r="C954">
        <f>(1-(B7/100))*507.71</f>
        <v>507.71</v>
      </c>
      <c r="D954" s="1">
        <v>0</v>
      </c>
      <c r="E954">
        <f>D954*C954</f>
        <v>0</v>
      </c>
      <c r="F954" s="1" t="s">
        <v>2726</v>
      </c>
      <c r="G954" s="17">
        <v>79591</v>
      </c>
    </row>
    <row r="955" spans="1:7">
      <c r="A955" s="1" t="s">
        <v>2727</v>
      </c>
      <c r="B955" s="1" t="s">
        <v>2728</v>
      </c>
      <c r="C955">
        <f>(1-(B7/100))*463.55</f>
        <v>463.55</v>
      </c>
      <c r="D955" s="1">
        <v>0</v>
      </c>
      <c r="E955">
        <f>D955*C955</f>
        <v>0</v>
      </c>
      <c r="F955" s="1" t="s">
        <v>2729</v>
      </c>
      <c r="G955" s="17">
        <v>79592</v>
      </c>
    </row>
    <row r="956" spans="1:7">
      <c r="A956" s="1" t="s">
        <v>2730</v>
      </c>
      <c r="B956" s="1" t="s">
        <v>2731</v>
      </c>
      <c r="C956">
        <f>(1-(B7/100))*67.21</f>
        <v>67.21</v>
      </c>
      <c r="D956" s="1">
        <v>0</v>
      </c>
      <c r="E956">
        <f>D956*C956</f>
        <v>0</v>
      </c>
      <c r="F956" s="1" t="s">
        <v>2732</v>
      </c>
      <c r="G956" s="17">
        <v>79594</v>
      </c>
    </row>
    <row r="957" spans="1:7">
      <c r="A957" s="1" t="s">
        <v>2733</v>
      </c>
      <c r="B957" s="1" t="s">
        <v>2734</v>
      </c>
      <c r="C957">
        <f>(1-(B7/100))*272.08</f>
        <v>272.08</v>
      </c>
      <c r="D957" s="1">
        <v>0</v>
      </c>
      <c r="E957">
        <f>D957*C957</f>
        <v>0</v>
      </c>
      <c r="F957" s="1" t="s">
        <v>2735</v>
      </c>
      <c r="G957" s="17">
        <v>79596</v>
      </c>
    </row>
    <row r="958" spans="1:7">
      <c r="A958" s="1" t="s">
        <v>2736</v>
      </c>
      <c r="B958" s="1" t="s">
        <v>2737</v>
      </c>
      <c r="C958">
        <f>(1-(B7/100))*711.64</f>
        <v>711.64</v>
      </c>
      <c r="D958" s="1">
        <v>0</v>
      </c>
      <c r="E958">
        <f>D958*C958</f>
        <v>0</v>
      </c>
      <c r="F958" s="1" t="s">
        <v>2738</v>
      </c>
      <c r="G958" s="17">
        <v>79597</v>
      </c>
    </row>
    <row r="959" spans="1:7">
      <c r="A959" s="1" t="s">
        <v>2739</v>
      </c>
      <c r="B959" s="1" t="s">
        <v>2740</v>
      </c>
      <c r="C959">
        <f>(1-(B7/100))*377.47</f>
        <v>377.47</v>
      </c>
      <c r="D959" s="1">
        <v>0</v>
      </c>
      <c r="E959">
        <f>D959*C959</f>
        <v>0</v>
      </c>
      <c r="F959" s="1" t="s">
        <v>2741</v>
      </c>
      <c r="G959" s="17">
        <v>79598</v>
      </c>
    </row>
    <row r="960" spans="1:7">
      <c r="A960" s="1" t="s">
        <v>2742</v>
      </c>
      <c r="B960" s="1" t="s">
        <v>2743</v>
      </c>
      <c r="C960">
        <f>(1-(B7/100))*598.51</f>
        <v>598.51</v>
      </c>
      <c r="D960" s="1">
        <v>0</v>
      </c>
      <c r="E960">
        <f>D960*C960</f>
        <v>0</v>
      </c>
      <c r="F960" s="1" t="s">
        <v>2744</v>
      </c>
      <c r="G960" s="17">
        <v>79599</v>
      </c>
    </row>
    <row r="961" spans="1:7">
      <c r="A961" s="1" t="s">
        <v>2745</v>
      </c>
      <c r="B961" s="1" t="s">
        <v>2746</v>
      </c>
      <c r="C961">
        <f>(1-(B7/100))*562.51</f>
        <v>562.51</v>
      </c>
      <c r="D961" s="1">
        <v>0</v>
      </c>
      <c r="E961">
        <f>D961*C961</f>
        <v>0</v>
      </c>
      <c r="F961" s="1" t="s">
        <v>2747</v>
      </c>
      <c r="G961" s="17">
        <v>79602</v>
      </c>
    </row>
    <row r="962" spans="1:7">
      <c r="A962" s="1" t="s">
        <v>2748</v>
      </c>
      <c r="B962" s="1" t="s">
        <v>2749</v>
      </c>
      <c r="C962">
        <f>(1-(B7/100))*198.56</f>
        <v>198.56</v>
      </c>
      <c r="D962" s="1">
        <v>0</v>
      </c>
      <c r="E962">
        <f>D962*C962</f>
        <v>0</v>
      </c>
      <c r="F962" s="1" t="s">
        <v>2750</v>
      </c>
      <c r="G962" s="17">
        <v>79605</v>
      </c>
    </row>
    <row r="963" spans="1:7">
      <c r="A963" s="1" t="s">
        <v>2751</v>
      </c>
      <c r="B963" s="1" t="s">
        <v>2752</v>
      </c>
      <c r="C963">
        <f>(1-(B7/100))*355.2</f>
        <v>355.2</v>
      </c>
      <c r="D963" s="1">
        <v>0</v>
      </c>
      <c r="E963">
        <f>D963*C963</f>
        <v>0</v>
      </c>
      <c r="F963" s="1" t="s">
        <v>2753</v>
      </c>
      <c r="G963" s="17">
        <v>79608</v>
      </c>
    </row>
    <row r="964" spans="1:7">
      <c r="A964" s="1" t="s">
        <v>2754</v>
      </c>
      <c r="B964" s="1" t="s">
        <v>2755</v>
      </c>
      <c r="C964">
        <f>(1-(B7/100))*34.05</f>
        <v>34.05</v>
      </c>
      <c r="D964" s="1">
        <v>0</v>
      </c>
      <c r="E964">
        <f>D964*C964</f>
        <v>0</v>
      </c>
      <c r="F964" s="1" t="s">
        <v>2756</v>
      </c>
      <c r="G964" s="17">
        <v>79609</v>
      </c>
    </row>
    <row r="965" spans="1:7">
      <c r="A965" s="1" t="s">
        <v>2757</v>
      </c>
      <c r="B965" s="1" t="s">
        <v>2758</v>
      </c>
      <c r="C965">
        <f>(1-(B7/100))*30.98</f>
        <v>30.98</v>
      </c>
      <c r="D965" s="1">
        <v>0</v>
      </c>
      <c r="E965">
        <f>D965*C965</f>
        <v>0</v>
      </c>
      <c r="F965" s="1" t="s">
        <v>2759</v>
      </c>
      <c r="G965" s="17">
        <v>79610</v>
      </c>
    </row>
    <row r="966" spans="1:7">
      <c r="A966" s="1" t="s">
        <v>2760</v>
      </c>
      <c r="B966" s="1" t="s">
        <v>2761</v>
      </c>
      <c r="C966">
        <f>(1-(B7/100))*22.4</f>
        <v>22.4</v>
      </c>
      <c r="D966" s="1">
        <v>0</v>
      </c>
      <c r="E966">
        <f>D966*C966</f>
        <v>0</v>
      </c>
      <c r="F966" s="1" t="s">
        <v>2762</v>
      </c>
      <c r="G966" s="17">
        <v>79611</v>
      </c>
    </row>
    <row r="967" spans="1:7">
      <c r="A967" s="1" t="s">
        <v>2763</v>
      </c>
      <c r="B967" s="1" t="s">
        <v>2764</v>
      </c>
      <c r="C967">
        <f>(1-(B7/100))*22.4</f>
        <v>22.4</v>
      </c>
      <c r="D967" s="1">
        <v>0</v>
      </c>
      <c r="E967">
        <f>D967*C967</f>
        <v>0</v>
      </c>
      <c r="F967" s="1" t="s">
        <v>2765</v>
      </c>
      <c r="G967" s="17">
        <v>79612</v>
      </c>
    </row>
    <row r="968" spans="1:7">
      <c r="A968" s="1" t="s">
        <v>2766</v>
      </c>
      <c r="B968" s="1" t="s">
        <v>2767</v>
      </c>
      <c r="C968">
        <f>(1-(B7/100))*22.5</f>
        <v>22.5</v>
      </c>
      <c r="D968" s="1">
        <v>0</v>
      </c>
      <c r="E968">
        <f>D968*C968</f>
        <v>0</v>
      </c>
      <c r="F968" s="1" t="s">
        <v>2768</v>
      </c>
      <c r="G968" s="17">
        <v>79613</v>
      </c>
    </row>
    <row r="969" spans="1:7">
      <c r="A969" s="1" t="s">
        <v>2769</v>
      </c>
      <c r="B969" s="1" t="s">
        <v>2770</v>
      </c>
      <c r="C969">
        <f>(1-(B7/100))*25.18</f>
        <v>25.18</v>
      </c>
      <c r="D969" s="1">
        <v>0</v>
      </c>
      <c r="E969">
        <f>D969*C969</f>
        <v>0</v>
      </c>
      <c r="F969" s="1" t="s">
        <v>2771</v>
      </c>
      <c r="G969" s="17">
        <v>79614</v>
      </c>
    </row>
    <row r="970" spans="1:7">
      <c r="A970" s="1" t="s">
        <v>2772</v>
      </c>
      <c r="B970" s="1" t="s">
        <v>2773</v>
      </c>
      <c r="C970">
        <f>(1-(B7/100))*22.4</f>
        <v>22.4</v>
      </c>
      <c r="D970" s="1">
        <v>0</v>
      </c>
      <c r="E970">
        <f>D970*C970</f>
        <v>0</v>
      </c>
      <c r="F970" s="1" t="s">
        <v>2774</v>
      </c>
      <c r="G970" s="17">
        <v>79615</v>
      </c>
    </row>
    <row r="971" spans="1:7">
      <c r="A971" s="1" t="s">
        <v>2775</v>
      </c>
      <c r="B971" s="1" t="s">
        <v>2776</v>
      </c>
      <c r="C971">
        <f>(1-(B7/100))*28.11</f>
        <v>28.11</v>
      </c>
      <c r="D971" s="1">
        <v>0</v>
      </c>
      <c r="E971">
        <f>D971*C971</f>
        <v>0</v>
      </c>
      <c r="F971" s="1" t="s">
        <v>2777</v>
      </c>
      <c r="G971" s="17">
        <v>79616</v>
      </c>
    </row>
    <row r="972" spans="1:7">
      <c r="A972" s="1" t="s">
        <v>2778</v>
      </c>
      <c r="B972" s="1" t="s">
        <v>2779</v>
      </c>
      <c r="C972">
        <f>(1-(B7/100))*5212.62</f>
        <v>5212.62</v>
      </c>
      <c r="D972" s="1">
        <v>0</v>
      </c>
      <c r="E972">
        <f>D972*C972</f>
        <v>0</v>
      </c>
      <c r="F972" s="1" t="s">
        <v>2780</v>
      </c>
      <c r="G972" s="17">
        <v>79622</v>
      </c>
    </row>
    <row r="973" spans="1:7">
      <c r="A973" s="1" t="s">
        <v>2781</v>
      </c>
      <c r="B973" s="1" t="s">
        <v>2782</v>
      </c>
      <c r="C973">
        <f>(1-(B7/100))*32.56</f>
        <v>32.56</v>
      </c>
      <c r="D973" s="1">
        <v>0</v>
      </c>
      <c r="E973">
        <f>D973*C973</f>
        <v>0</v>
      </c>
      <c r="F973" s="1" t="s">
        <v>2783</v>
      </c>
      <c r="G973" s="17">
        <v>79623</v>
      </c>
    </row>
    <row r="974" spans="1:7">
      <c r="A974" s="1" t="s">
        <v>2784</v>
      </c>
      <c r="B974" s="1" t="s">
        <v>2785</v>
      </c>
      <c r="C974">
        <f>(1-(B7/100))*28.98</f>
        <v>28.98</v>
      </c>
      <c r="D974" s="1">
        <v>0</v>
      </c>
      <c r="E974">
        <f>D974*C974</f>
        <v>0</v>
      </c>
      <c r="F974" s="1" t="s">
        <v>2786</v>
      </c>
      <c r="G974" s="17">
        <v>79624</v>
      </c>
    </row>
    <row r="975" spans="1:7">
      <c r="A975" s="1" t="s">
        <v>2787</v>
      </c>
      <c r="B975" s="1" t="s">
        <v>2788</v>
      </c>
      <c r="C975">
        <f>(1-(B7/100))*295.9</f>
        <v>295.9</v>
      </c>
      <c r="D975" s="1">
        <v>0</v>
      </c>
      <c r="E975">
        <f>D975*C975</f>
        <v>0</v>
      </c>
      <c r="F975" s="1" t="s">
        <v>2789</v>
      </c>
      <c r="G975" s="17">
        <v>79627</v>
      </c>
    </row>
    <row r="976" spans="1:7">
      <c r="A976" s="1" t="s">
        <v>2790</v>
      </c>
      <c r="B976" s="1" t="s">
        <v>2791</v>
      </c>
      <c r="C976">
        <f>(1-(B7/100))*26.71</f>
        <v>26.71</v>
      </c>
      <c r="D976" s="1">
        <v>0</v>
      </c>
      <c r="E976">
        <f>D976*C976</f>
        <v>0</v>
      </c>
      <c r="F976" s="1" t="s">
        <v>2792</v>
      </c>
      <c r="G976" s="17">
        <v>79628</v>
      </c>
    </row>
    <row r="977" spans="1:7">
      <c r="A977" s="1" t="s">
        <v>2793</v>
      </c>
      <c r="B977" s="1" t="s">
        <v>2794</v>
      </c>
      <c r="C977">
        <f>(1-(B7/100))*22.4</f>
        <v>22.4</v>
      </c>
      <c r="D977" s="1">
        <v>0</v>
      </c>
      <c r="E977">
        <f>D977*C977</f>
        <v>0</v>
      </c>
      <c r="F977" s="1" t="s">
        <v>2795</v>
      </c>
      <c r="G977" s="17">
        <v>79629</v>
      </c>
    </row>
    <row r="978" spans="1:7">
      <c r="A978" s="1" t="s">
        <v>2796</v>
      </c>
      <c r="B978" s="1" t="s">
        <v>2797</v>
      </c>
      <c r="C978">
        <f>(1-(B7/100))*32.76</f>
        <v>32.76</v>
      </c>
      <c r="D978" s="1">
        <v>0</v>
      </c>
      <c r="E978">
        <f>D978*C978</f>
        <v>0</v>
      </c>
      <c r="F978" s="1" t="s">
        <v>2798</v>
      </c>
      <c r="G978" s="17">
        <v>79630</v>
      </c>
    </row>
    <row r="979" spans="1:7">
      <c r="A979" s="1" t="s">
        <v>2799</v>
      </c>
      <c r="B979" s="1" t="s">
        <v>2800</v>
      </c>
      <c r="C979">
        <f>(1-(B7/100))*26.09</f>
        <v>26.09</v>
      </c>
      <c r="D979" s="1">
        <v>0</v>
      </c>
      <c r="E979">
        <f>D979*C979</f>
        <v>0</v>
      </c>
      <c r="F979" s="1" t="s">
        <v>2801</v>
      </c>
      <c r="G979" s="17">
        <v>79631</v>
      </c>
    </row>
    <row r="980" spans="1:7">
      <c r="A980" s="1" t="s">
        <v>2802</v>
      </c>
      <c r="B980" s="1" t="s">
        <v>2803</v>
      </c>
      <c r="C980">
        <f>(1-(B7/100))*366.88</f>
        <v>366.88</v>
      </c>
      <c r="D980" s="1">
        <v>0</v>
      </c>
      <c r="E980">
        <f>D980*C980</f>
        <v>0</v>
      </c>
      <c r="F980" s="1" t="s">
        <v>2804</v>
      </c>
      <c r="G980" s="17">
        <v>79632</v>
      </c>
    </row>
    <row r="981" spans="1:7">
      <c r="A981" s="1" t="s">
        <v>2805</v>
      </c>
      <c r="B981" s="1" t="s">
        <v>2806</v>
      </c>
      <c r="C981">
        <f>(1-(B7/100))*54.63</f>
        <v>54.63</v>
      </c>
      <c r="D981" s="1">
        <v>0</v>
      </c>
      <c r="E981">
        <f>D981*C981</f>
        <v>0</v>
      </c>
      <c r="F981" s="1" t="s">
        <v>2807</v>
      </c>
      <c r="G981" s="17">
        <v>79633</v>
      </c>
    </row>
    <row r="982" spans="1:7">
      <c r="A982" s="1" t="s">
        <v>2808</v>
      </c>
      <c r="B982" s="1" t="s">
        <v>2809</v>
      </c>
      <c r="C982">
        <f>(1-(B7/100))*346.7</f>
        <v>346.7</v>
      </c>
      <c r="D982" s="1">
        <v>0</v>
      </c>
      <c r="E982">
        <f>D982*C982</f>
        <v>0</v>
      </c>
      <c r="F982" s="1" t="s">
        <v>2810</v>
      </c>
      <c r="G982" s="17">
        <v>79634</v>
      </c>
    </row>
    <row r="983" spans="1:7">
      <c r="A983" s="1" t="s">
        <v>2811</v>
      </c>
      <c r="B983" s="1" t="s">
        <v>2812</v>
      </c>
      <c r="C983">
        <f>(1-(B7/100))*246.64</f>
        <v>246.64</v>
      </c>
      <c r="D983" s="1">
        <v>0</v>
      </c>
      <c r="E983">
        <f>D983*C983</f>
        <v>0</v>
      </c>
      <c r="F983" s="1" t="s">
        <v>2813</v>
      </c>
      <c r="G983" s="17">
        <v>79639</v>
      </c>
    </row>
    <row r="984" spans="1:7">
      <c r="A984" s="1" t="s">
        <v>2814</v>
      </c>
      <c r="B984" s="1" t="s">
        <v>2815</v>
      </c>
      <c r="C984">
        <f>(1-(B7/100))*229.67</f>
        <v>229.67</v>
      </c>
      <c r="D984" s="1">
        <v>0</v>
      </c>
      <c r="E984">
        <f>D984*C984</f>
        <v>0</v>
      </c>
      <c r="F984" s="1" t="s">
        <v>2816</v>
      </c>
      <c r="G984" s="17">
        <v>79640</v>
      </c>
    </row>
    <row r="985" spans="1:7">
      <c r="A985" s="1" t="s">
        <v>2817</v>
      </c>
      <c r="B985" s="1" t="s">
        <v>2818</v>
      </c>
      <c r="C985">
        <f>(1-(B7/100))*239.66</f>
        <v>239.66</v>
      </c>
      <c r="D985" s="1">
        <v>0</v>
      </c>
      <c r="E985">
        <f>D985*C985</f>
        <v>0</v>
      </c>
      <c r="F985" s="1" t="s">
        <v>2819</v>
      </c>
      <c r="G985" s="17">
        <v>79641</v>
      </c>
    </row>
    <row r="986" spans="1:7">
      <c r="A986" s="1" t="s">
        <v>2820</v>
      </c>
      <c r="B986" s="1" t="s">
        <v>2821</v>
      </c>
      <c r="C986">
        <f>(1-(B7/100))*164.12</f>
        <v>164.12</v>
      </c>
      <c r="D986" s="1">
        <v>0</v>
      </c>
      <c r="E986">
        <f>D986*C986</f>
        <v>0</v>
      </c>
      <c r="F986" s="1" t="s">
        <v>2822</v>
      </c>
      <c r="G986" s="17">
        <v>79643</v>
      </c>
    </row>
    <row r="987" spans="1:7">
      <c r="A987" s="1" t="s">
        <v>2823</v>
      </c>
      <c r="B987" s="1" t="s">
        <v>2824</v>
      </c>
      <c r="C987">
        <f>(1-(B7/100))*39.73</f>
        <v>39.73</v>
      </c>
      <c r="D987" s="1">
        <v>0</v>
      </c>
      <c r="E987">
        <f>D987*C987</f>
        <v>0</v>
      </c>
      <c r="F987" s="1" t="s">
        <v>2825</v>
      </c>
      <c r="G987" s="17">
        <v>79644</v>
      </c>
    </row>
    <row r="988" spans="1:7">
      <c r="A988" s="1" t="s">
        <v>2826</v>
      </c>
      <c r="B988" s="1" t="s">
        <v>2827</v>
      </c>
      <c r="C988">
        <f>(1-(B7/100))*129.3</f>
        <v>129.3</v>
      </c>
      <c r="D988" s="1">
        <v>0</v>
      </c>
      <c r="E988">
        <f>D988*C988</f>
        <v>0</v>
      </c>
      <c r="F988" s="1" t="s">
        <v>2828</v>
      </c>
      <c r="G988" s="17">
        <v>79648</v>
      </c>
    </row>
    <row r="989" spans="1:7">
      <c r="A989" s="1" t="s">
        <v>2829</v>
      </c>
      <c r="B989" s="1" t="s">
        <v>2830</v>
      </c>
      <c r="C989">
        <f>(1-(B7/100))*88.86</f>
        <v>88.86</v>
      </c>
      <c r="D989" s="1">
        <v>0</v>
      </c>
      <c r="E989">
        <f>D989*C989</f>
        <v>0</v>
      </c>
      <c r="F989" s="1" t="s">
        <v>2831</v>
      </c>
      <c r="G989" s="17">
        <v>79650</v>
      </c>
    </row>
    <row r="990" spans="1:7">
      <c r="A990" s="1" t="s">
        <v>2832</v>
      </c>
      <c r="B990" s="1" t="s">
        <v>2833</v>
      </c>
      <c r="C990">
        <f>(1-(B7/100))*47.72</f>
        <v>47.72</v>
      </c>
      <c r="D990" s="1">
        <v>0</v>
      </c>
      <c r="E990">
        <f>D990*C990</f>
        <v>0</v>
      </c>
      <c r="F990" s="1" t="s">
        <v>2834</v>
      </c>
      <c r="G990" s="17">
        <v>79651</v>
      </c>
    </row>
    <row r="991" spans="1:7">
      <c r="A991" s="1" t="s">
        <v>2835</v>
      </c>
      <c r="B991" s="1" t="s">
        <v>2836</v>
      </c>
      <c r="C991">
        <f>(1-(B7/100))*120.58</f>
        <v>120.58</v>
      </c>
      <c r="D991" s="1">
        <v>0</v>
      </c>
      <c r="E991">
        <f>D991*C991</f>
        <v>0</v>
      </c>
      <c r="F991" s="1" t="s">
        <v>2837</v>
      </c>
      <c r="G991" s="17">
        <v>79652</v>
      </c>
    </row>
    <row r="992" spans="1:7">
      <c r="A992" s="1" t="s">
        <v>2838</v>
      </c>
      <c r="B992" s="1" t="s">
        <v>2839</v>
      </c>
      <c r="C992">
        <f>(1-(B7/100))*80.7</f>
        <v>80.7</v>
      </c>
      <c r="D992" s="1">
        <v>0</v>
      </c>
      <c r="E992">
        <f>D992*C992</f>
        <v>0</v>
      </c>
      <c r="F992" s="1" t="s">
        <v>2840</v>
      </c>
      <c r="G992" s="17">
        <v>79653</v>
      </c>
    </row>
    <row r="993" spans="1:7">
      <c r="A993" s="1" t="s">
        <v>2841</v>
      </c>
      <c r="B993" s="1" t="s">
        <v>2842</v>
      </c>
      <c r="C993">
        <f>(1-(B7/100))*341.43</f>
        <v>341.43</v>
      </c>
      <c r="D993" s="1">
        <v>0</v>
      </c>
      <c r="E993">
        <f>D993*C993</f>
        <v>0</v>
      </c>
      <c r="F993" s="1" t="s">
        <v>2843</v>
      </c>
      <c r="G993" s="17">
        <v>79656</v>
      </c>
    </row>
    <row r="994" spans="1:7">
      <c r="A994" s="1" t="s">
        <v>2844</v>
      </c>
      <c r="B994" s="1" t="s">
        <v>2845</v>
      </c>
      <c r="C994">
        <f>(1-(B7/100))*122.41</f>
        <v>122.41</v>
      </c>
      <c r="D994" s="1">
        <v>0</v>
      </c>
      <c r="E994">
        <f>D994*C994</f>
        <v>0</v>
      </c>
      <c r="F994" s="1" t="s">
        <v>2846</v>
      </c>
      <c r="G994" s="17">
        <v>79658</v>
      </c>
    </row>
    <row r="995" spans="1:7">
      <c r="A995" s="1" t="s">
        <v>2847</v>
      </c>
      <c r="B995" s="1" t="s">
        <v>2848</v>
      </c>
      <c r="C995">
        <f>(1-(B7/100))*105.84</f>
        <v>105.84</v>
      </c>
      <c r="D995" s="1">
        <v>0</v>
      </c>
      <c r="E995">
        <f>D995*C995</f>
        <v>0</v>
      </c>
      <c r="F995" s="1" t="s">
        <v>2849</v>
      </c>
      <c r="G995" s="17">
        <v>79659</v>
      </c>
    </row>
    <row r="996" spans="1:7">
      <c r="A996" s="1" t="s">
        <v>2850</v>
      </c>
      <c r="B996" s="1" t="s">
        <v>2851</v>
      </c>
      <c r="C996">
        <f>(1-(B7/100))*97.13</f>
        <v>97.13</v>
      </c>
      <c r="D996" s="1">
        <v>0</v>
      </c>
      <c r="E996">
        <f>D996*C996</f>
        <v>0</v>
      </c>
      <c r="F996" s="1" t="s">
        <v>2852</v>
      </c>
      <c r="G996" s="17">
        <v>79660</v>
      </c>
    </row>
    <row r="997" spans="1:7">
      <c r="A997" s="1" t="s">
        <v>2853</v>
      </c>
      <c r="B997" s="1" t="s">
        <v>2854</v>
      </c>
      <c r="C997">
        <f>(1-(B7/100))*216.78</f>
        <v>216.78</v>
      </c>
      <c r="D997" s="1">
        <v>0</v>
      </c>
      <c r="E997">
        <f>D997*C997</f>
        <v>0</v>
      </c>
      <c r="F997" s="1" t="s">
        <v>2855</v>
      </c>
      <c r="G997" s="17">
        <v>79663</v>
      </c>
    </row>
    <row r="998" spans="1:7">
      <c r="A998" s="1" t="s">
        <v>2856</v>
      </c>
      <c r="B998" s="1" t="s">
        <v>2857</v>
      </c>
      <c r="C998">
        <f>(1-(B7/100))*267.79</f>
        <v>267.79</v>
      </c>
      <c r="D998" s="1">
        <v>0</v>
      </c>
      <c r="E998">
        <f>D998*C998</f>
        <v>0</v>
      </c>
      <c r="F998" s="1" t="s">
        <v>2858</v>
      </c>
      <c r="G998" s="17">
        <v>79664</v>
      </c>
    </row>
    <row r="999" spans="1:7">
      <c r="A999" s="1" t="s">
        <v>2859</v>
      </c>
      <c r="B999" s="1" t="s">
        <v>2860</v>
      </c>
      <c r="C999">
        <f>(1-(B7/100))*198.57</f>
        <v>198.57</v>
      </c>
      <c r="D999" s="1">
        <v>0</v>
      </c>
      <c r="E999">
        <f>D999*C999</f>
        <v>0</v>
      </c>
      <c r="F999" s="1" t="s">
        <v>2861</v>
      </c>
      <c r="G999" s="17">
        <v>79666</v>
      </c>
    </row>
    <row r="1000" spans="1:7">
      <c r="A1000" s="1" t="s">
        <v>2862</v>
      </c>
      <c r="B1000" s="1" t="s">
        <v>2863</v>
      </c>
      <c r="C1000">
        <f>(1-(B7/100))*20.95</f>
        <v>20.95</v>
      </c>
      <c r="D1000" s="1">
        <v>0</v>
      </c>
      <c r="E1000">
        <f>D1000*C1000</f>
        <v>0</v>
      </c>
      <c r="F1000" s="1" t="s">
        <v>2864</v>
      </c>
      <c r="G1000" s="17">
        <v>79668</v>
      </c>
    </row>
    <row r="1001" spans="1:7">
      <c r="A1001" s="1" t="s">
        <v>2865</v>
      </c>
      <c r="B1001" s="1" t="s">
        <v>2866</v>
      </c>
      <c r="C1001">
        <f>(1-(B7/100))*29.79</f>
        <v>29.79</v>
      </c>
      <c r="D1001" s="1">
        <v>0</v>
      </c>
      <c r="E1001">
        <f>D1001*C1001</f>
        <v>0</v>
      </c>
      <c r="F1001" s="1" t="s">
        <v>2867</v>
      </c>
      <c r="G1001" s="17">
        <v>79669</v>
      </c>
    </row>
    <row r="1002" spans="1:7">
      <c r="A1002" s="1" t="s">
        <v>2868</v>
      </c>
      <c r="B1002" s="1" t="s">
        <v>2869</v>
      </c>
      <c r="C1002">
        <f>(1-(B7/100))*29.19</f>
        <v>29.19</v>
      </c>
      <c r="D1002" s="1">
        <v>0</v>
      </c>
      <c r="E1002">
        <f>D1002*C1002</f>
        <v>0</v>
      </c>
      <c r="F1002" s="1" t="s">
        <v>2870</v>
      </c>
      <c r="G1002" s="17">
        <v>79670</v>
      </c>
    </row>
    <row r="1003" spans="1:7">
      <c r="A1003" s="1" t="s">
        <v>2871</v>
      </c>
      <c r="B1003" s="1" t="s">
        <v>2872</v>
      </c>
      <c r="C1003">
        <f>(1-(B7/100))*18.72</f>
        <v>18.72</v>
      </c>
      <c r="D1003" s="1">
        <v>0</v>
      </c>
      <c r="E1003">
        <f>D1003*C1003</f>
        <v>0</v>
      </c>
      <c r="F1003" s="1" t="s">
        <v>2873</v>
      </c>
      <c r="G1003" s="17">
        <v>79671</v>
      </c>
    </row>
    <row r="1004" spans="1:7">
      <c r="A1004" s="1" t="s">
        <v>2874</v>
      </c>
      <c r="B1004" s="1" t="s">
        <v>2875</v>
      </c>
      <c r="C1004">
        <f>(1-(B7/100))*11.22</f>
        <v>11.22</v>
      </c>
      <c r="D1004" s="1">
        <v>0</v>
      </c>
      <c r="E1004">
        <f>D1004*C1004</f>
        <v>0</v>
      </c>
      <c r="F1004" s="1" t="s">
        <v>2876</v>
      </c>
      <c r="G1004" s="17">
        <v>79673</v>
      </c>
    </row>
    <row r="1005" spans="1:7">
      <c r="A1005" s="1" t="s">
        <v>2877</v>
      </c>
      <c r="B1005" s="1" t="s">
        <v>2878</v>
      </c>
      <c r="C1005">
        <f>(1-(B7/100))*428.11</f>
        <v>428.11</v>
      </c>
      <c r="D1005" s="1">
        <v>0</v>
      </c>
      <c r="E1005">
        <f>D1005*C1005</f>
        <v>0</v>
      </c>
      <c r="F1005" s="1" t="s">
        <v>2879</v>
      </c>
      <c r="G1005" s="17">
        <v>79674</v>
      </c>
    </row>
    <row r="1006" spans="1:7">
      <c r="A1006" s="1" t="s">
        <v>2880</v>
      </c>
      <c r="B1006" s="1" t="s">
        <v>2881</v>
      </c>
      <c r="C1006">
        <f>(1-(B7/100))*281.07</f>
        <v>281.07</v>
      </c>
      <c r="D1006" s="1">
        <v>0</v>
      </c>
      <c r="E1006">
        <f>D1006*C1006</f>
        <v>0</v>
      </c>
      <c r="F1006" s="1" t="s">
        <v>2882</v>
      </c>
      <c r="G1006" s="17">
        <v>79676</v>
      </c>
    </row>
    <row r="1007" spans="1:7">
      <c r="A1007" s="1" t="s">
        <v>2883</v>
      </c>
      <c r="B1007" s="1" t="s">
        <v>2884</v>
      </c>
      <c r="C1007">
        <f>(1-(B7/100))*129.76</f>
        <v>129.76</v>
      </c>
      <c r="D1007" s="1">
        <v>0</v>
      </c>
      <c r="E1007">
        <f>D1007*C1007</f>
        <v>0</v>
      </c>
      <c r="F1007" s="1" t="s">
        <v>2885</v>
      </c>
      <c r="G1007" s="17">
        <v>79680</v>
      </c>
    </row>
    <row r="1008" spans="1:7">
      <c r="A1008" s="1" t="s">
        <v>2886</v>
      </c>
      <c r="B1008" s="1" t="s">
        <v>2887</v>
      </c>
      <c r="C1008">
        <f>(1-(B7/100))*155.03</f>
        <v>155.03</v>
      </c>
      <c r="D1008" s="1">
        <v>0</v>
      </c>
      <c r="E1008">
        <f>D1008*C1008</f>
        <v>0</v>
      </c>
      <c r="F1008" s="1" t="s">
        <v>2888</v>
      </c>
      <c r="G1008" s="17">
        <v>79681</v>
      </c>
    </row>
    <row r="1009" spans="1:7">
      <c r="A1009" s="1" t="s">
        <v>2889</v>
      </c>
      <c r="B1009" s="1" t="s">
        <v>2890</v>
      </c>
      <c r="C1009">
        <f>(1-(B7/100))*133.39</f>
        <v>133.39</v>
      </c>
      <c r="D1009" s="1">
        <v>0</v>
      </c>
      <c r="E1009">
        <f>D1009*C1009</f>
        <v>0</v>
      </c>
      <c r="F1009" s="1" t="s">
        <v>2891</v>
      </c>
      <c r="G1009" s="17">
        <v>79682</v>
      </c>
    </row>
    <row r="1010" spans="1:7">
      <c r="A1010" s="1" t="s">
        <v>2892</v>
      </c>
      <c r="B1010" s="1" t="s">
        <v>2893</v>
      </c>
      <c r="C1010">
        <f>(1-(B7/100))*130.53</f>
        <v>130.53</v>
      </c>
      <c r="D1010" s="1">
        <v>0</v>
      </c>
      <c r="E1010">
        <f>D1010*C1010</f>
        <v>0</v>
      </c>
      <c r="F1010" s="1" t="s">
        <v>2894</v>
      </c>
      <c r="G1010" s="17">
        <v>79684</v>
      </c>
    </row>
    <row r="1011" spans="1:7">
      <c r="A1011" s="1" t="s">
        <v>2895</v>
      </c>
      <c r="B1011" s="1" t="s">
        <v>2896</v>
      </c>
      <c r="C1011">
        <f>(1-(B7/100))*132.63</f>
        <v>132.63</v>
      </c>
      <c r="D1011" s="1">
        <v>0</v>
      </c>
      <c r="E1011">
        <f>D1011*C1011</f>
        <v>0</v>
      </c>
      <c r="F1011" s="1" t="s">
        <v>2897</v>
      </c>
      <c r="G1011" s="17">
        <v>79685</v>
      </c>
    </row>
    <row r="1012" spans="1:7">
      <c r="A1012" s="1" t="s">
        <v>2898</v>
      </c>
      <c r="B1012" s="1" t="s">
        <v>2899</v>
      </c>
      <c r="C1012">
        <f>(1-(B7/100))*126.06</f>
        <v>126.06</v>
      </c>
      <c r="D1012" s="1">
        <v>0</v>
      </c>
      <c r="E1012">
        <f>D1012*C1012</f>
        <v>0</v>
      </c>
      <c r="F1012" s="1" t="s">
        <v>2900</v>
      </c>
      <c r="G1012" s="17">
        <v>79688</v>
      </c>
    </row>
    <row r="1013" spans="1:7">
      <c r="A1013" s="1" t="s">
        <v>2901</v>
      </c>
      <c r="B1013" s="1" t="s">
        <v>2902</v>
      </c>
      <c r="C1013">
        <f>(1-(B7/100))*89.93</f>
        <v>89.93</v>
      </c>
      <c r="D1013" s="1">
        <v>0</v>
      </c>
      <c r="E1013">
        <f>D1013*C1013</f>
        <v>0</v>
      </c>
      <c r="F1013" s="1" t="s">
        <v>2903</v>
      </c>
      <c r="G1013" s="17">
        <v>79689</v>
      </c>
    </row>
    <row r="1014" spans="1:7">
      <c r="A1014" s="1" t="s">
        <v>2904</v>
      </c>
      <c r="B1014" s="1" t="s">
        <v>2905</v>
      </c>
      <c r="C1014">
        <f>(1-(B7/100))*105.04</f>
        <v>105.04</v>
      </c>
      <c r="D1014" s="1">
        <v>0</v>
      </c>
      <c r="E1014">
        <f>D1014*C1014</f>
        <v>0</v>
      </c>
      <c r="F1014" s="1" t="s">
        <v>2906</v>
      </c>
      <c r="G1014" s="17">
        <v>79690</v>
      </c>
    </row>
    <row r="1015" spans="1:7">
      <c r="A1015" s="1" t="s">
        <v>2907</v>
      </c>
      <c r="B1015" s="1" t="s">
        <v>2908</v>
      </c>
      <c r="C1015">
        <f>(1-(B7/100))*122.3</f>
        <v>122.3</v>
      </c>
      <c r="D1015" s="1">
        <v>0</v>
      </c>
      <c r="E1015">
        <f>D1015*C1015</f>
        <v>0</v>
      </c>
      <c r="F1015" s="1" t="s">
        <v>2909</v>
      </c>
      <c r="G1015" s="17">
        <v>79691</v>
      </c>
    </row>
    <row r="1016" spans="1:7">
      <c r="A1016" s="1" t="s">
        <v>2910</v>
      </c>
      <c r="B1016" s="1" t="s">
        <v>2911</v>
      </c>
      <c r="C1016">
        <f>(1-(B7/100))*154.05</f>
        <v>154.05</v>
      </c>
      <c r="D1016" s="1">
        <v>0</v>
      </c>
      <c r="E1016">
        <f>D1016*C1016</f>
        <v>0</v>
      </c>
      <c r="F1016" s="1" t="s">
        <v>2912</v>
      </c>
      <c r="G1016" s="17">
        <v>79693</v>
      </c>
    </row>
    <row r="1017" spans="1:7">
      <c r="A1017" s="1" t="s">
        <v>2913</v>
      </c>
      <c r="B1017" s="1" t="s">
        <v>2914</v>
      </c>
      <c r="C1017">
        <f>(1-(B7/100))*131.88</f>
        <v>131.88</v>
      </c>
      <c r="D1017" s="1">
        <v>0</v>
      </c>
      <c r="E1017">
        <f>D1017*C1017</f>
        <v>0</v>
      </c>
      <c r="F1017" s="1" t="s">
        <v>2915</v>
      </c>
      <c r="G1017" s="17">
        <v>79694</v>
      </c>
    </row>
    <row r="1018" spans="1:7">
      <c r="A1018" s="1" t="s">
        <v>2916</v>
      </c>
      <c r="B1018" s="1" t="s">
        <v>2917</v>
      </c>
      <c r="C1018">
        <f>(1-(B7/100))*139.81</f>
        <v>139.81</v>
      </c>
      <c r="D1018" s="1">
        <v>0</v>
      </c>
      <c r="E1018">
        <f>D1018*C1018</f>
        <v>0</v>
      </c>
      <c r="F1018" s="1" t="s">
        <v>2918</v>
      </c>
      <c r="G1018" s="17">
        <v>79695</v>
      </c>
    </row>
    <row r="1019" spans="1:7">
      <c r="A1019" s="1" t="s">
        <v>2919</v>
      </c>
      <c r="B1019" s="1" t="s">
        <v>2920</v>
      </c>
      <c r="C1019">
        <f>(1-(B7/100))*129.92</f>
        <v>129.92</v>
      </c>
      <c r="D1019" s="1">
        <v>0</v>
      </c>
      <c r="E1019">
        <f>D1019*C1019</f>
        <v>0</v>
      </c>
      <c r="F1019" s="1" t="s">
        <v>2921</v>
      </c>
      <c r="G1019" s="17">
        <v>79702</v>
      </c>
    </row>
    <row r="1020" spans="1:7">
      <c r="A1020" s="1" t="s">
        <v>2922</v>
      </c>
      <c r="B1020" s="1" t="s">
        <v>2923</v>
      </c>
      <c r="C1020">
        <f>(1-(B7/100))*167.78</f>
        <v>167.78</v>
      </c>
      <c r="D1020" s="1">
        <v>0</v>
      </c>
      <c r="E1020">
        <f>D1020*C1020</f>
        <v>0</v>
      </c>
      <c r="F1020" s="1" t="s">
        <v>2924</v>
      </c>
      <c r="G1020" s="17">
        <v>79706</v>
      </c>
    </row>
    <row r="1021" spans="1:7">
      <c r="A1021" s="1" t="s">
        <v>2925</v>
      </c>
      <c r="B1021" s="1" t="s">
        <v>2926</v>
      </c>
      <c r="C1021">
        <f>(1-(B7/100))*310.75</f>
        <v>310.75</v>
      </c>
      <c r="D1021" s="1">
        <v>0</v>
      </c>
      <c r="E1021">
        <f>D1021*C1021</f>
        <v>0</v>
      </c>
      <c r="F1021" s="1" t="s">
        <v>2927</v>
      </c>
      <c r="G1021" s="17">
        <v>79707</v>
      </c>
    </row>
    <row r="1022" spans="1:7">
      <c r="A1022" s="1" t="s">
        <v>2928</v>
      </c>
      <c r="B1022" s="1" t="s">
        <v>2929</v>
      </c>
      <c r="C1022">
        <f>(1-(B7/100))*43.93</f>
        <v>43.93</v>
      </c>
      <c r="D1022" s="1">
        <v>0</v>
      </c>
      <c r="E1022">
        <f>D1022*C1022</f>
        <v>0</v>
      </c>
      <c r="F1022" s="1" t="s">
        <v>2930</v>
      </c>
      <c r="G1022" s="17">
        <v>79708</v>
      </c>
    </row>
    <row r="1023" spans="1:7">
      <c r="A1023" s="1" t="s">
        <v>2931</v>
      </c>
      <c r="B1023" s="1" t="s">
        <v>2932</v>
      </c>
      <c r="C1023">
        <f>(1-(B7/100))*110.44</f>
        <v>110.44</v>
      </c>
      <c r="D1023" s="1">
        <v>0</v>
      </c>
      <c r="E1023">
        <f>D1023*C1023</f>
        <v>0</v>
      </c>
      <c r="F1023" s="1" t="s">
        <v>2933</v>
      </c>
      <c r="G1023" s="17">
        <v>79710</v>
      </c>
    </row>
    <row r="1024" spans="1:7">
      <c r="A1024" s="1" t="s">
        <v>2934</v>
      </c>
      <c r="B1024" s="1" t="s">
        <v>2935</v>
      </c>
      <c r="C1024">
        <f>(1-(B7/100))*105.61</f>
        <v>105.61</v>
      </c>
      <c r="D1024" s="1">
        <v>0</v>
      </c>
      <c r="E1024">
        <f>D1024*C1024</f>
        <v>0</v>
      </c>
      <c r="F1024" s="1" t="s">
        <v>2936</v>
      </c>
      <c r="G1024" s="17">
        <v>79711</v>
      </c>
    </row>
    <row r="1025" spans="1:7">
      <c r="A1025" s="1" t="s">
        <v>2937</v>
      </c>
      <c r="B1025" s="1" t="s">
        <v>2938</v>
      </c>
      <c r="C1025">
        <f>(1-(B7/100))*136.58</f>
        <v>136.58</v>
      </c>
      <c r="D1025" s="1">
        <v>0</v>
      </c>
      <c r="E1025">
        <f>D1025*C1025</f>
        <v>0</v>
      </c>
      <c r="F1025" s="1" t="s">
        <v>2939</v>
      </c>
      <c r="G1025" s="17">
        <v>79713</v>
      </c>
    </row>
    <row r="1026" spans="1:7">
      <c r="A1026" s="1" t="s">
        <v>2940</v>
      </c>
      <c r="B1026" s="1" t="s">
        <v>2941</v>
      </c>
      <c r="C1026">
        <f>(1-(B7/100))*46.64</f>
        <v>46.64</v>
      </c>
      <c r="D1026" s="1">
        <v>0</v>
      </c>
      <c r="E1026">
        <f>D1026*C1026</f>
        <v>0</v>
      </c>
      <c r="F1026" s="1" t="s">
        <v>2942</v>
      </c>
      <c r="G1026" s="17">
        <v>79716</v>
      </c>
    </row>
    <row r="1027" spans="1:7">
      <c r="A1027" s="1" t="s">
        <v>2943</v>
      </c>
      <c r="B1027" s="1" t="s">
        <v>2944</v>
      </c>
      <c r="C1027">
        <f>(1-(B7/100))*172.63</f>
        <v>172.63</v>
      </c>
      <c r="D1027" s="1">
        <v>0</v>
      </c>
      <c r="E1027">
        <f>D1027*C1027</f>
        <v>0</v>
      </c>
      <c r="F1027" s="1" t="s">
        <v>2945</v>
      </c>
      <c r="G1027" s="17">
        <v>79717</v>
      </c>
    </row>
    <row r="1028" spans="1:7">
      <c r="A1028" s="1" t="s">
        <v>2946</v>
      </c>
      <c r="B1028" s="1" t="s">
        <v>2947</v>
      </c>
      <c r="C1028">
        <f>(1-(B7/100))*57.46</f>
        <v>57.46</v>
      </c>
      <c r="D1028" s="1">
        <v>0</v>
      </c>
      <c r="E1028">
        <f>D1028*C1028</f>
        <v>0</v>
      </c>
      <c r="F1028" s="1" t="s">
        <v>2948</v>
      </c>
      <c r="G1028" s="17">
        <v>79718</v>
      </c>
    </row>
    <row r="1029" spans="1:7">
      <c r="A1029" s="1" t="s">
        <v>2949</v>
      </c>
      <c r="B1029" s="1" t="s">
        <v>2950</v>
      </c>
      <c r="C1029">
        <f>(1-(B7/100))*124.18</f>
        <v>124.18</v>
      </c>
      <c r="D1029" s="1">
        <v>0</v>
      </c>
      <c r="E1029">
        <f>D1029*C1029</f>
        <v>0</v>
      </c>
      <c r="F1029" s="1" t="s">
        <v>2951</v>
      </c>
      <c r="G1029" s="17">
        <v>79719</v>
      </c>
    </row>
    <row r="1030" spans="1:7">
      <c r="A1030" s="1" t="s">
        <v>2952</v>
      </c>
      <c r="B1030" s="1" t="s">
        <v>2953</v>
      </c>
      <c r="C1030">
        <f>(1-(B7/100))*56.14</f>
        <v>56.14</v>
      </c>
      <c r="D1030" s="1">
        <v>0</v>
      </c>
      <c r="E1030">
        <f>D1030*C1030</f>
        <v>0</v>
      </c>
      <c r="F1030" s="1" t="s">
        <v>2954</v>
      </c>
      <c r="G1030" s="17">
        <v>79720</v>
      </c>
    </row>
    <row r="1031" spans="1:7">
      <c r="A1031" s="1" t="s">
        <v>2955</v>
      </c>
      <c r="B1031" s="1" t="s">
        <v>2956</v>
      </c>
      <c r="C1031">
        <f>(1-(B7/100))*56.69</f>
        <v>56.69</v>
      </c>
      <c r="D1031" s="1">
        <v>0</v>
      </c>
      <c r="E1031">
        <f>D1031*C1031</f>
        <v>0</v>
      </c>
      <c r="F1031" s="1" t="s">
        <v>2957</v>
      </c>
      <c r="G1031" s="17">
        <v>79721</v>
      </c>
    </row>
    <row r="1032" spans="1:7">
      <c r="A1032" s="1" t="s">
        <v>2958</v>
      </c>
      <c r="B1032" s="1" t="s">
        <v>2959</v>
      </c>
      <c r="C1032">
        <f>(1-(B7/100))*64.61</f>
        <v>64.61</v>
      </c>
      <c r="D1032" s="1">
        <v>0</v>
      </c>
      <c r="E1032">
        <f>D1032*C1032</f>
        <v>0</v>
      </c>
      <c r="F1032" s="1" t="s">
        <v>2960</v>
      </c>
      <c r="G1032" s="17">
        <v>79722</v>
      </c>
    </row>
    <row r="1033" spans="1:7">
      <c r="A1033" s="1" t="s">
        <v>2961</v>
      </c>
      <c r="B1033" s="1" t="s">
        <v>2962</v>
      </c>
      <c r="C1033">
        <f>(1-(B7/100))*194.71</f>
        <v>194.71</v>
      </c>
      <c r="D1033" s="1">
        <v>0</v>
      </c>
      <c r="E1033">
        <f>D1033*C1033</f>
        <v>0</v>
      </c>
      <c r="F1033" s="1" t="s">
        <v>2963</v>
      </c>
      <c r="G1033" s="17">
        <v>79723</v>
      </c>
    </row>
    <row r="1034" spans="1:7">
      <c r="A1034" s="1" t="s">
        <v>2964</v>
      </c>
      <c r="B1034" s="1" t="s">
        <v>2965</v>
      </c>
      <c r="C1034">
        <f>(1-(B7/100))*85.03</f>
        <v>85.03</v>
      </c>
      <c r="D1034" s="1">
        <v>0</v>
      </c>
      <c r="E1034">
        <f>D1034*C1034</f>
        <v>0</v>
      </c>
      <c r="F1034" s="1" t="s">
        <v>2966</v>
      </c>
      <c r="G1034" s="17">
        <v>79724</v>
      </c>
    </row>
    <row r="1035" spans="1:7">
      <c r="A1035" s="1" t="s">
        <v>2967</v>
      </c>
      <c r="B1035" s="1" t="s">
        <v>2968</v>
      </c>
      <c r="C1035">
        <f>(1-(B7/100))*220.59</f>
        <v>220.59</v>
      </c>
      <c r="D1035" s="1">
        <v>0</v>
      </c>
      <c r="E1035">
        <f>D1035*C1035</f>
        <v>0</v>
      </c>
      <c r="F1035" s="1" t="s">
        <v>2969</v>
      </c>
      <c r="G1035" s="17">
        <v>79727</v>
      </c>
    </row>
    <row r="1036" spans="1:7">
      <c r="A1036" s="1" t="s">
        <v>2970</v>
      </c>
      <c r="B1036" s="1" t="s">
        <v>2971</v>
      </c>
      <c r="C1036">
        <f>(1-(B7/100))*102.57</f>
        <v>102.57</v>
      </c>
      <c r="D1036" s="1">
        <v>0</v>
      </c>
      <c r="E1036">
        <f>D1036*C1036</f>
        <v>0</v>
      </c>
      <c r="F1036" s="1" t="s">
        <v>2972</v>
      </c>
      <c r="G1036" s="17">
        <v>79728</v>
      </c>
    </row>
    <row r="1037" spans="1:7">
      <c r="A1037" s="1" t="s">
        <v>2973</v>
      </c>
      <c r="B1037" s="1" t="s">
        <v>2974</v>
      </c>
      <c r="C1037">
        <f>(1-(B7/100))*249.12</f>
        <v>249.12</v>
      </c>
      <c r="D1037" s="1">
        <v>0</v>
      </c>
      <c r="E1037">
        <f>D1037*C1037</f>
        <v>0</v>
      </c>
      <c r="F1037" s="1" t="s">
        <v>2975</v>
      </c>
      <c r="G1037" s="17">
        <v>79729</v>
      </c>
    </row>
    <row r="1038" spans="1:7">
      <c r="A1038" s="1" t="s">
        <v>2976</v>
      </c>
      <c r="B1038" s="1" t="s">
        <v>2977</v>
      </c>
      <c r="C1038">
        <f>(1-(B7/100))*97.42</f>
        <v>97.42</v>
      </c>
      <c r="D1038" s="1">
        <v>0</v>
      </c>
      <c r="E1038">
        <f>D1038*C1038</f>
        <v>0</v>
      </c>
      <c r="F1038" s="1" t="s">
        <v>2978</v>
      </c>
      <c r="G1038" s="17">
        <v>79731</v>
      </c>
    </row>
    <row r="1039" spans="1:7">
      <c r="A1039" s="1" t="s">
        <v>2979</v>
      </c>
      <c r="B1039" s="1" t="s">
        <v>2980</v>
      </c>
      <c r="C1039">
        <f>(1-(B7/100))*801.51</f>
        <v>801.51</v>
      </c>
      <c r="D1039" s="1">
        <v>0</v>
      </c>
      <c r="E1039">
        <f>D1039*C1039</f>
        <v>0</v>
      </c>
      <c r="F1039" s="1" t="s">
        <v>2981</v>
      </c>
      <c r="G1039" s="17">
        <v>79734</v>
      </c>
    </row>
    <row r="1040" spans="1:7">
      <c r="A1040" s="1" t="s">
        <v>2982</v>
      </c>
      <c r="B1040" s="1" t="s">
        <v>2983</v>
      </c>
      <c r="C1040">
        <f>(1-(B7/100))*458.28</f>
        <v>458.28</v>
      </c>
      <c r="D1040" s="1">
        <v>0</v>
      </c>
      <c r="E1040">
        <f>D1040*C1040</f>
        <v>0</v>
      </c>
      <c r="F1040" s="1" t="s">
        <v>2984</v>
      </c>
      <c r="G1040" s="17">
        <v>79736</v>
      </c>
    </row>
    <row r="1041" spans="1:7">
      <c r="A1041" s="1" t="s">
        <v>2985</v>
      </c>
      <c r="B1041" s="1" t="s">
        <v>2986</v>
      </c>
      <c r="C1041">
        <f>(1-(B7/100))*321.98</f>
        <v>321.98</v>
      </c>
      <c r="D1041" s="1">
        <v>0</v>
      </c>
      <c r="E1041">
        <f>D1041*C1041</f>
        <v>0</v>
      </c>
      <c r="F1041" s="1" t="s">
        <v>2987</v>
      </c>
      <c r="G1041" s="17">
        <v>79740</v>
      </c>
    </row>
    <row r="1042" spans="1:7">
      <c r="A1042" s="1" t="s">
        <v>2988</v>
      </c>
      <c r="B1042" s="1" t="s">
        <v>2989</v>
      </c>
      <c r="C1042">
        <f>(1-(B7/100))*352.81</f>
        <v>352.81</v>
      </c>
      <c r="D1042" s="1">
        <v>0</v>
      </c>
      <c r="E1042">
        <f>D1042*C1042</f>
        <v>0</v>
      </c>
      <c r="F1042" s="1" t="s">
        <v>2990</v>
      </c>
      <c r="G1042" s="17">
        <v>79742</v>
      </c>
    </row>
    <row r="1043" spans="1:7">
      <c r="A1043" s="1" t="s">
        <v>2991</v>
      </c>
      <c r="B1043" s="1" t="s">
        <v>2992</v>
      </c>
      <c r="C1043">
        <f>(1-(B7/100))*412.44</f>
        <v>412.44</v>
      </c>
      <c r="D1043" s="1">
        <v>0</v>
      </c>
      <c r="E1043">
        <f>D1043*C1043</f>
        <v>0</v>
      </c>
      <c r="F1043" s="1" t="s">
        <v>2993</v>
      </c>
      <c r="G1043" s="17">
        <v>79745</v>
      </c>
    </row>
    <row r="1044" spans="1:7">
      <c r="A1044" s="1" t="s">
        <v>2994</v>
      </c>
      <c r="B1044" s="1" t="s">
        <v>2995</v>
      </c>
      <c r="C1044">
        <f>(1-(B7/100))*423.34</f>
        <v>423.34</v>
      </c>
      <c r="D1044" s="1">
        <v>0</v>
      </c>
      <c r="E1044">
        <f>D1044*C1044</f>
        <v>0</v>
      </c>
      <c r="F1044" s="1" t="s">
        <v>2996</v>
      </c>
      <c r="G1044" s="17">
        <v>79746</v>
      </c>
    </row>
    <row r="1045" spans="1:7">
      <c r="A1045" s="1" t="s">
        <v>2997</v>
      </c>
      <c r="B1045" s="1" t="s">
        <v>2998</v>
      </c>
      <c r="C1045">
        <f>(1-(B7/100))*328.2</f>
        <v>328.2</v>
      </c>
      <c r="D1045" s="1">
        <v>0</v>
      </c>
      <c r="E1045">
        <f>D1045*C1045</f>
        <v>0</v>
      </c>
      <c r="F1045" s="1" t="s">
        <v>2999</v>
      </c>
      <c r="G1045" s="17">
        <v>79747</v>
      </c>
    </row>
    <row r="1046" spans="1:7">
      <c r="A1046" s="1" t="s">
        <v>3000</v>
      </c>
      <c r="B1046" s="1" t="s">
        <v>3001</v>
      </c>
      <c r="C1046">
        <f>(1-(B7/100))*255.69</f>
        <v>255.69</v>
      </c>
      <c r="D1046" s="1">
        <v>0</v>
      </c>
      <c r="E1046">
        <f>D1046*C1046</f>
        <v>0</v>
      </c>
      <c r="F1046" s="1" t="s">
        <v>3002</v>
      </c>
      <c r="G1046" s="17">
        <v>79748</v>
      </c>
    </row>
    <row r="1047" spans="1:7">
      <c r="A1047" s="1" t="s">
        <v>3003</v>
      </c>
      <c r="B1047" s="1" t="s">
        <v>3004</v>
      </c>
      <c r="C1047">
        <f>(1-(B7/100))*203.62</f>
        <v>203.62</v>
      </c>
      <c r="D1047" s="1">
        <v>0</v>
      </c>
      <c r="E1047">
        <f>D1047*C1047</f>
        <v>0</v>
      </c>
      <c r="F1047" s="1" t="s">
        <v>3005</v>
      </c>
      <c r="G1047" s="17">
        <v>79749</v>
      </c>
    </row>
    <row r="1048" spans="1:7">
      <c r="A1048" s="1" t="s">
        <v>3006</v>
      </c>
      <c r="B1048" s="1" t="s">
        <v>3007</v>
      </c>
      <c r="C1048">
        <f>(1-(B7/100))*1797.07</f>
        <v>1797.07</v>
      </c>
      <c r="D1048" s="1">
        <v>0</v>
      </c>
      <c r="E1048">
        <f>D1048*C1048</f>
        <v>0</v>
      </c>
      <c r="F1048" s="1" t="s">
        <v>3008</v>
      </c>
      <c r="G1048" s="17">
        <v>79750</v>
      </c>
    </row>
    <row r="1049" spans="1:7">
      <c r="A1049" s="1" t="s">
        <v>3009</v>
      </c>
      <c r="B1049" s="1" t="s">
        <v>3010</v>
      </c>
      <c r="C1049">
        <f>(1-(B7/100))*207.9</f>
        <v>207.9</v>
      </c>
      <c r="D1049" s="1">
        <v>0</v>
      </c>
      <c r="E1049">
        <f>D1049*C1049</f>
        <v>0</v>
      </c>
      <c r="F1049" s="1" t="s">
        <v>3011</v>
      </c>
      <c r="G1049" s="17">
        <v>79751</v>
      </c>
    </row>
    <row r="1050" spans="1:7">
      <c r="A1050" s="1" t="s">
        <v>3012</v>
      </c>
      <c r="B1050" s="1" t="s">
        <v>3013</v>
      </c>
      <c r="C1050">
        <f>(1-(B7/100))*2369.61</f>
        <v>2369.61</v>
      </c>
      <c r="D1050" s="1">
        <v>0</v>
      </c>
      <c r="E1050">
        <f>D1050*C1050</f>
        <v>0</v>
      </c>
      <c r="F1050" s="1" t="s">
        <v>3014</v>
      </c>
      <c r="G1050" s="17">
        <v>79752</v>
      </c>
    </row>
    <row r="1051" spans="1:7">
      <c r="A1051" s="1" t="s">
        <v>3015</v>
      </c>
      <c r="B1051" s="1" t="s">
        <v>3016</v>
      </c>
      <c r="C1051">
        <f>(1-(B7/100))*550.19</f>
        <v>550.19</v>
      </c>
      <c r="D1051" s="1">
        <v>0</v>
      </c>
      <c r="E1051">
        <f>D1051*C1051</f>
        <v>0</v>
      </c>
      <c r="F1051" s="1" t="s">
        <v>3017</v>
      </c>
      <c r="G1051" s="17">
        <v>79753</v>
      </c>
    </row>
    <row r="1052" spans="1:7">
      <c r="A1052" s="1" t="s">
        <v>3018</v>
      </c>
      <c r="B1052" s="1" t="s">
        <v>3019</v>
      </c>
      <c r="C1052">
        <f>(1-(B7/100))*1898.33</f>
        <v>1898.33</v>
      </c>
      <c r="D1052" s="1">
        <v>0</v>
      </c>
      <c r="E1052">
        <f>D1052*C1052</f>
        <v>0</v>
      </c>
      <c r="F1052" s="1" t="s">
        <v>3020</v>
      </c>
      <c r="G1052" s="17">
        <v>79754</v>
      </c>
    </row>
    <row r="1053" spans="1:7">
      <c r="A1053" s="1" t="s">
        <v>3021</v>
      </c>
      <c r="B1053" s="1" t="s">
        <v>3022</v>
      </c>
      <c r="C1053">
        <f>(1-(B7/100))*138.99</f>
        <v>138.99</v>
      </c>
      <c r="D1053" s="1">
        <v>0</v>
      </c>
      <c r="E1053">
        <f>D1053*C1053</f>
        <v>0</v>
      </c>
      <c r="F1053" s="1" t="s">
        <v>3023</v>
      </c>
      <c r="G1053" s="17">
        <v>79755</v>
      </c>
    </row>
    <row r="1054" spans="1:7">
      <c r="A1054" s="1" t="s">
        <v>3024</v>
      </c>
      <c r="B1054" s="1" t="s">
        <v>3025</v>
      </c>
      <c r="C1054">
        <f>(1-(B7/100))*1455.38</f>
        <v>1455.38</v>
      </c>
      <c r="D1054" s="1">
        <v>0</v>
      </c>
      <c r="E1054">
        <f>D1054*C1054</f>
        <v>0</v>
      </c>
      <c r="F1054" s="1" t="s">
        <v>3026</v>
      </c>
      <c r="G1054" s="17">
        <v>79756</v>
      </c>
    </row>
    <row r="1055" spans="1:7">
      <c r="A1055" s="1" t="s">
        <v>3027</v>
      </c>
      <c r="B1055" s="1" t="s">
        <v>3028</v>
      </c>
      <c r="C1055">
        <f>(1-(B7/100))*3009.27</f>
        <v>3009.27</v>
      </c>
      <c r="D1055" s="1">
        <v>0</v>
      </c>
      <c r="E1055">
        <f>D1055*C1055</f>
        <v>0</v>
      </c>
      <c r="F1055" s="1" t="s">
        <v>3029</v>
      </c>
      <c r="G1055" s="17">
        <v>79757</v>
      </c>
    </row>
    <row r="1056" spans="1:7">
      <c r="A1056" s="1" t="s">
        <v>3030</v>
      </c>
      <c r="B1056" s="1" t="s">
        <v>3031</v>
      </c>
      <c r="C1056">
        <f>(1-(B7/100))*1182.01</f>
        <v>1182.01</v>
      </c>
      <c r="D1056" s="1">
        <v>0</v>
      </c>
      <c r="E1056">
        <f>D1056*C1056</f>
        <v>0</v>
      </c>
      <c r="F1056" s="1" t="s">
        <v>3032</v>
      </c>
      <c r="G1056" s="17">
        <v>79758</v>
      </c>
    </row>
    <row r="1057" spans="1:7">
      <c r="A1057" s="1" t="s">
        <v>3033</v>
      </c>
      <c r="B1057" s="1" t="s">
        <v>3034</v>
      </c>
      <c r="C1057">
        <f>(1-(B7/100))*3689.92</f>
        <v>3689.92</v>
      </c>
      <c r="D1057" s="1">
        <v>0</v>
      </c>
      <c r="E1057">
        <f>D1057*C1057</f>
        <v>0</v>
      </c>
      <c r="F1057" s="1" t="s">
        <v>3035</v>
      </c>
      <c r="G1057" s="17">
        <v>79759</v>
      </c>
    </row>
    <row r="1058" spans="1:7">
      <c r="A1058" s="1" t="s">
        <v>3036</v>
      </c>
      <c r="B1058" s="1" t="s">
        <v>3001</v>
      </c>
      <c r="C1058">
        <f>(1-(B7/100))*219.46</f>
        <v>219.46</v>
      </c>
      <c r="D1058" s="1">
        <v>0</v>
      </c>
      <c r="E1058">
        <f>D1058*C1058</f>
        <v>0</v>
      </c>
      <c r="F1058" s="1" t="s">
        <v>3037</v>
      </c>
      <c r="G1058" s="17">
        <v>79762</v>
      </c>
    </row>
    <row r="1059" spans="1:7">
      <c r="A1059" s="1" t="s">
        <v>3038</v>
      </c>
      <c r="B1059" s="1" t="s">
        <v>3039</v>
      </c>
      <c r="C1059">
        <f>(1-(B7/100))*64.1</f>
        <v>64.1</v>
      </c>
      <c r="D1059" s="1">
        <v>0</v>
      </c>
      <c r="E1059">
        <f>D1059*C1059</f>
        <v>0</v>
      </c>
      <c r="F1059" s="1" t="s">
        <v>3040</v>
      </c>
      <c r="G1059" s="17">
        <v>79765</v>
      </c>
    </row>
    <row r="1060" spans="1:7">
      <c r="A1060" s="1" t="s">
        <v>3041</v>
      </c>
      <c r="B1060" s="1" t="s">
        <v>3042</v>
      </c>
      <c r="C1060">
        <f>(1-(B7/100))*286.63</f>
        <v>286.63</v>
      </c>
      <c r="D1060" s="1">
        <v>0</v>
      </c>
      <c r="E1060">
        <f>D1060*C1060</f>
        <v>0</v>
      </c>
      <c r="F1060" s="1" t="s">
        <v>3043</v>
      </c>
      <c r="G1060" s="17">
        <v>79766</v>
      </c>
    </row>
    <row r="1061" spans="1:7">
      <c r="A1061" s="1" t="s">
        <v>3044</v>
      </c>
      <c r="B1061" s="1" t="s">
        <v>3045</v>
      </c>
      <c r="C1061">
        <f>(1-(B7/100))*551.44</f>
        <v>551.44</v>
      </c>
      <c r="D1061" s="1">
        <v>0</v>
      </c>
      <c r="E1061">
        <f>D1061*C1061</f>
        <v>0</v>
      </c>
      <c r="F1061" s="1" t="s">
        <v>3046</v>
      </c>
      <c r="G1061" s="17">
        <v>79770</v>
      </c>
    </row>
    <row r="1062" spans="1:7">
      <c r="A1062" s="1" t="s">
        <v>3047</v>
      </c>
      <c r="B1062" s="1" t="s">
        <v>3048</v>
      </c>
      <c r="C1062">
        <f>(1-(B7/100))*55.55</f>
        <v>55.55</v>
      </c>
      <c r="D1062" s="1">
        <v>0</v>
      </c>
      <c r="E1062">
        <f>D1062*C1062</f>
        <v>0</v>
      </c>
      <c r="F1062" s="1" t="s">
        <v>3049</v>
      </c>
      <c r="G1062" s="17">
        <v>79774</v>
      </c>
    </row>
    <row r="1063" spans="1:7">
      <c r="A1063" s="1" t="s">
        <v>3050</v>
      </c>
      <c r="B1063" s="1" t="s">
        <v>3051</v>
      </c>
      <c r="C1063">
        <f>(1-(B7/100))*300.73</f>
        <v>300.73</v>
      </c>
      <c r="D1063" s="1">
        <v>0</v>
      </c>
      <c r="E1063">
        <f>D1063*C1063</f>
        <v>0</v>
      </c>
      <c r="F1063" s="1" t="s">
        <v>3052</v>
      </c>
      <c r="G1063" s="17">
        <v>79775</v>
      </c>
    </row>
    <row r="1064" spans="1:7">
      <c r="A1064" s="1" t="s">
        <v>3053</v>
      </c>
      <c r="B1064" s="1" t="s">
        <v>3054</v>
      </c>
      <c r="C1064">
        <f>(1-(B7/100))*464.93</f>
        <v>464.93</v>
      </c>
      <c r="D1064" s="1">
        <v>0</v>
      </c>
      <c r="E1064">
        <f>D1064*C1064</f>
        <v>0</v>
      </c>
      <c r="F1064" s="1" t="s">
        <v>3055</v>
      </c>
      <c r="G1064" s="17">
        <v>79777</v>
      </c>
    </row>
    <row r="1065" spans="1:7">
      <c r="A1065" s="1" t="s">
        <v>3056</v>
      </c>
      <c r="B1065" s="1" t="s">
        <v>3057</v>
      </c>
      <c r="C1065">
        <f>(1-(B7/100))*577.55</f>
        <v>577.55</v>
      </c>
      <c r="D1065" s="1">
        <v>0</v>
      </c>
      <c r="E1065">
        <f>D1065*C1065</f>
        <v>0</v>
      </c>
      <c r="F1065" s="1" t="s">
        <v>3058</v>
      </c>
      <c r="G1065" s="17">
        <v>79779</v>
      </c>
    </row>
    <row r="1066" spans="1:7">
      <c r="A1066" s="1" t="s">
        <v>3059</v>
      </c>
      <c r="B1066" s="1" t="s">
        <v>3060</v>
      </c>
      <c r="C1066">
        <f>(1-(B7/100))*540.31</f>
        <v>540.31</v>
      </c>
      <c r="D1066" s="1">
        <v>0</v>
      </c>
      <c r="E1066">
        <f>D1066*C1066</f>
        <v>0</v>
      </c>
      <c r="F1066" s="1" t="s">
        <v>3061</v>
      </c>
      <c r="G1066" s="17">
        <v>79780</v>
      </c>
    </row>
    <row r="1067" spans="1:7">
      <c r="A1067" s="1" t="s">
        <v>3062</v>
      </c>
      <c r="B1067" s="1" t="s">
        <v>3063</v>
      </c>
      <c r="C1067">
        <f>(1-(B7/100))*534.41</f>
        <v>534.41</v>
      </c>
      <c r="D1067" s="1">
        <v>0</v>
      </c>
      <c r="E1067">
        <f>D1067*C1067</f>
        <v>0</v>
      </c>
      <c r="F1067" s="1" t="s">
        <v>3064</v>
      </c>
      <c r="G1067" s="17">
        <v>79781</v>
      </c>
    </row>
    <row r="1068" spans="1:7">
      <c r="A1068" s="1" t="s">
        <v>3065</v>
      </c>
      <c r="B1068" s="1" t="s">
        <v>3066</v>
      </c>
      <c r="C1068">
        <f>(1-(B7/100))*203.97</f>
        <v>203.97</v>
      </c>
      <c r="D1068" s="1">
        <v>0</v>
      </c>
      <c r="E1068">
        <f>D1068*C1068</f>
        <v>0</v>
      </c>
      <c r="F1068" s="1" t="s">
        <v>3067</v>
      </c>
      <c r="G1068" s="17">
        <v>79789</v>
      </c>
    </row>
    <row r="1069" spans="1:7">
      <c r="A1069" s="1" t="s">
        <v>3068</v>
      </c>
      <c r="B1069" s="1" t="s">
        <v>3069</v>
      </c>
      <c r="C1069">
        <f>(1-(B7/100))*201.48</f>
        <v>201.48</v>
      </c>
      <c r="D1069" s="1">
        <v>0</v>
      </c>
      <c r="E1069">
        <f>D1069*C1069</f>
        <v>0</v>
      </c>
      <c r="F1069" s="1" t="s">
        <v>3070</v>
      </c>
      <c r="G1069" s="17">
        <v>79790</v>
      </c>
    </row>
    <row r="1070" spans="1:7">
      <c r="A1070" s="1" t="s">
        <v>3071</v>
      </c>
      <c r="B1070" s="1" t="s">
        <v>3072</v>
      </c>
      <c r="C1070">
        <f>(1-(B7/100))*102.57</f>
        <v>102.57</v>
      </c>
      <c r="D1070" s="1">
        <v>0</v>
      </c>
      <c r="E1070">
        <f>D1070*C1070</f>
        <v>0</v>
      </c>
      <c r="F1070" s="1" t="s">
        <v>3073</v>
      </c>
      <c r="G1070" s="17">
        <v>79792</v>
      </c>
    </row>
    <row r="1071" spans="1:7">
      <c r="A1071" s="1" t="s">
        <v>3074</v>
      </c>
      <c r="B1071" s="1" t="s">
        <v>3075</v>
      </c>
      <c r="C1071">
        <f>(1-(B7/100))*531.92</f>
        <v>531.92</v>
      </c>
      <c r="D1071" s="1">
        <v>0</v>
      </c>
      <c r="E1071">
        <f>D1071*C1071</f>
        <v>0</v>
      </c>
      <c r="F1071" s="1" t="s">
        <v>3076</v>
      </c>
      <c r="G1071" s="17">
        <v>79793</v>
      </c>
    </row>
    <row r="1072" spans="1:7">
      <c r="A1072" s="1" t="s">
        <v>3077</v>
      </c>
      <c r="B1072" s="1" t="s">
        <v>2821</v>
      </c>
      <c r="C1072">
        <f>(1-(B7/100))*235.01</f>
        <v>235.01</v>
      </c>
      <c r="D1072" s="1">
        <v>0</v>
      </c>
      <c r="E1072">
        <f>D1072*C1072</f>
        <v>0</v>
      </c>
      <c r="F1072" s="1" t="s">
        <v>3078</v>
      </c>
      <c r="G1072" s="17">
        <v>79796</v>
      </c>
    </row>
    <row r="1073" spans="1:7">
      <c r="A1073" s="1" t="s">
        <v>3079</v>
      </c>
      <c r="B1073" s="1" t="s">
        <v>2818</v>
      </c>
      <c r="C1073">
        <f>(1-(B7/100))*306.71</f>
        <v>306.71</v>
      </c>
      <c r="D1073" s="1">
        <v>0</v>
      </c>
      <c r="E1073">
        <f>D1073*C1073</f>
        <v>0</v>
      </c>
      <c r="F1073" s="1" t="s">
        <v>3080</v>
      </c>
      <c r="G1073" s="17">
        <v>79798</v>
      </c>
    </row>
    <row r="1074" spans="1:7">
      <c r="A1074" s="1" t="s">
        <v>3081</v>
      </c>
      <c r="B1074" s="1" t="s">
        <v>3082</v>
      </c>
      <c r="C1074">
        <f>(1-(B7/100))*144.78</f>
        <v>144.78</v>
      </c>
      <c r="D1074" s="1">
        <v>0</v>
      </c>
      <c r="E1074">
        <f>D1074*C1074</f>
        <v>0</v>
      </c>
      <c r="F1074" s="1" t="s">
        <v>3083</v>
      </c>
      <c r="G1074" s="17">
        <v>79800</v>
      </c>
    </row>
    <row r="1075" spans="1:7">
      <c r="A1075" s="1" t="s">
        <v>3084</v>
      </c>
      <c r="B1075" s="1" t="s">
        <v>3085</v>
      </c>
      <c r="C1075">
        <f>(1-(B7/100))*623.6</f>
        <v>623.6</v>
      </c>
      <c r="D1075" s="1">
        <v>0</v>
      </c>
      <c r="E1075">
        <f>D1075*C1075</f>
        <v>0</v>
      </c>
      <c r="F1075" s="1" t="s">
        <v>3086</v>
      </c>
      <c r="G1075" s="17">
        <v>79801</v>
      </c>
    </row>
    <row r="1076" spans="1:7">
      <c r="A1076" s="1" t="s">
        <v>3087</v>
      </c>
      <c r="B1076" s="1" t="s">
        <v>3088</v>
      </c>
      <c r="C1076">
        <f>(1-(B7/100))*113.2</f>
        <v>113.2</v>
      </c>
      <c r="D1076" s="1">
        <v>0</v>
      </c>
      <c r="E1076">
        <f>D1076*C1076</f>
        <v>0</v>
      </c>
      <c r="F1076" s="1" t="s">
        <v>3089</v>
      </c>
      <c r="G1076" s="17">
        <v>79802</v>
      </c>
    </row>
    <row r="1077" spans="1:7">
      <c r="A1077" s="1" t="s">
        <v>3090</v>
      </c>
      <c r="B1077" s="1" t="s">
        <v>3091</v>
      </c>
      <c r="C1077">
        <f>(1-(B7/100))*162.39</f>
        <v>162.39</v>
      </c>
      <c r="D1077" s="1">
        <v>0</v>
      </c>
      <c r="E1077">
        <f>D1077*C1077</f>
        <v>0</v>
      </c>
      <c r="F1077" s="1" t="s">
        <v>3092</v>
      </c>
      <c r="G1077" s="17">
        <v>79803</v>
      </c>
    </row>
    <row r="1078" spans="1:7">
      <c r="A1078" s="1" t="s">
        <v>3093</v>
      </c>
      <c r="B1078" s="1" t="s">
        <v>3094</v>
      </c>
      <c r="C1078">
        <f>(1-(B7/100))*267.23</f>
        <v>267.23</v>
      </c>
      <c r="D1078" s="1">
        <v>0</v>
      </c>
      <c r="E1078">
        <f>D1078*C1078</f>
        <v>0</v>
      </c>
      <c r="F1078" s="1" t="s">
        <v>3095</v>
      </c>
      <c r="G1078" s="17">
        <v>79805</v>
      </c>
    </row>
    <row r="1079" spans="1:7">
      <c r="A1079" s="1" t="s">
        <v>3096</v>
      </c>
      <c r="B1079" s="1" t="s">
        <v>3097</v>
      </c>
      <c r="C1079">
        <f>(1-(B7/100))*59.27</f>
        <v>59.27</v>
      </c>
      <c r="D1079" s="1">
        <v>0</v>
      </c>
      <c r="E1079">
        <f>D1079*C1079</f>
        <v>0</v>
      </c>
      <c r="F1079" s="1" t="s">
        <v>3098</v>
      </c>
      <c r="G1079" s="17">
        <v>79806</v>
      </c>
    </row>
    <row r="1080" spans="1:7">
      <c r="A1080" s="1" t="s">
        <v>3099</v>
      </c>
      <c r="B1080" s="1" t="s">
        <v>3100</v>
      </c>
      <c r="C1080">
        <f>(1-(B7/100))*198.02</f>
        <v>198.02</v>
      </c>
      <c r="D1080" s="1">
        <v>0</v>
      </c>
      <c r="E1080">
        <f>D1080*C1080</f>
        <v>0</v>
      </c>
      <c r="F1080" s="1" t="s">
        <v>3101</v>
      </c>
      <c r="G1080" s="17">
        <v>79807</v>
      </c>
    </row>
    <row r="1081" spans="1:7">
      <c r="A1081" s="1" t="s">
        <v>3102</v>
      </c>
      <c r="B1081" s="1" t="s">
        <v>3103</v>
      </c>
      <c r="C1081">
        <f>(1-(B7/100))*184.39</f>
        <v>184.39</v>
      </c>
      <c r="D1081" s="1">
        <v>0</v>
      </c>
      <c r="E1081">
        <f>D1081*C1081</f>
        <v>0</v>
      </c>
      <c r="F1081" s="1" t="s">
        <v>3104</v>
      </c>
      <c r="G1081" s="17">
        <v>79808</v>
      </c>
    </row>
    <row r="1082" spans="1:7">
      <c r="A1082" s="1" t="s">
        <v>3105</v>
      </c>
      <c r="B1082" s="1" t="s">
        <v>3106</v>
      </c>
      <c r="C1082">
        <f>(1-(B7/100))*235.34</f>
        <v>235.34</v>
      </c>
      <c r="D1082" s="1">
        <v>0</v>
      </c>
      <c r="E1082">
        <f>D1082*C1082</f>
        <v>0</v>
      </c>
      <c r="F1082" s="1" t="s">
        <v>3107</v>
      </c>
      <c r="G1082" s="17">
        <v>79809</v>
      </c>
    </row>
    <row r="1083" spans="1:7">
      <c r="A1083" s="1" t="s">
        <v>3108</v>
      </c>
      <c r="B1083" s="1" t="s">
        <v>3109</v>
      </c>
      <c r="C1083">
        <f>(1-(B7/100))*56.04</f>
        <v>56.04</v>
      </c>
      <c r="D1083" s="1">
        <v>0</v>
      </c>
      <c r="E1083">
        <f>D1083*C1083</f>
        <v>0</v>
      </c>
      <c r="F1083" s="1" t="s">
        <v>3110</v>
      </c>
      <c r="G1083" s="17">
        <v>79810</v>
      </c>
    </row>
    <row r="1084" spans="1:7">
      <c r="A1084" s="1" t="s">
        <v>3111</v>
      </c>
      <c r="B1084" s="1" t="s">
        <v>3112</v>
      </c>
      <c r="C1084">
        <f>(1-(B7/100))*139.64</f>
        <v>139.64</v>
      </c>
      <c r="D1084" s="1">
        <v>0</v>
      </c>
      <c r="E1084">
        <f>D1084*C1084</f>
        <v>0</v>
      </c>
      <c r="F1084" s="1" t="s">
        <v>3113</v>
      </c>
      <c r="G1084" s="17">
        <v>79811</v>
      </c>
    </row>
    <row r="1085" spans="1:7">
      <c r="A1085" s="1" t="s">
        <v>3114</v>
      </c>
      <c r="B1085" s="1" t="s">
        <v>3115</v>
      </c>
      <c r="C1085">
        <f>(1-(B7/100))*528.32</f>
        <v>528.32</v>
      </c>
      <c r="D1085" s="1">
        <v>0</v>
      </c>
      <c r="E1085">
        <f>D1085*C1085</f>
        <v>0</v>
      </c>
      <c r="F1085" s="1" t="s">
        <v>3116</v>
      </c>
      <c r="G1085" s="17">
        <v>79815</v>
      </c>
    </row>
    <row r="1086" spans="1:7">
      <c r="A1086" s="1" t="s">
        <v>3117</v>
      </c>
      <c r="B1086" s="1" t="s">
        <v>3118</v>
      </c>
      <c r="C1086">
        <f>(1-(B7/100))*675.4</f>
        <v>675.4</v>
      </c>
      <c r="D1086" s="1">
        <v>0</v>
      </c>
      <c r="E1086">
        <f>D1086*C1086</f>
        <v>0</v>
      </c>
      <c r="F1086" s="1" t="s">
        <v>3119</v>
      </c>
      <c r="G1086" s="17">
        <v>79816</v>
      </c>
    </row>
    <row r="1087" spans="1:7">
      <c r="A1087" s="1" t="s">
        <v>3120</v>
      </c>
      <c r="B1087" s="1" t="s">
        <v>3121</v>
      </c>
      <c r="C1087">
        <f>(1-(B7/100))*103.1</f>
        <v>103.1</v>
      </c>
      <c r="D1087" s="1">
        <v>0</v>
      </c>
      <c r="E1087">
        <f>D1087*C1087</f>
        <v>0</v>
      </c>
      <c r="F1087" s="1" t="s">
        <v>3122</v>
      </c>
      <c r="G1087" s="17">
        <v>79822</v>
      </c>
    </row>
    <row r="1088" spans="1:7">
      <c r="A1088" s="1" t="s">
        <v>3123</v>
      </c>
      <c r="B1088" s="1" t="s">
        <v>3124</v>
      </c>
      <c r="C1088">
        <f>(1-(B7/100))*275.51</f>
        <v>275.51</v>
      </c>
      <c r="D1088" s="1">
        <v>0</v>
      </c>
      <c r="E1088">
        <f>D1088*C1088</f>
        <v>0</v>
      </c>
      <c r="F1088" s="1" t="s">
        <v>3125</v>
      </c>
      <c r="G1088" s="17">
        <v>79823</v>
      </c>
    </row>
    <row r="1089" spans="1:7">
      <c r="A1089" s="1" t="s">
        <v>3126</v>
      </c>
      <c r="B1089" s="1" t="s">
        <v>3127</v>
      </c>
      <c r="C1089">
        <f>(1-(B7/100))*322.72</f>
        <v>322.72</v>
      </c>
      <c r="D1089" s="1">
        <v>0</v>
      </c>
      <c r="E1089">
        <f>D1089*C1089</f>
        <v>0</v>
      </c>
      <c r="F1089" s="1" t="s">
        <v>3128</v>
      </c>
      <c r="G1089" s="17">
        <v>79827</v>
      </c>
    </row>
    <row r="1090" spans="1:7">
      <c r="A1090" s="1" t="s">
        <v>3129</v>
      </c>
      <c r="B1090" s="1" t="s">
        <v>3130</v>
      </c>
      <c r="C1090">
        <f>(1-(B7/100))*50.39</f>
        <v>50.39</v>
      </c>
      <c r="D1090" s="1">
        <v>0</v>
      </c>
      <c r="E1090">
        <f>D1090*C1090</f>
        <v>0</v>
      </c>
      <c r="F1090" s="1" t="s">
        <v>3131</v>
      </c>
      <c r="G1090" s="17">
        <v>79831</v>
      </c>
    </row>
    <row r="1091" spans="1:7">
      <c r="A1091" s="1" t="s">
        <v>3132</v>
      </c>
      <c r="B1091" s="1" t="s">
        <v>3133</v>
      </c>
      <c r="C1091">
        <f>(1-(B7/100))*598.09</f>
        <v>598.09</v>
      </c>
      <c r="D1091" s="1">
        <v>0</v>
      </c>
      <c r="E1091">
        <f>D1091*C1091</f>
        <v>0</v>
      </c>
      <c r="F1091" s="1" t="s">
        <v>3134</v>
      </c>
      <c r="G1091" s="17">
        <v>79833</v>
      </c>
    </row>
    <row r="1092" spans="1:7">
      <c r="A1092" s="1" t="s">
        <v>3135</v>
      </c>
      <c r="B1092" s="1" t="s">
        <v>3136</v>
      </c>
      <c r="C1092">
        <f>(1-(B7/100))*443.53</f>
        <v>443.53</v>
      </c>
      <c r="D1092" s="1">
        <v>0</v>
      </c>
      <c r="E1092">
        <f>D1092*C1092</f>
        <v>0</v>
      </c>
      <c r="F1092" s="1" t="s">
        <v>3137</v>
      </c>
      <c r="G1092" s="17">
        <v>79834</v>
      </c>
    </row>
    <row r="1093" spans="1:7">
      <c r="A1093" s="1" t="s">
        <v>3138</v>
      </c>
      <c r="B1093" s="1" t="s">
        <v>3139</v>
      </c>
      <c r="C1093">
        <f>(1-(B7/100))*27.98</f>
        <v>27.98</v>
      </c>
      <c r="D1093" s="1">
        <v>0</v>
      </c>
      <c r="E1093">
        <f>D1093*C1093</f>
        <v>0</v>
      </c>
      <c r="F1093" s="1" t="s">
        <v>3140</v>
      </c>
      <c r="G1093" s="17">
        <v>79837</v>
      </c>
    </row>
    <row r="1094" spans="1:7">
      <c r="A1094" s="1" t="s">
        <v>3141</v>
      </c>
      <c r="B1094" s="1" t="s">
        <v>3142</v>
      </c>
      <c r="C1094">
        <f>(1-(B7/100))*121.74</f>
        <v>121.74</v>
      </c>
      <c r="D1094" s="1">
        <v>0</v>
      </c>
      <c r="E1094">
        <f>D1094*C1094</f>
        <v>0</v>
      </c>
      <c r="F1094" s="1" t="s">
        <v>3143</v>
      </c>
      <c r="G1094" s="17">
        <v>79838</v>
      </c>
    </row>
    <row r="1095" spans="1:7">
      <c r="A1095" s="1" t="s">
        <v>3144</v>
      </c>
      <c r="B1095" s="1" t="s">
        <v>3145</v>
      </c>
      <c r="C1095">
        <f>(1-(B7/100))*89.78</f>
        <v>89.78</v>
      </c>
      <c r="D1095" s="1">
        <v>0</v>
      </c>
      <c r="E1095">
        <f>D1095*C1095</f>
        <v>0</v>
      </c>
      <c r="F1095" s="1" t="s">
        <v>3146</v>
      </c>
      <c r="G1095" s="17">
        <v>79840</v>
      </c>
    </row>
    <row r="1096" spans="1:7">
      <c r="A1096" s="1" t="s">
        <v>3147</v>
      </c>
      <c r="B1096" s="1" t="s">
        <v>3148</v>
      </c>
      <c r="C1096">
        <f>(1-(B7/100))*106.39</f>
        <v>106.39</v>
      </c>
      <c r="D1096" s="1">
        <v>0</v>
      </c>
      <c r="E1096">
        <f>D1096*C1096</f>
        <v>0</v>
      </c>
      <c r="F1096" s="1" t="s">
        <v>3149</v>
      </c>
      <c r="G1096" s="17">
        <v>79842</v>
      </c>
    </row>
    <row r="1097" spans="1:7">
      <c r="A1097" s="1" t="s">
        <v>3150</v>
      </c>
      <c r="B1097" s="1" t="s">
        <v>3151</v>
      </c>
      <c r="C1097">
        <f>(1-(B7/100))*41.61</f>
        <v>41.61</v>
      </c>
      <c r="D1097" s="1">
        <v>0</v>
      </c>
      <c r="E1097">
        <f>D1097*C1097</f>
        <v>0</v>
      </c>
      <c r="F1097" s="1" t="s">
        <v>3152</v>
      </c>
      <c r="G1097" s="17">
        <v>79843</v>
      </c>
    </row>
    <row r="1098" spans="1:7">
      <c r="A1098" s="1" t="s">
        <v>3153</v>
      </c>
      <c r="B1098" s="1" t="s">
        <v>3154</v>
      </c>
      <c r="C1098">
        <f>(1-(B7/100))*391.57</f>
        <v>391.57</v>
      </c>
      <c r="D1098" s="1">
        <v>0</v>
      </c>
      <c r="E1098">
        <f>D1098*C1098</f>
        <v>0</v>
      </c>
      <c r="F1098" s="1" t="s">
        <v>3155</v>
      </c>
      <c r="G1098" s="17">
        <v>79844</v>
      </c>
    </row>
    <row r="1099" spans="1:7">
      <c r="A1099" s="1" t="s">
        <v>3156</v>
      </c>
      <c r="B1099" s="1" t="s">
        <v>3157</v>
      </c>
      <c r="C1099">
        <f>(1-(B7/100))*436.53</f>
        <v>436.53</v>
      </c>
      <c r="D1099" s="1">
        <v>0</v>
      </c>
      <c r="E1099">
        <f>D1099*C1099</f>
        <v>0</v>
      </c>
      <c r="F1099" s="1" t="s">
        <v>3158</v>
      </c>
      <c r="G1099" s="17">
        <v>79845</v>
      </c>
    </row>
    <row r="1100" spans="1:7">
      <c r="A1100" s="1" t="s">
        <v>3159</v>
      </c>
      <c r="B1100" s="1" t="s">
        <v>3160</v>
      </c>
      <c r="C1100">
        <f>(1-(B7/100))*12.58</f>
        <v>12.58</v>
      </c>
      <c r="D1100" s="1">
        <v>0</v>
      </c>
      <c r="E1100">
        <f>D1100*C1100</f>
        <v>0</v>
      </c>
      <c r="F1100" s="1" t="s">
        <v>3161</v>
      </c>
      <c r="G1100" s="17">
        <v>79846</v>
      </c>
    </row>
    <row r="1101" spans="1:7">
      <c r="A1101" s="1" t="s">
        <v>3162</v>
      </c>
      <c r="B1101" s="1" t="s">
        <v>3163</v>
      </c>
      <c r="C1101">
        <f>(1-(B7/100))*121.35</f>
        <v>121.35</v>
      </c>
      <c r="D1101" s="1">
        <v>0</v>
      </c>
      <c r="E1101">
        <f>D1101*C1101</f>
        <v>0</v>
      </c>
      <c r="F1101" s="1" t="s">
        <v>3164</v>
      </c>
      <c r="G1101" s="17">
        <v>79848</v>
      </c>
    </row>
    <row r="1102" spans="1:7">
      <c r="A1102" s="1" t="s">
        <v>3165</v>
      </c>
      <c r="B1102" s="1" t="s">
        <v>3166</v>
      </c>
      <c r="C1102">
        <f>(1-(B7/100))*110.06</f>
        <v>110.06</v>
      </c>
      <c r="D1102" s="1">
        <v>0</v>
      </c>
      <c r="E1102">
        <f>D1102*C1102</f>
        <v>0</v>
      </c>
      <c r="F1102" s="1" t="s">
        <v>3167</v>
      </c>
      <c r="G1102" s="17">
        <v>79849</v>
      </c>
    </row>
    <row r="1103" spans="1:7">
      <c r="A1103" s="1" t="s">
        <v>3168</v>
      </c>
      <c r="B1103" s="1" t="s">
        <v>3169</v>
      </c>
      <c r="C1103">
        <f>(1-(B7/100))*200.73</f>
        <v>200.73</v>
      </c>
      <c r="D1103" s="1">
        <v>0</v>
      </c>
      <c r="E1103">
        <f>D1103*C1103</f>
        <v>0</v>
      </c>
      <c r="F1103" s="1" t="s">
        <v>3170</v>
      </c>
      <c r="G1103" s="17">
        <v>79857</v>
      </c>
    </row>
    <row r="1104" spans="1:7">
      <c r="A1104" s="1" t="s">
        <v>3171</v>
      </c>
      <c r="B1104" s="1" t="s">
        <v>3172</v>
      </c>
      <c r="C1104">
        <f>(1-(B7/100))*67.91</f>
        <v>67.91</v>
      </c>
      <c r="D1104" s="1">
        <v>0</v>
      </c>
      <c r="E1104">
        <f>D1104*C1104</f>
        <v>0</v>
      </c>
      <c r="F1104" s="1" t="s">
        <v>3173</v>
      </c>
      <c r="G1104" s="17">
        <v>79858</v>
      </c>
    </row>
    <row r="1105" spans="1:7">
      <c r="A1105" s="1" t="s">
        <v>3174</v>
      </c>
      <c r="B1105" s="1" t="s">
        <v>3175</v>
      </c>
      <c r="C1105">
        <f>(1-(B7/100))*2252.94</f>
        <v>2252.94</v>
      </c>
      <c r="D1105" s="1">
        <v>0</v>
      </c>
      <c r="E1105">
        <f>D1105*C1105</f>
        <v>0</v>
      </c>
      <c r="F1105" s="1" t="s">
        <v>3176</v>
      </c>
      <c r="G1105" s="17">
        <v>79859</v>
      </c>
    </row>
    <row r="1106" spans="1:7">
      <c r="A1106" s="1" t="s">
        <v>3177</v>
      </c>
      <c r="B1106" s="1" t="s">
        <v>3178</v>
      </c>
      <c r="C1106">
        <f>(1-(B7/100))*149.83</f>
        <v>149.83</v>
      </c>
      <c r="D1106" s="1">
        <v>0</v>
      </c>
      <c r="E1106">
        <f>D1106*C1106</f>
        <v>0</v>
      </c>
      <c r="F1106" s="1" t="s">
        <v>3179</v>
      </c>
      <c r="G1106" s="17">
        <v>79862</v>
      </c>
    </row>
    <row r="1107" spans="1:7">
      <c r="A1107" s="1" t="s">
        <v>3180</v>
      </c>
      <c r="B1107" s="1" t="s">
        <v>3181</v>
      </c>
      <c r="C1107">
        <f>(1-(B7/100))*39.27</f>
        <v>39.27</v>
      </c>
      <c r="D1107" s="1">
        <v>0</v>
      </c>
      <c r="E1107">
        <f>D1107*C1107</f>
        <v>0</v>
      </c>
      <c r="F1107" s="1" t="s">
        <v>3182</v>
      </c>
      <c r="G1107" s="17">
        <v>79863</v>
      </c>
    </row>
    <row r="1108" spans="1:7">
      <c r="A1108" s="1" t="s">
        <v>3183</v>
      </c>
      <c r="B1108" s="1" t="s">
        <v>3184</v>
      </c>
      <c r="C1108">
        <f>(1-(B7/100))*163.62</f>
        <v>163.62</v>
      </c>
      <c r="D1108" s="1">
        <v>0</v>
      </c>
      <c r="E1108">
        <f>D1108*C1108</f>
        <v>0</v>
      </c>
      <c r="F1108" s="1" t="s">
        <v>16</v>
      </c>
      <c r="G1108" s="17">
        <v>79868</v>
      </c>
    </row>
    <row r="1109" spans="1:7">
      <c r="A1109" s="1" t="s">
        <v>3185</v>
      </c>
      <c r="B1109" s="1" t="s">
        <v>3186</v>
      </c>
      <c r="C1109">
        <f>(1-(B7/100))*26.71</f>
        <v>26.71</v>
      </c>
      <c r="D1109" s="1">
        <v>0</v>
      </c>
      <c r="E1109">
        <f>D1109*C1109</f>
        <v>0</v>
      </c>
      <c r="F1109" s="1" t="s">
        <v>3187</v>
      </c>
      <c r="G1109" s="17">
        <v>79871</v>
      </c>
    </row>
    <row r="1110" spans="1:7">
      <c r="A1110" s="1" t="s">
        <v>3188</v>
      </c>
      <c r="B1110" s="1" t="s">
        <v>3189</v>
      </c>
      <c r="C1110">
        <f>(1-(B7/100))*28.76</f>
        <v>28.76</v>
      </c>
      <c r="D1110" s="1">
        <v>0</v>
      </c>
      <c r="E1110">
        <f>D1110*C1110</f>
        <v>0</v>
      </c>
      <c r="F1110" s="1" t="s">
        <v>3190</v>
      </c>
      <c r="G1110" s="17">
        <v>79872</v>
      </c>
    </row>
    <row r="1111" spans="1:7">
      <c r="A1111" s="1" t="s">
        <v>3191</v>
      </c>
      <c r="B1111" s="1" t="s">
        <v>3192</v>
      </c>
      <c r="C1111">
        <f>(1-(B7/100))*354.84</f>
        <v>354.84</v>
      </c>
      <c r="D1111" s="1">
        <v>0</v>
      </c>
      <c r="E1111">
        <f>D1111*C1111</f>
        <v>0</v>
      </c>
      <c r="F1111" s="1" t="s">
        <v>3193</v>
      </c>
      <c r="G1111" s="17">
        <v>79876</v>
      </c>
    </row>
    <row r="1112" spans="1:7">
      <c r="A1112" s="1" t="s">
        <v>3194</v>
      </c>
      <c r="B1112" s="1" t="s">
        <v>3195</v>
      </c>
      <c r="C1112">
        <f>(1-(B7/100))*16.89</f>
        <v>16.89</v>
      </c>
      <c r="D1112" s="1">
        <v>0</v>
      </c>
      <c r="E1112">
        <f>D1112*C1112</f>
        <v>0</v>
      </c>
      <c r="F1112" s="1" t="s">
        <v>3196</v>
      </c>
      <c r="G1112" s="17">
        <v>79877</v>
      </c>
    </row>
    <row r="1113" spans="1:7">
      <c r="A1113" s="1" t="s">
        <v>3197</v>
      </c>
      <c r="B1113" s="1" t="s">
        <v>3198</v>
      </c>
      <c r="C1113">
        <f>(1-(B7/100))*232.86</f>
        <v>232.86</v>
      </c>
      <c r="D1113" s="1">
        <v>0</v>
      </c>
      <c r="E1113">
        <f>D1113*C1113</f>
        <v>0</v>
      </c>
      <c r="F1113" s="1" t="s">
        <v>3199</v>
      </c>
      <c r="G1113" s="17">
        <v>79880</v>
      </c>
    </row>
    <row r="1114" spans="1:7">
      <c r="A1114" s="1" t="s">
        <v>3200</v>
      </c>
      <c r="B1114" s="1" t="s">
        <v>3201</v>
      </c>
      <c r="C1114">
        <f>(1-(B7/100))*217.57</f>
        <v>217.57</v>
      </c>
      <c r="D1114" s="1">
        <v>0</v>
      </c>
      <c r="E1114">
        <f>D1114*C1114</f>
        <v>0</v>
      </c>
      <c r="F1114" s="1" t="s">
        <v>3202</v>
      </c>
      <c r="G1114" s="17">
        <v>79881</v>
      </c>
    </row>
    <row r="1115" spans="1:7">
      <c r="A1115" s="1" t="s">
        <v>3203</v>
      </c>
      <c r="B1115" s="1" t="s">
        <v>3204</v>
      </c>
      <c r="C1115">
        <f>(1-(B7/100))*139.17</f>
        <v>139.17</v>
      </c>
      <c r="D1115" s="1">
        <v>0</v>
      </c>
      <c r="E1115">
        <f>D1115*C1115</f>
        <v>0</v>
      </c>
      <c r="F1115" s="1" t="s">
        <v>3205</v>
      </c>
      <c r="G1115" s="17">
        <v>79886</v>
      </c>
    </row>
    <row r="1116" spans="1:7">
      <c r="A1116" s="1" t="s">
        <v>3206</v>
      </c>
      <c r="B1116" s="1" t="s">
        <v>3207</v>
      </c>
      <c r="C1116">
        <f>(1-(B7/100))*122.18</f>
        <v>122.18</v>
      </c>
      <c r="D1116" s="1">
        <v>0</v>
      </c>
      <c r="E1116">
        <f>D1116*C1116</f>
        <v>0</v>
      </c>
      <c r="F1116" s="1" t="s">
        <v>3208</v>
      </c>
      <c r="G1116" s="17">
        <v>79887</v>
      </c>
    </row>
    <row r="1117" spans="1:7">
      <c r="A1117" s="1" t="s">
        <v>3209</v>
      </c>
      <c r="B1117" s="1" t="s">
        <v>3210</v>
      </c>
      <c r="C1117">
        <f>(1-(B7/100))*748.9</f>
        <v>748.9</v>
      </c>
      <c r="D1117" s="1">
        <v>0</v>
      </c>
      <c r="E1117">
        <f>D1117*C1117</f>
        <v>0</v>
      </c>
      <c r="F1117" s="1" t="s">
        <v>3211</v>
      </c>
      <c r="G1117" s="17">
        <v>79890</v>
      </c>
    </row>
    <row r="1118" spans="1:7">
      <c r="A1118" s="1" t="s">
        <v>3212</v>
      </c>
      <c r="B1118" s="1" t="s">
        <v>3213</v>
      </c>
      <c r="C1118">
        <f>(1-(B7/100))*250.57</f>
        <v>250.57</v>
      </c>
      <c r="D1118" s="1">
        <v>0</v>
      </c>
      <c r="E1118">
        <f>D1118*C1118</f>
        <v>0</v>
      </c>
      <c r="F1118" s="1" t="s">
        <v>3214</v>
      </c>
      <c r="G1118" s="17">
        <v>79891</v>
      </c>
    </row>
    <row r="1119" spans="1:7">
      <c r="A1119" s="1" t="s">
        <v>3215</v>
      </c>
      <c r="B1119" s="1" t="s">
        <v>3216</v>
      </c>
      <c r="C1119">
        <f>(1-(B7/100))*89.78</f>
        <v>89.78</v>
      </c>
      <c r="D1119" s="1">
        <v>0</v>
      </c>
      <c r="E1119">
        <f>D1119*C1119</f>
        <v>0</v>
      </c>
      <c r="F1119" s="1" t="s">
        <v>3217</v>
      </c>
      <c r="G1119" s="17">
        <v>79895</v>
      </c>
    </row>
    <row r="1120" spans="1:7">
      <c r="A1120" s="1" t="s">
        <v>3218</v>
      </c>
      <c r="B1120" s="1" t="s">
        <v>3219</v>
      </c>
      <c r="C1120">
        <f>(1-(B7/100))*235.7</f>
        <v>235.7</v>
      </c>
      <c r="D1120" s="1">
        <v>0</v>
      </c>
      <c r="E1120">
        <f>D1120*C1120</f>
        <v>0</v>
      </c>
      <c r="F1120" s="1" t="s">
        <v>3220</v>
      </c>
      <c r="G1120" s="17">
        <v>79896</v>
      </c>
    </row>
    <row r="1121" spans="1:7">
      <c r="A1121" s="1" t="s">
        <v>3221</v>
      </c>
      <c r="B1121" s="1" t="s">
        <v>3222</v>
      </c>
      <c r="C1121">
        <f>(1-(B7/100))*108.69</f>
        <v>108.69</v>
      </c>
      <c r="D1121" s="1">
        <v>0</v>
      </c>
      <c r="E1121">
        <f>D1121*C1121</f>
        <v>0</v>
      </c>
      <c r="F1121" s="1" t="s">
        <v>3223</v>
      </c>
      <c r="G1121" s="17">
        <v>79900</v>
      </c>
    </row>
    <row r="1122" spans="1:7">
      <c r="A1122" s="1" t="s">
        <v>3224</v>
      </c>
      <c r="B1122" s="1" t="s">
        <v>3225</v>
      </c>
      <c r="C1122">
        <f>(1-(B7/100))*64.45</f>
        <v>64.45</v>
      </c>
      <c r="D1122" s="1">
        <v>0</v>
      </c>
      <c r="E1122">
        <f>D1122*C1122</f>
        <v>0</v>
      </c>
      <c r="F1122" s="1" t="s">
        <v>3226</v>
      </c>
      <c r="G1122" s="17">
        <v>79904</v>
      </c>
    </row>
    <row r="1123" spans="1:7">
      <c r="A1123" s="1" t="s">
        <v>3227</v>
      </c>
      <c r="B1123" s="1" t="s">
        <v>3228</v>
      </c>
      <c r="C1123">
        <f>(1-(B7/100))*150.15</f>
        <v>150.15</v>
      </c>
      <c r="D1123" s="1">
        <v>0</v>
      </c>
      <c r="E1123">
        <f>D1123*C1123</f>
        <v>0</v>
      </c>
      <c r="F1123" s="1" t="s">
        <v>3229</v>
      </c>
      <c r="G1123" s="17">
        <v>79906</v>
      </c>
    </row>
    <row r="1124" spans="1:7">
      <c r="A1124" s="1" t="s">
        <v>3230</v>
      </c>
      <c r="B1124" s="1" t="s">
        <v>3231</v>
      </c>
      <c r="C1124">
        <f>(1-(B7/100))*130.28</f>
        <v>130.28</v>
      </c>
      <c r="D1124" s="1">
        <v>0</v>
      </c>
      <c r="E1124">
        <f>D1124*C1124</f>
        <v>0</v>
      </c>
      <c r="F1124" s="1" t="s">
        <v>3232</v>
      </c>
      <c r="G1124" s="17">
        <v>79907</v>
      </c>
    </row>
    <row r="1125" spans="1:7">
      <c r="A1125" s="1" t="s">
        <v>3233</v>
      </c>
      <c r="B1125" s="1" t="s">
        <v>3234</v>
      </c>
      <c r="C1125">
        <f>(1-(B7/100))*165.66</f>
        <v>165.66</v>
      </c>
      <c r="D1125" s="1">
        <v>0</v>
      </c>
      <c r="E1125">
        <f>D1125*C1125</f>
        <v>0</v>
      </c>
      <c r="F1125" s="1" t="s">
        <v>3235</v>
      </c>
      <c r="G1125" s="17">
        <v>79911</v>
      </c>
    </row>
    <row r="1126" spans="1:7">
      <c r="A1126" s="1" t="s">
        <v>3236</v>
      </c>
      <c r="B1126" s="1" t="s">
        <v>3237</v>
      </c>
      <c r="C1126">
        <f>(1-(B7/100))*210.21</f>
        <v>210.21</v>
      </c>
      <c r="D1126" s="1">
        <v>0</v>
      </c>
      <c r="E1126">
        <f>D1126*C1126</f>
        <v>0</v>
      </c>
      <c r="F1126" s="1" t="s">
        <v>3238</v>
      </c>
      <c r="G1126" s="17">
        <v>79914</v>
      </c>
    </row>
    <row r="1127" spans="1:7">
      <c r="A1127" s="1" t="s">
        <v>3239</v>
      </c>
      <c r="B1127" s="1" t="s">
        <v>3240</v>
      </c>
      <c r="C1127">
        <f>(1-(B7/100))*62.8</f>
        <v>62.8</v>
      </c>
      <c r="D1127" s="1">
        <v>0</v>
      </c>
      <c r="E1127">
        <f>D1127*C1127</f>
        <v>0</v>
      </c>
      <c r="F1127" s="1" t="s">
        <v>3241</v>
      </c>
      <c r="G1127" s="17">
        <v>79916</v>
      </c>
    </row>
    <row r="1128" spans="1:7">
      <c r="A1128" s="1" t="s">
        <v>3242</v>
      </c>
      <c r="B1128" s="1" t="s">
        <v>3243</v>
      </c>
      <c r="C1128">
        <f>(1-(B7/100))*131.57</f>
        <v>131.57</v>
      </c>
      <c r="D1128" s="1">
        <v>0</v>
      </c>
      <c r="E1128">
        <f>D1128*C1128</f>
        <v>0</v>
      </c>
      <c r="F1128" s="1" t="s">
        <v>3244</v>
      </c>
      <c r="G1128" s="17">
        <v>79917</v>
      </c>
    </row>
    <row r="1129" spans="1:7">
      <c r="A1129" s="1" t="s">
        <v>3245</v>
      </c>
      <c r="B1129" s="1" t="s">
        <v>3246</v>
      </c>
      <c r="C1129">
        <f>(1-(B7/100))*77.65</f>
        <v>77.65</v>
      </c>
      <c r="D1129" s="1">
        <v>0</v>
      </c>
      <c r="E1129">
        <f>D1129*C1129</f>
        <v>0</v>
      </c>
      <c r="F1129" s="1" t="s">
        <v>3247</v>
      </c>
      <c r="G1129" s="17">
        <v>79919</v>
      </c>
    </row>
    <row r="1130" spans="1:7">
      <c r="A1130" s="1" t="s">
        <v>3248</v>
      </c>
      <c r="B1130" s="1" t="s">
        <v>3249</v>
      </c>
      <c r="C1130">
        <f>(1-(B7/100))*85.91</f>
        <v>85.91</v>
      </c>
      <c r="D1130" s="1">
        <v>0</v>
      </c>
      <c r="E1130">
        <f>D1130*C1130</f>
        <v>0</v>
      </c>
      <c r="F1130" s="1" t="s">
        <v>3250</v>
      </c>
      <c r="G1130" s="17">
        <v>79922</v>
      </c>
    </row>
    <row r="1131" spans="1:7">
      <c r="A1131" s="1" t="s">
        <v>3251</v>
      </c>
      <c r="B1131" s="1" t="s">
        <v>3252</v>
      </c>
      <c r="C1131">
        <f>(1-(B7/100))*274.58</f>
        <v>274.58</v>
      </c>
      <c r="D1131" s="1">
        <v>0</v>
      </c>
      <c r="E1131">
        <f>D1131*C1131</f>
        <v>0</v>
      </c>
      <c r="F1131" s="1" t="s">
        <v>3253</v>
      </c>
      <c r="G1131" s="17">
        <v>79923</v>
      </c>
    </row>
    <row r="1132" spans="1:7">
      <c r="A1132" s="1" t="s">
        <v>3254</v>
      </c>
      <c r="B1132" s="1" t="s">
        <v>3255</v>
      </c>
      <c r="C1132">
        <f>(1-(B7/100))*243.05</f>
        <v>243.05</v>
      </c>
      <c r="D1132" s="1">
        <v>0</v>
      </c>
      <c r="E1132">
        <f>D1132*C1132</f>
        <v>0</v>
      </c>
      <c r="F1132" s="1" t="s">
        <v>3256</v>
      </c>
      <c r="G1132" s="17">
        <v>79924</v>
      </c>
    </row>
    <row r="1133" spans="1:7">
      <c r="A1133" s="1" t="s">
        <v>3257</v>
      </c>
      <c r="B1133" s="1" t="s">
        <v>3258</v>
      </c>
      <c r="C1133">
        <f>(1-(B7/100))*288.15</f>
        <v>288.15</v>
      </c>
      <c r="D1133" s="1">
        <v>0</v>
      </c>
      <c r="E1133">
        <f>D1133*C1133</f>
        <v>0</v>
      </c>
      <c r="F1133" s="1" t="s">
        <v>3259</v>
      </c>
      <c r="G1133" s="17">
        <v>79926</v>
      </c>
    </row>
    <row r="1134" spans="1:7">
      <c r="A1134" s="1" t="s">
        <v>3260</v>
      </c>
      <c r="B1134" s="1" t="s">
        <v>3261</v>
      </c>
      <c r="C1134">
        <f>(1-(B7/100))*275.22</f>
        <v>275.22</v>
      </c>
      <c r="D1134" s="1">
        <v>0</v>
      </c>
      <c r="E1134">
        <f>D1134*C1134</f>
        <v>0</v>
      </c>
      <c r="F1134" s="1" t="s">
        <v>3262</v>
      </c>
      <c r="G1134" s="17">
        <v>79928</v>
      </c>
    </row>
    <row r="1135" spans="1:7">
      <c r="A1135" s="1" t="s">
        <v>3263</v>
      </c>
      <c r="B1135" s="1" t="s">
        <v>3264</v>
      </c>
      <c r="C1135">
        <f>(1-(B7/100))*177.71</f>
        <v>177.71</v>
      </c>
      <c r="D1135" s="1">
        <v>0</v>
      </c>
      <c r="E1135">
        <f>D1135*C1135</f>
        <v>0</v>
      </c>
      <c r="F1135" s="1" t="s">
        <v>3265</v>
      </c>
      <c r="G1135" s="17">
        <v>79932</v>
      </c>
    </row>
    <row r="1136" spans="1:7">
      <c r="A1136" s="1" t="s">
        <v>3266</v>
      </c>
      <c r="B1136" s="1" t="s">
        <v>3267</v>
      </c>
      <c r="C1136">
        <f>(1-(B7/100))*163.15</f>
        <v>163.15</v>
      </c>
      <c r="D1136" s="1">
        <v>0</v>
      </c>
      <c r="E1136">
        <f>D1136*C1136</f>
        <v>0</v>
      </c>
      <c r="F1136" s="1" t="s">
        <v>3268</v>
      </c>
      <c r="G1136" s="17">
        <v>79933</v>
      </c>
    </row>
    <row r="1137" spans="1:7">
      <c r="A1137" s="1" t="s">
        <v>3269</v>
      </c>
      <c r="B1137" s="1" t="s">
        <v>3270</v>
      </c>
      <c r="C1137">
        <f>(1-(B7/100))*135.27</f>
        <v>135.27</v>
      </c>
      <c r="D1137" s="1">
        <v>0</v>
      </c>
      <c r="E1137">
        <f>D1137*C1137</f>
        <v>0</v>
      </c>
      <c r="F1137" s="1" t="s">
        <v>3271</v>
      </c>
      <c r="G1137" s="17">
        <v>79934</v>
      </c>
    </row>
    <row r="1138" spans="1:7">
      <c r="A1138" s="1" t="s">
        <v>3272</v>
      </c>
      <c r="B1138" s="1" t="s">
        <v>3273</v>
      </c>
      <c r="C1138">
        <f>(1-(B7/100))*255.1</f>
        <v>255.1</v>
      </c>
      <c r="D1138" s="1">
        <v>0</v>
      </c>
      <c r="E1138">
        <f>D1138*C1138</f>
        <v>0</v>
      </c>
      <c r="F1138" s="1" t="s">
        <v>3274</v>
      </c>
      <c r="G1138" s="17">
        <v>79935</v>
      </c>
    </row>
    <row r="1139" spans="1:7">
      <c r="A1139" s="1" t="s">
        <v>3275</v>
      </c>
      <c r="B1139" s="1" t="s">
        <v>3276</v>
      </c>
      <c r="C1139">
        <f>(1-(B7/100))*231.47</f>
        <v>231.47</v>
      </c>
      <c r="D1139" s="1">
        <v>0</v>
      </c>
      <c r="E1139">
        <f>D1139*C1139</f>
        <v>0</v>
      </c>
      <c r="F1139" s="1" t="s">
        <v>3277</v>
      </c>
      <c r="G1139" s="17">
        <v>79936</v>
      </c>
    </row>
    <row r="1140" spans="1:7">
      <c r="A1140" s="1" t="s">
        <v>3278</v>
      </c>
      <c r="B1140" s="1" t="s">
        <v>3279</v>
      </c>
      <c r="C1140">
        <f>(1-(B7/100))*338.41</f>
        <v>338.41</v>
      </c>
      <c r="D1140" s="1">
        <v>0</v>
      </c>
      <c r="E1140">
        <f>D1140*C1140</f>
        <v>0</v>
      </c>
      <c r="F1140" s="1" t="s">
        <v>3280</v>
      </c>
      <c r="G1140" s="17">
        <v>79937</v>
      </c>
    </row>
    <row r="1141" spans="1:7">
      <c r="A1141" s="1" t="s">
        <v>3281</v>
      </c>
      <c r="B1141" s="1" t="s">
        <v>3282</v>
      </c>
      <c r="C1141">
        <f>(1-(B7/100))*568.95</f>
        <v>568.95</v>
      </c>
      <c r="D1141" s="1">
        <v>0</v>
      </c>
      <c r="E1141">
        <f>D1141*C1141</f>
        <v>0</v>
      </c>
      <c r="F1141" s="1" t="s">
        <v>3283</v>
      </c>
      <c r="G1141" s="17">
        <v>79938</v>
      </c>
    </row>
    <row r="1142" spans="1:7">
      <c r="A1142" s="1" t="s">
        <v>3284</v>
      </c>
      <c r="B1142" s="1" t="s">
        <v>3285</v>
      </c>
      <c r="C1142">
        <f>(1-(B7/100))*191.2</f>
        <v>191.2</v>
      </c>
      <c r="D1142" s="1">
        <v>0</v>
      </c>
      <c r="E1142">
        <f>D1142*C1142</f>
        <v>0</v>
      </c>
      <c r="F1142" s="1" t="s">
        <v>3286</v>
      </c>
      <c r="G1142" s="17">
        <v>79944</v>
      </c>
    </row>
    <row r="1143" spans="1:7">
      <c r="A1143" s="1" t="s">
        <v>3287</v>
      </c>
      <c r="B1143" s="1" t="s">
        <v>3288</v>
      </c>
      <c r="C1143">
        <f>(1-(B7/100))*125.23</f>
        <v>125.23</v>
      </c>
      <c r="D1143" s="1">
        <v>0</v>
      </c>
      <c r="E1143">
        <f>D1143*C1143</f>
        <v>0</v>
      </c>
      <c r="F1143" s="1" t="s">
        <v>3289</v>
      </c>
      <c r="G1143" s="17">
        <v>79945</v>
      </c>
    </row>
    <row r="1144" spans="1:7">
      <c r="A1144" s="1" t="s">
        <v>3290</v>
      </c>
      <c r="B1144" s="1" t="s">
        <v>3291</v>
      </c>
      <c r="C1144">
        <f>(1-(B7/100))*198.24</f>
        <v>198.24</v>
      </c>
      <c r="D1144" s="1">
        <v>0</v>
      </c>
      <c r="E1144">
        <f>D1144*C1144</f>
        <v>0</v>
      </c>
      <c r="F1144" s="1" t="s">
        <v>3292</v>
      </c>
      <c r="G1144" s="17">
        <v>79946</v>
      </c>
    </row>
    <row r="1145" spans="1:7">
      <c r="A1145" s="1" t="s">
        <v>3293</v>
      </c>
      <c r="B1145" s="1" t="s">
        <v>3294</v>
      </c>
      <c r="C1145">
        <f>(1-(B7/100))*233.41</f>
        <v>233.41</v>
      </c>
      <c r="D1145" s="1">
        <v>0</v>
      </c>
      <c r="E1145">
        <f>D1145*C1145</f>
        <v>0</v>
      </c>
      <c r="F1145" s="1" t="s">
        <v>3295</v>
      </c>
      <c r="G1145" s="17">
        <v>79952</v>
      </c>
    </row>
    <row r="1146" spans="1:7">
      <c r="A1146" s="1" t="s">
        <v>3296</v>
      </c>
      <c r="B1146" s="1" t="s">
        <v>3297</v>
      </c>
      <c r="C1146">
        <f>(1-(B7/100))*47.29</f>
        <v>47.29</v>
      </c>
      <c r="D1146" s="1">
        <v>0</v>
      </c>
      <c r="E1146">
        <f>D1146*C1146</f>
        <v>0</v>
      </c>
      <c r="F1146" s="1" t="s">
        <v>3298</v>
      </c>
      <c r="G1146" s="17">
        <v>79953</v>
      </c>
    </row>
    <row r="1147" spans="1:7">
      <c r="A1147" s="1" t="s">
        <v>3299</v>
      </c>
      <c r="B1147" s="1" t="s">
        <v>3300</v>
      </c>
      <c r="C1147">
        <f>(1-(B7/100))*70.01</f>
        <v>70.01</v>
      </c>
      <c r="D1147" s="1">
        <v>0</v>
      </c>
      <c r="E1147">
        <f>D1147*C1147</f>
        <v>0</v>
      </c>
      <c r="F1147" s="1" t="s">
        <v>3301</v>
      </c>
      <c r="G1147" s="17">
        <v>79955</v>
      </c>
    </row>
    <row r="1148" spans="1:7">
      <c r="A1148" s="1" t="s">
        <v>3302</v>
      </c>
      <c r="B1148" s="1" t="s">
        <v>3303</v>
      </c>
      <c r="C1148">
        <f>(1-(B7/100))*37.24</f>
        <v>37.24</v>
      </c>
      <c r="D1148" s="1">
        <v>0</v>
      </c>
      <c r="E1148">
        <f>D1148*C1148</f>
        <v>0</v>
      </c>
      <c r="F1148" s="1" t="s">
        <v>3304</v>
      </c>
      <c r="G1148" s="17">
        <v>79956</v>
      </c>
    </row>
    <row r="1149" spans="1:7">
      <c r="A1149" s="1" t="s">
        <v>3305</v>
      </c>
      <c r="B1149" s="1" t="s">
        <v>3306</v>
      </c>
      <c r="C1149">
        <f>(1-(B7/100))*92.46</f>
        <v>92.46</v>
      </c>
      <c r="D1149" s="1">
        <v>0</v>
      </c>
      <c r="E1149">
        <f>D1149*C1149</f>
        <v>0</v>
      </c>
      <c r="F1149" s="1" t="s">
        <v>3307</v>
      </c>
      <c r="G1149" s="17">
        <v>79957</v>
      </c>
    </row>
    <row r="1150" spans="1:7">
      <c r="A1150" s="1" t="s">
        <v>3308</v>
      </c>
      <c r="B1150" s="1" t="s">
        <v>3309</v>
      </c>
      <c r="C1150">
        <f>(1-(B7/100))*123.8</f>
        <v>123.8</v>
      </c>
      <c r="D1150" s="1">
        <v>0</v>
      </c>
      <c r="E1150">
        <f>D1150*C1150</f>
        <v>0</v>
      </c>
      <c r="F1150" s="1" t="s">
        <v>3310</v>
      </c>
      <c r="G1150" s="17">
        <v>79965</v>
      </c>
    </row>
    <row r="1151" spans="1:7">
      <c r="A1151" s="1" t="s">
        <v>3311</v>
      </c>
      <c r="B1151" s="1" t="s">
        <v>3312</v>
      </c>
      <c r="C1151">
        <f>(1-(B7/100))*97.75</f>
        <v>97.75</v>
      </c>
      <c r="D1151" s="1">
        <v>0</v>
      </c>
      <c r="E1151">
        <f>D1151*C1151</f>
        <v>0</v>
      </c>
      <c r="F1151" s="1" t="s">
        <v>3313</v>
      </c>
      <c r="G1151" s="17">
        <v>79966</v>
      </c>
    </row>
    <row r="1152" spans="1:7">
      <c r="A1152" s="1" t="s">
        <v>3314</v>
      </c>
      <c r="B1152" s="1" t="s">
        <v>3315</v>
      </c>
      <c r="C1152">
        <f>(1-(B7/100))*26.05</f>
        <v>26.05</v>
      </c>
      <c r="D1152" s="1">
        <v>0</v>
      </c>
      <c r="E1152">
        <f>D1152*C1152</f>
        <v>0</v>
      </c>
      <c r="F1152" s="1" t="s">
        <v>3316</v>
      </c>
      <c r="G1152" s="17">
        <v>79968</v>
      </c>
    </row>
    <row r="1153" spans="1:7">
      <c r="A1153" s="1" t="s">
        <v>3317</v>
      </c>
      <c r="B1153" s="1" t="s">
        <v>3318</v>
      </c>
      <c r="C1153">
        <f>(1-(B7/100))*285.05</f>
        <v>285.05</v>
      </c>
      <c r="D1153" s="1">
        <v>0</v>
      </c>
      <c r="E1153">
        <f>D1153*C1153</f>
        <v>0</v>
      </c>
      <c r="F1153" s="1" t="s">
        <v>3319</v>
      </c>
      <c r="G1153" s="17">
        <v>85663</v>
      </c>
    </row>
    <row r="1154" spans="1:7">
      <c r="A1154" s="1" t="s">
        <v>3320</v>
      </c>
      <c r="B1154" s="1" t="s">
        <v>3321</v>
      </c>
      <c r="C1154">
        <f>(1-(B7/100))*586.95</f>
        <v>586.95</v>
      </c>
      <c r="D1154" s="1">
        <v>0</v>
      </c>
      <c r="E1154">
        <f>D1154*C1154</f>
        <v>0</v>
      </c>
      <c r="F1154" s="1" t="s">
        <v>3322</v>
      </c>
      <c r="G1154" s="17">
        <v>85741</v>
      </c>
    </row>
    <row r="1155" spans="1:7">
      <c r="A1155" s="1" t="s">
        <v>3323</v>
      </c>
      <c r="B1155" s="1" t="s">
        <v>3324</v>
      </c>
      <c r="C1155">
        <f>(1-(B7/100))*178.24</f>
        <v>178.24</v>
      </c>
      <c r="D1155" s="1">
        <v>0</v>
      </c>
      <c r="E1155">
        <f>D1155*C1155</f>
        <v>0</v>
      </c>
      <c r="F1155" s="1" t="s">
        <v>3325</v>
      </c>
      <c r="G1155" s="17">
        <v>85744</v>
      </c>
    </row>
    <row r="1156" spans="1:7">
      <c r="A1156" s="1" t="s">
        <v>3326</v>
      </c>
      <c r="B1156" s="1" t="s">
        <v>3327</v>
      </c>
      <c r="C1156">
        <f>(1-(B7/100))*288.54</f>
        <v>288.54</v>
      </c>
      <c r="D1156" s="1">
        <v>0</v>
      </c>
      <c r="E1156">
        <f>D1156*C1156</f>
        <v>0</v>
      </c>
      <c r="F1156" s="1" t="s">
        <v>3328</v>
      </c>
      <c r="G1156" s="17">
        <v>85745</v>
      </c>
    </row>
    <row r="1157" spans="1:7">
      <c r="A1157" s="1" t="s">
        <v>3329</v>
      </c>
      <c r="B1157" s="1" t="s">
        <v>3330</v>
      </c>
      <c r="C1157">
        <f>(1-(B7/100))*256.22</f>
        <v>256.22</v>
      </c>
      <c r="D1157" s="1">
        <v>0</v>
      </c>
      <c r="E1157">
        <f>D1157*C1157</f>
        <v>0</v>
      </c>
      <c r="F1157" s="1" t="s">
        <v>3331</v>
      </c>
      <c r="G1157" s="17">
        <v>85749</v>
      </c>
    </row>
    <row r="1158" spans="1:7">
      <c r="A1158" s="1" t="s">
        <v>3332</v>
      </c>
      <c r="B1158" s="1" t="s">
        <v>3333</v>
      </c>
      <c r="C1158">
        <f>(1-(B7/100))*208.75</f>
        <v>208.75</v>
      </c>
      <c r="D1158" s="1">
        <v>0</v>
      </c>
      <c r="E1158">
        <f>D1158*C1158</f>
        <v>0</v>
      </c>
      <c r="F1158" s="1" t="s">
        <v>3334</v>
      </c>
      <c r="G1158" s="17">
        <v>85750</v>
      </c>
    </row>
    <row r="1159" spans="1:7">
      <c r="A1159" s="1" t="s">
        <v>3335</v>
      </c>
      <c r="B1159" s="1" t="s">
        <v>3336</v>
      </c>
      <c r="C1159">
        <f>(1-(B7/100))*250.64</f>
        <v>250.64</v>
      </c>
      <c r="D1159" s="1">
        <v>0</v>
      </c>
      <c r="E1159">
        <f>D1159*C1159</f>
        <v>0</v>
      </c>
      <c r="F1159" s="1" t="s">
        <v>3337</v>
      </c>
      <c r="G1159" s="17">
        <v>86210</v>
      </c>
    </row>
    <row r="1160" spans="1:7">
      <c r="A1160" s="1" t="s">
        <v>3338</v>
      </c>
      <c r="B1160" s="1" t="s">
        <v>3339</v>
      </c>
      <c r="C1160">
        <f>(1-(B7/100))*250.64</f>
        <v>250.64</v>
      </c>
      <c r="D1160" s="1">
        <v>0</v>
      </c>
      <c r="E1160">
        <f>D1160*C1160</f>
        <v>0</v>
      </c>
      <c r="F1160" s="1" t="s">
        <v>3340</v>
      </c>
      <c r="G1160" s="17">
        <v>86211</v>
      </c>
    </row>
    <row r="1161" spans="1:7">
      <c r="A1161" s="1" t="s">
        <v>3341</v>
      </c>
      <c r="B1161" s="1" t="s">
        <v>3342</v>
      </c>
      <c r="C1161">
        <f>(1-(B7/100))*288.13</f>
        <v>288.13</v>
      </c>
      <c r="D1161" s="1">
        <v>0</v>
      </c>
      <c r="E1161">
        <f>D1161*C1161</f>
        <v>0</v>
      </c>
      <c r="F1161" s="1" t="s">
        <v>3343</v>
      </c>
      <c r="G1161" s="17">
        <v>86215</v>
      </c>
    </row>
    <row r="1162" spans="1:7">
      <c r="A1162" s="1" t="s">
        <v>3344</v>
      </c>
      <c r="B1162" s="1" t="s">
        <v>3345</v>
      </c>
      <c r="C1162">
        <f>(1-(B7/100))*88.73</f>
        <v>88.73</v>
      </c>
      <c r="D1162" s="1">
        <v>0</v>
      </c>
      <c r="E1162">
        <f>D1162*C1162</f>
        <v>0</v>
      </c>
      <c r="F1162" s="1" t="s">
        <v>3346</v>
      </c>
      <c r="G1162" s="17">
        <v>86217</v>
      </c>
    </row>
    <row r="1163" spans="1:7">
      <c r="A1163" s="1" t="s">
        <v>3347</v>
      </c>
      <c r="B1163" s="1" t="s">
        <v>3348</v>
      </c>
      <c r="C1163">
        <f>(1-(B7/100))*31.2</f>
        <v>31.2</v>
      </c>
      <c r="D1163" s="1">
        <v>0</v>
      </c>
      <c r="E1163">
        <f>D1163*C1163</f>
        <v>0</v>
      </c>
      <c r="F1163" s="1" t="s">
        <v>3349</v>
      </c>
      <c r="G1163" s="17">
        <v>86218</v>
      </c>
    </row>
    <row r="1164" spans="1:7">
      <c r="A1164" s="1" t="s">
        <v>3350</v>
      </c>
      <c r="B1164" s="1" t="s">
        <v>3351</v>
      </c>
      <c r="C1164">
        <f>(1-(B7/100))*30.29</f>
        <v>30.29</v>
      </c>
      <c r="D1164" s="1">
        <v>0</v>
      </c>
      <c r="E1164">
        <f>D1164*C1164</f>
        <v>0</v>
      </c>
      <c r="F1164" s="1" t="s">
        <v>3352</v>
      </c>
      <c r="G1164" s="17">
        <v>86219</v>
      </c>
    </row>
    <row r="1165" spans="1:7">
      <c r="A1165" s="1" t="s">
        <v>3353</v>
      </c>
      <c r="B1165" s="1" t="s">
        <v>3354</v>
      </c>
      <c r="C1165">
        <f>(1-(B7/100))*423.52</f>
        <v>423.52</v>
      </c>
      <c r="D1165" s="1">
        <v>0</v>
      </c>
      <c r="E1165">
        <f>D1165*C1165</f>
        <v>0</v>
      </c>
      <c r="F1165" s="1" t="s">
        <v>3355</v>
      </c>
      <c r="G1165" s="17">
        <v>86220</v>
      </c>
    </row>
    <row r="1166" spans="1:7">
      <c r="A1166" s="1" t="s">
        <v>3356</v>
      </c>
      <c r="B1166" s="1" t="s">
        <v>3357</v>
      </c>
      <c r="C1166">
        <f>(1-(B7/100))*46.57</f>
        <v>46.57</v>
      </c>
      <c r="D1166" s="1">
        <v>0</v>
      </c>
      <c r="E1166">
        <f>D1166*C1166</f>
        <v>0</v>
      </c>
      <c r="F1166" s="1" t="s">
        <v>3358</v>
      </c>
      <c r="G1166" s="17">
        <v>86222</v>
      </c>
    </row>
    <row r="1167" spans="1:7">
      <c r="A1167" s="1" t="s">
        <v>3359</v>
      </c>
      <c r="B1167" s="1" t="s">
        <v>3360</v>
      </c>
      <c r="C1167">
        <f>(1-(B7/100))*59.6</f>
        <v>59.6</v>
      </c>
      <c r="D1167" s="1">
        <v>0</v>
      </c>
      <c r="E1167">
        <f>D1167*C1167</f>
        <v>0</v>
      </c>
      <c r="F1167" s="1" t="s">
        <v>3361</v>
      </c>
      <c r="G1167" s="17">
        <v>86223</v>
      </c>
    </row>
    <row r="1168" spans="1:7">
      <c r="A1168" s="1" t="s">
        <v>3362</v>
      </c>
      <c r="B1168" s="1" t="s">
        <v>3363</v>
      </c>
      <c r="C1168">
        <f>(1-(B7/100))*45.79</f>
        <v>45.79</v>
      </c>
      <c r="D1168" s="1">
        <v>0</v>
      </c>
      <c r="E1168">
        <f>D1168*C1168</f>
        <v>0</v>
      </c>
      <c r="F1168" s="1" t="s">
        <v>3364</v>
      </c>
      <c r="G1168" s="17">
        <v>86224</v>
      </c>
    </row>
    <row r="1169" spans="1:7">
      <c r="A1169" s="1" t="s">
        <v>3365</v>
      </c>
      <c r="B1169" s="1" t="s">
        <v>3366</v>
      </c>
      <c r="C1169">
        <f>(1-(B7/100))*50.6</f>
        <v>50.6</v>
      </c>
      <c r="D1169" s="1">
        <v>0</v>
      </c>
      <c r="E1169">
        <f>D1169*C1169</f>
        <v>0</v>
      </c>
      <c r="F1169" s="1" t="s">
        <v>3367</v>
      </c>
      <c r="G1169" s="17">
        <v>86225</v>
      </c>
    </row>
    <row r="1170" spans="1:7">
      <c r="A1170" s="1" t="s">
        <v>3368</v>
      </c>
      <c r="B1170" s="1" t="s">
        <v>3369</v>
      </c>
      <c r="C1170">
        <f>(1-(B7/100))*53.34</f>
        <v>53.34</v>
      </c>
      <c r="D1170" s="1">
        <v>0</v>
      </c>
      <c r="E1170">
        <f>D1170*C1170</f>
        <v>0</v>
      </c>
      <c r="F1170" s="1" t="s">
        <v>3370</v>
      </c>
      <c r="G1170" s="17">
        <v>86226</v>
      </c>
    </row>
    <row r="1171" spans="1:7">
      <c r="A1171" s="1" t="s">
        <v>3371</v>
      </c>
      <c r="B1171" s="1" t="s">
        <v>3372</v>
      </c>
      <c r="C1171">
        <f>(1-(B7/100))*64.38</f>
        <v>64.38</v>
      </c>
      <c r="D1171" s="1">
        <v>0</v>
      </c>
      <c r="E1171">
        <f>D1171*C1171</f>
        <v>0</v>
      </c>
      <c r="F1171" s="1" t="s">
        <v>3373</v>
      </c>
      <c r="G1171" s="17">
        <v>86227</v>
      </c>
    </row>
    <row r="1172" spans="1:7">
      <c r="A1172" s="1" t="s">
        <v>3374</v>
      </c>
      <c r="B1172" s="1" t="s">
        <v>3375</v>
      </c>
      <c r="C1172">
        <f>(1-(B7/100))*76.32</f>
        <v>76.32</v>
      </c>
      <c r="D1172" s="1">
        <v>0</v>
      </c>
      <c r="E1172">
        <f>D1172*C1172</f>
        <v>0</v>
      </c>
      <c r="F1172" s="1" t="s">
        <v>3376</v>
      </c>
      <c r="G1172" s="17">
        <v>86228</v>
      </c>
    </row>
    <row r="1173" spans="1:7">
      <c r="A1173" s="1" t="s">
        <v>3377</v>
      </c>
      <c r="B1173" s="1" t="s">
        <v>2965</v>
      </c>
      <c r="C1173">
        <f>(1-(B7/100))*65.28</f>
        <v>65.28</v>
      </c>
      <c r="D1173" s="1">
        <v>0</v>
      </c>
      <c r="E1173">
        <f>D1173*C1173</f>
        <v>0</v>
      </c>
      <c r="F1173" s="1" t="s">
        <v>3378</v>
      </c>
      <c r="G1173" s="17">
        <v>86229</v>
      </c>
    </row>
    <row r="1174" spans="1:7">
      <c r="A1174" s="1" t="s">
        <v>3379</v>
      </c>
      <c r="B1174" s="1" t="s">
        <v>3380</v>
      </c>
      <c r="C1174">
        <f>(1-(B7/100))*78.12</f>
        <v>78.12</v>
      </c>
      <c r="D1174" s="1">
        <v>0</v>
      </c>
      <c r="E1174">
        <f>D1174*C1174</f>
        <v>0</v>
      </c>
      <c r="F1174" s="1" t="s">
        <v>3381</v>
      </c>
      <c r="G1174" s="17">
        <v>86230</v>
      </c>
    </row>
    <row r="1175" spans="1:7">
      <c r="A1175" s="1" t="s">
        <v>3382</v>
      </c>
      <c r="B1175" s="1" t="s">
        <v>3383</v>
      </c>
      <c r="C1175">
        <f>(1-(B7/100))*422.24</f>
        <v>422.24</v>
      </c>
      <c r="D1175" s="1">
        <v>0</v>
      </c>
      <c r="E1175">
        <f>D1175*C1175</f>
        <v>0</v>
      </c>
      <c r="F1175" s="1" t="s">
        <v>3384</v>
      </c>
      <c r="G1175" s="17">
        <v>86238</v>
      </c>
    </row>
    <row r="1176" spans="1:7">
      <c r="A1176" s="1" t="s">
        <v>3385</v>
      </c>
      <c r="B1176" s="1" t="s">
        <v>3386</v>
      </c>
      <c r="C1176">
        <f>(1-(B7/100))*203.8</f>
        <v>203.8</v>
      </c>
      <c r="D1176" s="1">
        <v>0</v>
      </c>
      <c r="E1176">
        <f>D1176*C1176</f>
        <v>0</v>
      </c>
      <c r="F1176" s="1" t="s">
        <v>3387</v>
      </c>
      <c r="G1176" s="17">
        <v>86239</v>
      </c>
    </row>
    <row r="1177" spans="1:7">
      <c r="A1177" s="1" t="s">
        <v>3388</v>
      </c>
      <c r="B1177" s="1" t="s">
        <v>3389</v>
      </c>
      <c r="C1177">
        <f>(1-(B7/100))*44.44</f>
        <v>44.44</v>
      </c>
      <c r="D1177" s="1">
        <v>0</v>
      </c>
      <c r="E1177">
        <f>D1177*C1177</f>
        <v>0</v>
      </c>
      <c r="F1177" s="1" t="s">
        <v>3390</v>
      </c>
      <c r="G1177" s="17">
        <v>86243</v>
      </c>
    </row>
    <row r="1178" spans="1:7">
      <c r="A1178" s="1" t="s">
        <v>3391</v>
      </c>
      <c r="B1178" s="1" t="s">
        <v>3392</v>
      </c>
      <c r="C1178">
        <f>(1-(B7/100))*166.99</f>
        <v>166.99</v>
      </c>
      <c r="D1178" s="1">
        <v>0</v>
      </c>
      <c r="E1178">
        <f>D1178*C1178</f>
        <v>0</v>
      </c>
      <c r="F1178" s="1" t="s">
        <v>3393</v>
      </c>
      <c r="G1178" s="17">
        <v>86246</v>
      </c>
    </row>
    <row r="1179" spans="1:7">
      <c r="A1179" s="1" t="s">
        <v>3394</v>
      </c>
      <c r="B1179" s="1" t="s">
        <v>3395</v>
      </c>
      <c r="C1179">
        <f>(1-(B7/100))*549.02</f>
        <v>549.02</v>
      </c>
      <c r="D1179" s="1">
        <v>0</v>
      </c>
      <c r="E1179">
        <f>D1179*C1179</f>
        <v>0</v>
      </c>
      <c r="F1179" s="1" t="s">
        <v>3396</v>
      </c>
      <c r="G1179" s="17">
        <v>86247</v>
      </c>
    </row>
    <row r="1180" spans="1:7">
      <c r="A1180" s="1" t="s">
        <v>3397</v>
      </c>
      <c r="B1180" s="1" t="s">
        <v>3398</v>
      </c>
      <c r="C1180">
        <f>(1-(B7/100))*620.81</f>
        <v>620.81</v>
      </c>
      <c r="D1180" s="1">
        <v>0</v>
      </c>
      <c r="E1180">
        <f>D1180*C1180</f>
        <v>0</v>
      </c>
      <c r="F1180" s="1" t="s">
        <v>3399</v>
      </c>
      <c r="G1180" s="17">
        <v>86253</v>
      </c>
    </row>
    <row r="1181" spans="1:7">
      <c r="A1181" s="1" t="s">
        <v>3400</v>
      </c>
      <c r="B1181" s="1" t="s">
        <v>3401</v>
      </c>
      <c r="C1181">
        <f>(1-(B7/100))*643.39</f>
        <v>643.39</v>
      </c>
      <c r="D1181" s="1">
        <v>0</v>
      </c>
      <c r="E1181">
        <f>D1181*C1181</f>
        <v>0</v>
      </c>
      <c r="F1181" s="1" t="s">
        <v>3402</v>
      </c>
      <c r="G1181" s="17">
        <v>86254</v>
      </c>
    </row>
    <row r="1182" spans="1:7">
      <c r="A1182" s="1" t="s">
        <v>3403</v>
      </c>
      <c r="B1182" s="1" t="s">
        <v>3404</v>
      </c>
      <c r="C1182">
        <f>(1-(B7/100))*1086.98</f>
        <v>1086.98</v>
      </c>
      <c r="D1182" s="1">
        <v>0</v>
      </c>
      <c r="E1182">
        <f>D1182*C1182</f>
        <v>0</v>
      </c>
      <c r="F1182" s="1" t="s">
        <v>3405</v>
      </c>
      <c r="G1182" s="17">
        <v>86257</v>
      </c>
    </row>
    <row r="1183" spans="1:7">
      <c r="A1183" s="1" t="s">
        <v>3406</v>
      </c>
      <c r="B1183" s="1" t="s">
        <v>3407</v>
      </c>
      <c r="C1183">
        <f>(1-(B7/100))*457.63</f>
        <v>457.63</v>
      </c>
      <c r="D1183" s="1">
        <v>0</v>
      </c>
      <c r="E1183">
        <f>D1183*C1183</f>
        <v>0</v>
      </c>
      <c r="F1183" s="1" t="s">
        <v>3408</v>
      </c>
      <c r="G1183" s="17">
        <v>86263</v>
      </c>
    </row>
    <row r="1184" spans="1:7">
      <c r="A1184" s="1" t="s">
        <v>3409</v>
      </c>
      <c r="B1184" s="1" t="s">
        <v>3410</v>
      </c>
      <c r="C1184">
        <f>(1-(B7/100))*457.63</f>
        <v>457.63</v>
      </c>
      <c r="D1184" s="1">
        <v>0</v>
      </c>
      <c r="E1184">
        <f>D1184*C1184</f>
        <v>0</v>
      </c>
      <c r="F1184" s="1" t="s">
        <v>3411</v>
      </c>
      <c r="G1184" s="17">
        <v>86265</v>
      </c>
    </row>
    <row r="1185" spans="1:7">
      <c r="A1185" s="1" t="s">
        <v>3412</v>
      </c>
      <c r="B1185" s="1" t="s">
        <v>3413</v>
      </c>
      <c r="C1185">
        <f>(1-(B7/100))*155.61</f>
        <v>155.61</v>
      </c>
      <c r="D1185" s="1">
        <v>0</v>
      </c>
      <c r="E1185">
        <f>D1185*C1185</f>
        <v>0</v>
      </c>
      <c r="F1185" s="1" t="s">
        <v>3414</v>
      </c>
      <c r="G1185" s="17">
        <v>86274</v>
      </c>
    </row>
    <row r="1186" spans="1:7">
      <c r="A1186" s="1" t="s">
        <v>3415</v>
      </c>
      <c r="B1186" s="1" t="s">
        <v>3416</v>
      </c>
      <c r="C1186">
        <f>(1-(B7/100))*139.17</f>
        <v>139.17</v>
      </c>
      <c r="D1186" s="1">
        <v>0</v>
      </c>
      <c r="E1186">
        <f>D1186*C1186</f>
        <v>0</v>
      </c>
      <c r="F1186" s="1" t="s">
        <v>3417</v>
      </c>
      <c r="G1186" s="17">
        <v>86277</v>
      </c>
    </row>
    <row r="1187" spans="1:7">
      <c r="A1187" s="1" t="s">
        <v>3418</v>
      </c>
      <c r="B1187" s="1" t="s">
        <v>3419</v>
      </c>
      <c r="C1187">
        <f>(1-(B7/100))*160.84</f>
        <v>160.84</v>
      </c>
      <c r="D1187" s="1">
        <v>0</v>
      </c>
      <c r="E1187">
        <f>D1187*C1187</f>
        <v>0</v>
      </c>
      <c r="F1187" s="1" t="s">
        <v>3420</v>
      </c>
      <c r="G1187" s="17">
        <v>86278</v>
      </c>
    </row>
    <row r="1188" spans="1:7">
      <c r="A1188" s="1" t="s">
        <v>3421</v>
      </c>
      <c r="B1188" s="1" t="s">
        <v>3422</v>
      </c>
      <c r="C1188">
        <f>(1-(B7/100))*159.57</f>
        <v>159.57</v>
      </c>
      <c r="D1188" s="1">
        <v>0</v>
      </c>
      <c r="E1188">
        <f>D1188*C1188</f>
        <v>0</v>
      </c>
      <c r="F1188" s="1" t="s">
        <v>3423</v>
      </c>
      <c r="G1188" s="17">
        <v>86279</v>
      </c>
    </row>
    <row r="1189" spans="1:7">
      <c r="A1189" s="1" t="s">
        <v>3424</v>
      </c>
      <c r="B1189" s="1" t="s">
        <v>3425</v>
      </c>
      <c r="C1189">
        <f>(1-(B7/100))*510.11</f>
        <v>510.11</v>
      </c>
      <c r="D1189" s="1">
        <v>0</v>
      </c>
      <c r="E1189">
        <f>D1189*C1189</f>
        <v>0</v>
      </c>
      <c r="F1189" s="1" t="s">
        <v>3426</v>
      </c>
      <c r="G1189" s="17">
        <v>86280</v>
      </c>
    </row>
    <row r="1190" spans="1:7">
      <c r="A1190" s="1" t="s">
        <v>3427</v>
      </c>
      <c r="B1190" s="1" t="s">
        <v>3428</v>
      </c>
      <c r="C1190">
        <f>(1-(B7/100))*529.86</f>
        <v>529.86</v>
      </c>
      <c r="D1190" s="1">
        <v>0</v>
      </c>
      <c r="E1190">
        <f>D1190*C1190</f>
        <v>0</v>
      </c>
      <c r="F1190" s="1" t="s">
        <v>3429</v>
      </c>
      <c r="G1190" s="17">
        <v>86668</v>
      </c>
    </row>
    <row r="1191" spans="1:7">
      <c r="A1191" s="1" t="s">
        <v>3430</v>
      </c>
      <c r="B1191" s="1" t="s">
        <v>3431</v>
      </c>
      <c r="C1191">
        <f>(1-(B7/100))*349.71</f>
        <v>349.71</v>
      </c>
      <c r="D1191" s="1">
        <v>0</v>
      </c>
      <c r="E1191">
        <f>D1191*C1191</f>
        <v>0</v>
      </c>
      <c r="F1191" s="1" t="s">
        <v>3432</v>
      </c>
      <c r="G1191" s="17">
        <v>86669</v>
      </c>
    </row>
    <row r="1192" spans="1:7">
      <c r="A1192" s="1" t="s">
        <v>3433</v>
      </c>
      <c r="B1192" s="1" t="s">
        <v>3434</v>
      </c>
      <c r="C1192">
        <f>(1-(B7/100))*75.8</f>
        <v>75.8</v>
      </c>
      <c r="D1192" s="1">
        <v>0</v>
      </c>
      <c r="E1192">
        <f>D1192*C1192</f>
        <v>0</v>
      </c>
      <c r="F1192" s="1" t="s">
        <v>3435</v>
      </c>
      <c r="G1192" s="17">
        <v>86670</v>
      </c>
    </row>
    <row r="1193" spans="1:7">
      <c r="A1193" s="1" t="s">
        <v>3436</v>
      </c>
      <c r="B1193" s="1" t="s">
        <v>3437</v>
      </c>
      <c r="C1193">
        <f>(1-(B7/100))*45.96</f>
        <v>45.96</v>
      </c>
      <c r="D1193" s="1">
        <v>0</v>
      </c>
      <c r="E1193">
        <f>D1193*C1193</f>
        <v>0</v>
      </c>
      <c r="F1193" s="1" t="s">
        <v>3438</v>
      </c>
      <c r="G1193" s="17">
        <v>86671</v>
      </c>
    </row>
    <row r="1194" spans="1:7">
      <c r="A1194" s="16"/>
      <c r="B1194" s="16" t="s">
        <v>3439</v>
      </c>
      <c r="C1194" s="16"/>
      <c r="D1194" s="16"/>
      <c r="E1194" s="16"/>
      <c r="F1194" s="16"/>
    </row>
    <row r="1195" spans="1:7">
      <c r="A1195" s="16"/>
      <c r="B1195" s="16" t="s">
        <v>3440</v>
      </c>
      <c r="C1195" s="16"/>
      <c r="D1195" s="16"/>
      <c r="E1195" s="16"/>
      <c r="F1195" s="16"/>
    </row>
    <row r="1196" spans="1:7">
      <c r="A1196" s="1" t="s">
        <v>3441</v>
      </c>
      <c r="B1196" s="1" t="s">
        <v>3442</v>
      </c>
      <c r="C1196">
        <f>(1-(B7/100))*43.63</f>
        <v>43.63</v>
      </c>
      <c r="D1196" s="1">
        <v>0</v>
      </c>
      <c r="E1196">
        <f>D1196*C1196</f>
        <v>0</v>
      </c>
      <c r="F1196" s="1" t="s">
        <v>3443</v>
      </c>
      <c r="G1196" s="17">
        <v>62984</v>
      </c>
    </row>
    <row r="1197" spans="1:7">
      <c r="A1197" s="1" t="s">
        <v>3444</v>
      </c>
      <c r="B1197" s="1" t="s">
        <v>3445</v>
      </c>
      <c r="C1197">
        <f>(1-(B7/100))*63.42</f>
        <v>63.42</v>
      </c>
      <c r="D1197" s="1">
        <v>0</v>
      </c>
      <c r="E1197">
        <f>D1197*C1197</f>
        <v>0</v>
      </c>
      <c r="F1197" s="1" t="s">
        <v>3446</v>
      </c>
      <c r="G1197" s="17">
        <v>72839</v>
      </c>
    </row>
    <row r="1198" spans="1:7">
      <c r="A1198" s="1" t="s">
        <v>3447</v>
      </c>
      <c r="B1198" s="1" t="s">
        <v>3448</v>
      </c>
      <c r="C1198">
        <f>(1-(B7/100))*62.05</f>
        <v>62.05</v>
      </c>
      <c r="D1198" s="1">
        <v>0</v>
      </c>
      <c r="E1198">
        <f>D1198*C1198</f>
        <v>0</v>
      </c>
      <c r="F1198" s="1" t="s">
        <v>3449</v>
      </c>
      <c r="G1198" s="17">
        <v>84196</v>
      </c>
    </row>
    <row r="1199" spans="1:7">
      <c r="A1199" s="1" t="s">
        <v>3450</v>
      </c>
      <c r="B1199" s="1" t="s">
        <v>3451</v>
      </c>
      <c r="C1199">
        <f>(1-(B7/100))*63.3</f>
        <v>63.3</v>
      </c>
      <c r="D1199" s="1">
        <v>0</v>
      </c>
      <c r="E1199">
        <f>D1199*C1199</f>
        <v>0</v>
      </c>
      <c r="F1199" s="1" t="s">
        <v>3452</v>
      </c>
      <c r="G1199" s="17">
        <v>84197</v>
      </c>
    </row>
    <row r="1200" spans="1:7">
      <c r="A1200" s="1" t="s">
        <v>3453</v>
      </c>
      <c r="B1200" s="1" t="s">
        <v>3454</v>
      </c>
      <c r="C1200">
        <f>(1-(B7/100))*132.41</f>
        <v>132.41</v>
      </c>
      <c r="D1200" s="1">
        <v>0</v>
      </c>
      <c r="E1200">
        <f>D1200*C1200</f>
        <v>0</v>
      </c>
      <c r="F1200" s="1" t="s">
        <v>3455</v>
      </c>
      <c r="G1200" s="17">
        <v>84200</v>
      </c>
    </row>
    <row r="1201" spans="1:7">
      <c r="A1201" s="1" t="s">
        <v>3456</v>
      </c>
      <c r="B1201" s="1" t="s">
        <v>3457</v>
      </c>
      <c r="C1201">
        <f>(1-(B7/100))*156.49</f>
        <v>156.49</v>
      </c>
      <c r="D1201" s="1">
        <v>0</v>
      </c>
      <c r="E1201">
        <f>D1201*C1201</f>
        <v>0</v>
      </c>
      <c r="F1201" s="1" t="s">
        <v>3458</v>
      </c>
      <c r="G1201" s="17">
        <v>84201</v>
      </c>
    </row>
    <row r="1202" spans="1:7">
      <c r="A1202" s="1" t="s">
        <v>3459</v>
      </c>
      <c r="B1202" s="1" t="s">
        <v>3460</v>
      </c>
      <c r="C1202">
        <f>(1-(B7/100))*129.74</f>
        <v>129.74</v>
      </c>
      <c r="D1202" s="1">
        <v>0</v>
      </c>
      <c r="E1202">
        <f>D1202*C1202</f>
        <v>0</v>
      </c>
      <c r="F1202" s="1" t="s">
        <v>3461</v>
      </c>
      <c r="G1202" s="17">
        <v>84202</v>
      </c>
    </row>
    <row r="1203" spans="1:7">
      <c r="A1203" s="1" t="s">
        <v>3462</v>
      </c>
      <c r="B1203" s="1" t="s">
        <v>3463</v>
      </c>
      <c r="C1203">
        <f>(1-(B7/100))*59.47</f>
        <v>59.47</v>
      </c>
      <c r="D1203" s="1">
        <v>0</v>
      </c>
      <c r="E1203">
        <f>D1203*C1203</f>
        <v>0</v>
      </c>
      <c r="F1203" s="1" t="s">
        <v>3464</v>
      </c>
      <c r="G1203" s="17">
        <v>84203</v>
      </c>
    </row>
    <row r="1204" spans="1:7">
      <c r="A1204" s="1" t="s">
        <v>3465</v>
      </c>
      <c r="B1204" s="1" t="s">
        <v>3466</v>
      </c>
      <c r="C1204">
        <f>(1-(B7/100))*35.9</f>
        <v>35.9</v>
      </c>
      <c r="D1204" s="1">
        <v>0</v>
      </c>
      <c r="E1204">
        <f>D1204*C1204</f>
        <v>0</v>
      </c>
      <c r="F1204" s="1" t="s">
        <v>3467</v>
      </c>
      <c r="G1204" s="17">
        <v>84204</v>
      </c>
    </row>
    <row r="1205" spans="1:7">
      <c r="A1205" s="1" t="s">
        <v>3468</v>
      </c>
      <c r="B1205" s="1" t="s">
        <v>3469</v>
      </c>
      <c r="C1205">
        <f>(1-(B7/100))*44.64</f>
        <v>44.64</v>
      </c>
      <c r="D1205" s="1">
        <v>0</v>
      </c>
      <c r="E1205">
        <f>D1205*C1205</f>
        <v>0</v>
      </c>
      <c r="F1205" s="1" t="s">
        <v>3470</v>
      </c>
      <c r="G1205" s="17">
        <v>84205</v>
      </c>
    </row>
    <row r="1206" spans="1:7">
      <c r="A1206" s="1" t="s">
        <v>3471</v>
      </c>
      <c r="B1206" s="1" t="s">
        <v>3472</v>
      </c>
      <c r="C1206">
        <f>(1-(B7/100))*54.22</f>
        <v>54.22</v>
      </c>
      <c r="D1206" s="1">
        <v>0</v>
      </c>
      <c r="E1206">
        <f>D1206*C1206</f>
        <v>0</v>
      </c>
      <c r="F1206" s="1" t="s">
        <v>3473</v>
      </c>
      <c r="G1206" s="17">
        <v>84206</v>
      </c>
    </row>
    <row r="1207" spans="1:7">
      <c r="A1207" s="1" t="s">
        <v>3474</v>
      </c>
      <c r="B1207" s="1" t="s">
        <v>3475</v>
      </c>
      <c r="C1207">
        <f>(1-(B7/100))*69.42</f>
        <v>69.42</v>
      </c>
      <c r="D1207" s="1">
        <v>0</v>
      </c>
      <c r="E1207">
        <f>D1207*C1207</f>
        <v>0</v>
      </c>
      <c r="F1207" s="1" t="s">
        <v>3476</v>
      </c>
      <c r="G1207" s="17">
        <v>84207</v>
      </c>
    </row>
    <row r="1208" spans="1:7">
      <c r="A1208" s="1" t="s">
        <v>3477</v>
      </c>
      <c r="B1208" s="1" t="s">
        <v>3478</v>
      </c>
      <c r="C1208">
        <f>(1-(B7/100))*48.05</f>
        <v>48.05</v>
      </c>
      <c r="D1208" s="1">
        <v>0</v>
      </c>
      <c r="E1208">
        <f>D1208*C1208</f>
        <v>0</v>
      </c>
      <c r="F1208" s="1" t="s">
        <v>3479</v>
      </c>
      <c r="G1208" s="17">
        <v>84212</v>
      </c>
    </row>
    <row r="1209" spans="1:7">
      <c r="A1209" s="1" t="s">
        <v>3480</v>
      </c>
      <c r="B1209" s="1" t="s">
        <v>3481</v>
      </c>
      <c r="C1209">
        <f>(1-(B7/100))*63.05</f>
        <v>63.05</v>
      </c>
      <c r="D1209" s="1">
        <v>0</v>
      </c>
      <c r="E1209">
        <f>D1209*C1209</f>
        <v>0</v>
      </c>
      <c r="F1209" s="1" t="s">
        <v>3482</v>
      </c>
      <c r="G1209" s="17">
        <v>84213</v>
      </c>
    </row>
    <row r="1210" spans="1:7">
      <c r="A1210" s="1" t="s">
        <v>3483</v>
      </c>
      <c r="B1210" s="1" t="s">
        <v>3484</v>
      </c>
      <c r="C1210">
        <f>(1-(B7/100))*114.54</f>
        <v>114.54</v>
      </c>
      <c r="D1210" s="1">
        <v>0</v>
      </c>
      <c r="E1210">
        <f>D1210*C1210</f>
        <v>0</v>
      </c>
      <c r="F1210" s="1" t="s">
        <v>3485</v>
      </c>
      <c r="G1210" s="17">
        <v>84215</v>
      </c>
    </row>
    <row r="1211" spans="1:7">
      <c r="A1211" s="1" t="s">
        <v>3486</v>
      </c>
      <c r="B1211" s="1" t="s">
        <v>3487</v>
      </c>
      <c r="C1211">
        <f>(1-(B7/100))*69.34</f>
        <v>69.34</v>
      </c>
      <c r="D1211" s="1">
        <v>0</v>
      </c>
      <c r="E1211">
        <f>D1211*C1211</f>
        <v>0</v>
      </c>
      <c r="F1211" s="1" t="s">
        <v>3488</v>
      </c>
      <c r="G1211" s="17">
        <v>84216</v>
      </c>
    </row>
    <row r="1212" spans="1:7">
      <c r="A1212" s="1" t="s">
        <v>3489</v>
      </c>
      <c r="B1212" s="1" t="s">
        <v>3490</v>
      </c>
      <c r="C1212">
        <f>(1-(B7/100))*61.24</f>
        <v>61.24</v>
      </c>
      <c r="D1212" s="1">
        <v>0</v>
      </c>
      <c r="E1212">
        <f>D1212*C1212</f>
        <v>0</v>
      </c>
      <c r="F1212" s="1" t="s">
        <v>3491</v>
      </c>
      <c r="G1212" s="17">
        <v>84218</v>
      </c>
    </row>
    <row r="1213" spans="1:7">
      <c r="A1213" s="1" t="s">
        <v>3492</v>
      </c>
      <c r="B1213" s="1" t="s">
        <v>3493</v>
      </c>
      <c r="C1213">
        <f>(1-(B7/100))*39.77</f>
        <v>39.77</v>
      </c>
      <c r="D1213" s="1">
        <v>0</v>
      </c>
      <c r="E1213">
        <f>D1213*C1213</f>
        <v>0</v>
      </c>
      <c r="F1213" s="1" t="s">
        <v>3494</v>
      </c>
      <c r="G1213" s="17">
        <v>84221</v>
      </c>
    </row>
    <row r="1214" spans="1:7">
      <c r="A1214" s="1" t="s">
        <v>3495</v>
      </c>
      <c r="B1214" s="1" t="s">
        <v>3496</v>
      </c>
      <c r="C1214">
        <f>(1-(B7/100))*75.61</f>
        <v>75.61</v>
      </c>
      <c r="D1214" s="1">
        <v>0</v>
      </c>
      <c r="E1214">
        <f>D1214*C1214</f>
        <v>0</v>
      </c>
      <c r="F1214" s="1" t="s">
        <v>3497</v>
      </c>
      <c r="G1214" s="17">
        <v>84222</v>
      </c>
    </row>
    <row r="1215" spans="1:7">
      <c r="A1215" s="1" t="s">
        <v>3498</v>
      </c>
      <c r="B1215" s="1" t="s">
        <v>3499</v>
      </c>
      <c r="C1215">
        <f>(1-(B7/100))*43.63</f>
        <v>43.63</v>
      </c>
      <c r="D1215" s="1">
        <v>0</v>
      </c>
      <c r="E1215">
        <f>D1215*C1215</f>
        <v>0</v>
      </c>
      <c r="F1215" s="1" t="s">
        <v>3500</v>
      </c>
      <c r="G1215" s="17">
        <v>84223</v>
      </c>
    </row>
    <row r="1216" spans="1:7">
      <c r="A1216" s="1" t="s">
        <v>3501</v>
      </c>
      <c r="B1216" s="1" t="s">
        <v>3502</v>
      </c>
      <c r="C1216">
        <f>(1-(B7/100))*44.64</f>
        <v>44.64</v>
      </c>
      <c r="D1216" s="1">
        <v>0</v>
      </c>
      <c r="E1216">
        <f>D1216*C1216</f>
        <v>0</v>
      </c>
      <c r="F1216" s="1" t="s">
        <v>3503</v>
      </c>
      <c r="G1216" s="17">
        <v>84226</v>
      </c>
    </row>
    <row r="1217" spans="1:7">
      <c r="A1217" s="1" t="s">
        <v>3504</v>
      </c>
      <c r="B1217" s="1" t="s">
        <v>3505</v>
      </c>
      <c r="C1217">
        <f>(1-(B7/100))*149.18</f>
        <v>149.18</v>
      </c>
      <c r="D1217" s="1">
        <v>0</v>
      </c>
      <c r="E1217">
        <f>D1217*C1217</f>
        <v>0</v>
      </c>
      <c r="F1217" s="1" t="s">
        <v>3506</v>
      </c>
      <c r="G1217" s="17">
        <v>84227</v>
      </c>
    </row>
    <row r="1218" spans="1:7">
      <c r="A1218" s="1" t="s">
        <v>3507</v>
      </c>
      <c r="B1218" s="1" t="s">
        <v>3508</v>
      </c>
      <c r="C1218">
        <f>(1-(B7/100))*41.94</f>
        <v>41.94</v>
      </c>
      <c r="D1218" s="1">
        <v>0</v>
      </c>
      <c r="E1218">
        <f>D1218*C1218</f>
        <v>0</v>
      </c>
      <c r="F1218" s="1" t="s">
        <v>3509</v>
      </c>
      <c r="G1218" s="17">
        <v>84228</v>
      </c>
    </row>
    <row r="1219" spans="1:7">
      <c r="A1219" s="1" t="s">
        <v>3510</v>
      </c>
      <c r="B1219" s="1" t="s">
        <v>3511</v>
      </c>
      <c r="C1219">
        <f>(1-(B7/100))*240.76</f>
        <v>240.76</v>
      </c>
      <c r="D1219" s="1">
        <v>0</v>
      </c>
      <c r="E1219">
        <f>D1219*C1219</f>
        <v>0</v>
      </c>
      <c r="F1219" s="1" t="s">
        <v>3512</v>
      </c>
      <c r="G1219" s="17">
        <v>84233</v>
      </c>
    </row>
    <row r="1220" spans="1:7">
      <c r="A1220" s="1" t="s">
        <v>3513</v>
      </c>
      <c r="B1220" s="1" t="s">
        <v>3514</v>
      </c>
      <c r="C1220">
        <f>(1-(B7/100))*53.13</f>
        <v>53.13</v>
      </c>
      <c r="D1220" s="1">
        <v>0</v>
      </c>
      <c r="E1220">
        <f>D1220*C1220</f>
        <v>0</v>
      </c>
      <c r="F1220" s="1" t="s">
        <v>3515</v>
      </c>
      <c r="G1220" s="17">
        <v>84235</v>
      </c>
    </row>
    <row r="1221" spans="1:7">
      <c r="A1221" s="16"/>
      <c r="B1221" s="16" t="s">
        <v>3516</v>
      </c>
      <c r="C1221" s="16"/>
      <c r="D1221" s="16"/>
      <c r="E1221" s="16"/>
      <c r="F1221" s="16"/>
    </row>
    <row r="1222" spans="1:7">
      <c r="A1222" s="16"/>
      <c r="B1222" s="16" t="s">
        <v>3517</v>
      </c>
      <c r="C1222" s="16"/>
      <c r="D1222" s="16"/>
      <c r="E1222" s="16"/>
      <c r="F1222" s="16"/>
    </row>
    <row r="1223" spans="1:7">
      <c r="A1223" s="16"/>
      <c r="B1223" s="16" t="s">
        <v>3518</v>
      </c>
      <c r="C1223" s="16"/>
      <c r="D1223" s="16"/>
      <c r="E1223" s="16"/>
      <c r="F1223" s="16"/>
    </row>
    <row r="1224" spans="1:7">
      <c r="A1224" s="1" t="s">
        <v>3519</v>
      </c>
      <c r="B1224" s="1" t="s">
        <v>3520</v>
      </c>
      <c r="C1224">
        <f>(1-(B7/100))*850</f>
        <v>850</v>
      </c>
      <c r="D1224" s="1">
        <v>0</v>
      </c>
      <c r="E1224">
        <f>D1224*C1224</f>
        <v>0</v>
      </c>
      <c r="F1224" s="1" t="s">
        <v>3521</v>
      </c>
      <c r="G1224" s="17">
        <v>65052</v>
      </c>
    </row>
    <row r="1225" spans="1:7">
      <c r="A1225" s="1" t="s">
        <v>3522</v>
      </c>
      <c r="B1225" s="1" t="s">
        <v>3523</v>
      </c>
      <c r="C1225">
        <f>(1-(B7/100))*1313.05</f>
        <v>1313.05</v>
      </c>
      <c r="D1225" s="1">
        <v>0</v>
      </c>
      <c r="E1225">
        <f>D1225*C1225</f>
        <v>0</v>
      </c>
      <c r="F1225" s="1" t="s">
        <v>3524</v>
      </c>
      <c r="G1225" s="17">
        <v>65055</v>
      </c>
    </row>
    <row r="1226" spans="1:7">
      <c r="A1226" s="1" t="s">
        <v>3525</v>
      </c>
      <c r="B1226" s="1" t="s">
        <v>3526</v>
      </c>
      <c r="C1226">
        <f>(1-(B7/100))*12500.21</f>
        <v>12500.21</v>
      </c>
      <c r="D1226" s="1">
        <v>0</v>
      </c>
      <c r="E1226">
        <f>D1226*C1226</f>
        <v>0</v>
      </c>
      <c r="F1226" s="1" t="s">
        <v>3527</v>
      </c>
      <c r="G1226" s="17">
        <v>65057</v>
      </c>
    </row>
    <row r="1227" spans="1:7">
      <c r="A1227" s="1" t="s">
        <v>3528</v>
      </c>
      <c r="B1227" s="1" t="s">
        <v>3529</v>
      </c>
      <c r="C1227">
        <f>(1-(B7/100))*12500.21</f>
        <v>12500.21</v>
      </c>
      <c r="D1227" s="1">
        <v>0</v>
      </c>
      <c r="E1227">
        <f>D1227*C1227</f>
        <v>0</v>
      </c>
      <c r="F1227" s="1" t="s">
        <v>3530</v>
      </c>
      <c r="G1227" s="17">
        <v>65058</v>
      </c>
    </row>
    <row r="1228" spans="1:7">
      <c r="A1228" s="1" t="s">
        <v>3531</v>
      </c>
      <c r="B1228" s="1" t="s">
        <v>3532</v>
      </c>
      <c r="C1228">
        <f>(1-(B7/100))*12049.74</f>
        <v>12049.74</v>
      </c>
      <c r="D1228" s="1">
        <v>0</v>
      </c>
      <c r="E1228">
        <f>D1228*C1228</f>
        <v>0</v>
      </c>
      <c r="F1228" s="1" t="s">
        <v>3533</v>
      </c>
      <c r="G1228" s="17">
        <v>65059</v>
      </c>
    </row>
    <row r="1229" spans="1:7">
      <c r="A1229" s="1" t="s">
        <v>3534</v>
      </c>
      <c r="B1229" s="1" t="s">
        <v>3535</v>
      </c>
      <c r="C1229">
        <f>(1-(B7/100))*12500.21</f>
        <v>12500.21</v>
      </c>
      <c r="D1229" s="1">
        <v>0</v>
      </c>
      <c r="E1229">
        <f>D1229*C1229</f>
        <v>0</v>
      </c>
      <c r="F1229" s="1" t="s">
        <v>3536</v>
      </c>
      <c r="G1229" s="17">
        <v>65060</v>
      </c>
    </row>
    <row r="1230" spans="1:7">
      <c r="A1230" s="1" t="s">
        <v>3537</v>
      </c>
      <c r="B1230" s="1" t="s">
        <v>3538</v>
      </c>
      <c r="C1230">
        <f>(1-(B7/100))*884.79</f>
        <v>884.79</v>
      </c>
      <c r="D1230" s="1">
        <v>0</v>
      </c>
      <c r="E1230">
        <f>D1230*C1230</f>
        <v>0</v>
      </c>
      <c r="F1230" s="1" t="s">
        <v>3539</v>
      </c>
      <c r="G1230" s="17">
        <v>76777</v>
      </c>
    </row>
    <row r="1231" spans="1:7">
      <c r="A1231" s="1" t="s">
        <v>3540</v>
      </c>
      <c r="B1231" s="1" t="s">
        <v>3541</v>
      </c>
      <c r="C1231">
        <f>(1-(B7/100))*83.58</f>
        <v>83.58</v>
      </c>
      <c r="D1231" s="1">
        <v>0</v>
      </c>
      <c r="E1231">
        <f>D1231*C1231</f>
        <v>0</v>
      </c>
      <c r="F1231" s="1" t="s">
        <v>3542</v>
      </c>
      <c r="G1231" s="17">
        <v>76782</v>
      </c>
    </row>
    <row r="1232" spans="1:7">
      <c r="A1232" s="1" t="s">
        <v>3543</v>
      </c>
      <c r="B1232" s="1" t="s">
        <v>3544</v>
      </c>
      <c r="C1232">
        <f>(1-(B7/100))*33.67</f>
        <v>33.67</v>
      </c>
      <c r="D1232" s="1">
        <v>0</v>
      </c>
      <c r="E1232">
        <f>D1232*C1232</f>
        <v>0</v>
      </c>
      <c r="F1232" s="1" t="s">
        <v>3545</v>
      </c>
      <c r="G1232" s="17">
        <v>76787</v>
      </c>
    </row>
    <row r="1233" spans="1:7">
      <c r="A1233" s="1" t="s">
        <v>3546</v>
      </c>
      <c r="B1233" s="1" t="s">
        <v>3547</v>
      </c>
      <c r="C1233">
        <f>(1-(B7/100))*1729.58</f>
        <v>1729.58</v>
      </c>
      <c r="D1233" s="1">
        <v>0</v>
      </c>
      <c r="E1233">
        <f>D1233*C1233</f>
        <v>0</v>
      </c>
      <c r="F1233" s="1" t="s">
        <v>3548</v>
      </c>
      <c r="G1233" s="17">
        <v>76789</v>
      </c>
    </row>
    <row r="1234" spans="1:7">
      <c r="A1234" s="1" t="s">
        <v>3549</v>
      </c>
      <c r="B1234" s="1" t="s">
        <v>3550</v>
      </c>
      <c r="C1234">
        <f>(1-(B7/100))*23.47</f>
        <v>23.47</v>
      </c>
      <c r="D1234" s="1">
        <v>0</v>
      </c>
      <c r="E1234">
        <f>D1234*C1234</f>
        <v>0</v>
      </c>
      <c r="F1234" s="1" t="s">
        <v>3551</v>
      </c>
      <c r="G1234" s="17">
        <v>76790</v>
      </c>
    </row>
    <row r="1235" spans="1:7">
      <c r="A1235" s="1" t="s">
        <v>3552</v>
      </c>
      <c r="B1235" s="1" t="s">
        <v>3553</v>
      </c>
      <c r="C1235">
        <f>(1-(B7/100))*55.35</f>
        <v>55.35</v>
      </c>
      <c r="D1235" s="1">
        <v>0</v>
      </c>
      <c r="E1235">
        <f>D1235*C1235</f>
        <v>0</v>
      </c>
      <c r="F1235" s="1" t="s">
        <v>3554</v>
      </c>
      <c r="G1235" s="17">
        <v>76794</v>
      </c>
    </row>
    <row r="1236" spans="1:7">
      <c r="A1236" s="1" t="s">
        <v>3555</v>
      </c>
      <c r="B1236" s="1" t="s">
        <v>3556</v>
      </c>
      <c r="C1236">
        <f>(1-(B7/100))*153.44</f>
        <v>153.44</v>
      </c>
      <c r="D1236" s="1">
        <v>0</v>
      </c>
      <c r="E1236">
        <f>D1236*C1236</f>
        <v>0</v>
      </c>
      <c r="F1236" s="1" t="s">
        <v>3557</v>
      </c>
      <c r="G1236" s="17">
        <v>76802</v>
      </c>
    </row>
    <row r="1237" spans="1:7">
      <c r="A1237" s="1" t="s">
        <v>3558</v>
      </c>
      <c r="B1237" s="1" t="s">
        <v>3559</v>
      </c>
      <c r="C1237">
        <f>(1-(B7/100))*19820.14</f>
        <v>19820.14</v>
      </c>
      <c r="D1237" s="1">
        <v>0</v>
      </c>
      <c r="E1237">
        <f>D1237*C1237</f>
        <v>0</v>
      </c>
      <c r="F1237" s="1" t="s">
        <v>3560</v>
      </c>
      <c r="G1237" s="17">
        <v>86321</v>
      </c>
    </row>
    <row r="1238" spans="1:7">
      <c r="A1238" s="16"/>
      <c r="B1238" s="16" t="s">
        <v>3561</v>
      </c>
      <c r="C1238" s="16"/>
      <c r="D1238" s="16"/>
      <c r="E1238" s="16"/>
      <c r="F1238" s="16"/>
    </row>
    <row r="1239" spans="1:7">
      <c r="A1239" s="1" t="s">
        <v>3562</v>
      </c>
      <c r="B1239" s="1" t="s">
        <v>3563</v>
      </c>
      <c r="C1239">
        <f>(1-(B7/100))*106.98</f>
        <v>106.98</v>
      </c>
      <c r="D1239" s="1">
        <v>0</v>
      </c>
      <c r="E1239">
        <f>D1239*C1239</f>
        <v>0</v>
      </c>
      <c r="F1239" s="1" t="s">
        <v>3564</v>
      </c>
      <c r="G1239" s="17">
        <v>62792</v>
      </c>
    </row>
    <row r="1240" spans="1:7">
      <c r="A1240" s="1" t="s">
        <v>3565</v>
      </c>
      <c r="B1240" s="1" t="s">
        <v>3566</v>
      </c>
      <c r="C1240">
        <f>(1-(B7/100))*106.98</f>
        <v>106.98</v>
      </c>
      <c r="D1240" s="1">
        <v>0</v>
      </c>
      <c r="E1240">
        <f>D1240*C1240</f>
        <v>0</v>
      </c>
      <c r="F1240" s="1" t="s">
        <v>3567</v>
      </c>
      <c r="G1240" s="17">
        <v>62793</v>
      </c>
    </row>
    <row r="1241" spans="1:7">
      <c r="A1241" s="1" t="s">
        <v>3568</v>
      </c>
      <c r="B1241" s="1" t="s">
        <v>3569</v>
      </c>
      <c r="C1241">
        <f>(1-(B7/100))*175.59</f>
        <v>175.59</v>
      </c>
      <c r="D1241" s="1">
        <v>0</v>
      </c>
      <c r="E1241">
        <f>D1241*C1241</f>
        <v>0</v>
      </c>
      <c r="F1241" s="1" t="s">
        <v>3570</v>
      </c>
      <c r="G1241" s="17">
        <v>62795</v>
      </c>
    </row>
    <row r="1242" spans="1:7">
      <c r="A1242" s="1" t="s">
        <v>3571</v>
      </c>
      <c r="B1242" s="1" t="s">
        <v>3572</v>
      </c>
      <c r="C1242">
        <f>(1-(B7/100))*175.59</f>
        <v>175.59</v>
      </c>
      <c r="D1242" s="1">
        <v>0</v>
      </c>
      <c r="E1242">
        <f>D1242*C1242</f>
        <v>0</v>
      </c>
      <c r="F1242" s="1" t="s">
        <v>3573</v>
      </c>
      <c r="G1242" s="17">
        <v>62796</v>
      </c>
    </row>
    <row r="1243" spans="1:7">
      <c r="A1243" s="1" t="s">
        <v>3574</v>
      </c>
      <c r="B1243" s="1" t="s">
        <v>3575</v>
      </c>
      <c r="C1243">
        <f>(1-(B7/100))*372.33</f>
        <v>372.33</v>
      </c>
      <c r="D1243" s="1">
        <v>0</v>
      </c>
      <c r="E1243">
        <f>D1243*C1243</f>
        <v>0</v>
      </c>
      <c r="F1243" s="1" t="s">
        <v>3576</v>
      </c>
      <c r="G1243" s="17">
        <v>62803</v>
      </c>
    </row>
    <row r="1244" spans="1:7">
      <c r="A1244" s="1" t="s">
        <v>3577</v>
      </c>
      <c r="B1244" s="1" t="s">
        <v>3578</v>
      </c>
      <c r="C1244">
        <f>(1-(B7/100))*282.22</f>
        <v>282.22</v>
      </c>
      <c r="D1244" s="1">
        <v>0</v>
      </c>
      <c r="E1244">
        <f>D1244*C1244</f>
        <v>0</v>
      </c>
      <c r="F1244" s="1" t="s">
        <v>3579</v>
      </c>
      <c r="G1244" s="17">
        <v>63225</v>
      </c>
    </row>
    <row r="1245" spans="1:7">
      <c r="A1245" s="1">
        <v>5105942</v>
      </c>
      <c r="B1245" s="1" t="s">
        <v>3580</v>
      </c>
      <c r="C1245">
        <f>(1-(B7/100))*68.39</f>
        <v>68.39</v>
      </c>
      <c r="D1245" s="1">
        <v>0</v>
      </c>
      <c r="E1245">
        <f>D1245*C1245</f>
        <v>0</v>
      </c>
      <c r="F1245" s="1" t="s">
        <v>3581</v>
      </c>
      <c r="G1245" s="17">
        <v>63299</v>
      </c>
    </row>
    <row r="1246" spans="1:7">
      <c r="A1246" s="1">
        <v>4778257</v>
      </c>
      <c r="B1246" s="1" t="s">
        <v>3582</v>
      </c>
      <c r="C1246">
        <f>(1-(B7/100))*166.81</f>
        <v>166.81</v>
      </c>
      <c r="D1246" s="1">
        <v>0</v>
      </c>
      <c r="E1246">
        <f>D1246*C1246</f>
        <v>0</v>
      </c>
      <c r="F1246" s="1" t="s">
        <v>3583</v>
      </c>
      <c r="G1246" s="17">
        <v>63301</v>
      </c>
    </row>
    <row r="1247" spans="1:7">
      <c r="A1247" s="1" t="s">
        <v>3584</v>
      </c>
      <c r="B1247" s="1" t="s">
        <v>3585</v>
      </c>
      <c r="C1247">
        <f>(1-(B7/100))*81.87</f>
        <v>81.87</v>
      </c>
      <c r="D1247" s="1">
        <v>0</v>
      </c>
      <c r="E1247">
        <f>D1247*C1247</f>
        <v>0</v>
      </c>
      <c r="F1247" s="1" t="s">
        <v>16</v>
      </c>
      <c r="G1247" s="17">
        <v>63374</v>
      </c>
    </row>
    <row r="1248" spans="1:7">
      <c r="A1248" s="1" t="s">
        <v>3586</v>
      </c>
      <c r="B1248" s="1" t="s">
        <v>3587</v>
      </c>
      <c r="C1248">
        <f>(1-(B7/100))*354.76</f>
        <v>354.76</v>
      </c>
      <c r="D1248" s="1">
        <v>0</v>
      </c>
      <c r="E1248">
        <f>D1248*C1248</f>
        <v>0</v>
      </c>
      <c r="F1248" s="1" t="s">
        <v>16</v>
      </c>
      <c r="G1248" s="17">
        <v>63573</v>
      </c>
    </row>
    <row r="1249" spans="1:7">
      <c r="A1249" s="1" t="s">
        <v>3588</v>
      </c>
      <c r="B1249" s="1" t="s">
        <v>3589</v>
      </c>
      <c r="C1249">
        <f>(1-(B7/100))*416.37</f>
        <v>416.37</v>
      </c>
      <c r="D1249" s="1">
        <v>0</v>
      </c>
      <c r="E1249">
        <f>D1249*C1249</f>
        <v>0</v>
      </c>
      <c r="F1249" s="1" t="s">
        <v>3590</v>
      </c>
      <c r="G1249" s="17">
        <v>63640</v>
      </c>
    </row>
    <row r="1250" spans="1:7">
      <c r="A1250" s="1" t="s">
        <v>3591</v>
      </c>
      <c r="B1250" s="1" t="s">
        <v>3592</v>
      </c>
      <c r="C1250">
        <f>(1-(B7/100))*250.34</f>
        <v>250.34</v>
      </c>
      <c r="D1250" s="1">
        <v>0</v>
      </c>
      <c r="E1250">
        <f>D1250*C1250</f>
        <v>0</v>
      </c>
      <c r="F1250" s="1" t="s">
        <v>3593</v>
      </c>
      <c r="G1250" s="17">
        <v>63658</v>
      </c>
    </row>
    <row r="1251" spans="1:7">
      <c r="A1251" s="1" t="s">
        <v>3594</v>
      </c>
      <c r="B1251" s="1" t="s">
        <v>3595</v>
      </c>
      <c r="C1251">
        <f>(1-(B7/100))*61.11</f>
        <v>61.11</v>
      </c>
      <c r="D1251" s="1">
        <v>0</v>
      </c>
      <c r="E1251">
        <f>D1251*C1251</f>
        <v>0</v>
      </c>
      <c r="F1251" s="1" t="s">
        <v>3596</v>
      </c>
      <c r="G1251" s="17">
        <v>63665</v>
      </c>
    </row>
    <row r="1252" spans="1:7">
      <c r="A1252" s="1" t="s">
        <v>3597</v>
      </c>
      <c r="B1252" s="1" t="s">
        <v>3598</v>
      </c>
      <c r="C1252">
        <f>(1-(B7/100))*282.24</f>
        <v>282.24</v>
      </c>
      <c r="D1252" s="1">
        <v>0</v>
      </c>
      <c r="E1252">
        <f>D1252*C1252</f>
        <v>0</v>
      </c>
      <c r="F1252" s="1" t="s">
        <v>3599</v>
      </c>
      <c r="G1252" s="17">
        <v>63666</v>
      </c>
    </row>
    <row r="1253" spans="1:7">
      <c r="A1253" s="1" t="s">
        <v>3600</v>
      </c>
      <c r="B1253" s="1" t="s">
        <v>3601</v>
      </c>
      <c r="C1253">
        <f>(1-(B7/100))*21.84</f>
        <v>21.84</v>
      </c>
      <c r="D1253" s="1">
        <v>0</v>
      </c>
      <c r="E1253">
        <f>D1253*C1253</f>
        <v>0</v>
      </c>
      <c r="F1253" s="1" t="s">
        <v>3602</v>
      </c>
      <c r="G1253" s="17">
        <v>63675</v>
      </c>
    </row>
    <row r="1254" spans="1:7">
      <c r="A1254" s="1" t="s">
        <v>3603</v>
      </c>
      <c r="B1254" s="1" t="s">
        <v>3604</v>
      </c>
      <c r="C1254">
        <f>(1-(B7/100))*17</f>
        <v>17</v>
      </c>
      <c r="D1254" s="1">
        <v>0</v>
      </c>
      <c r="E1254">
        <f>D1254*C1254</f>
        <v>0</v>
      </c>
      <c r="F1254" s="1" t="s">
        <v>3605</v>
      </c>
      <c r="G1254" s="17">
        <v>63679</v>
      </c>
    </row>
    <row r="1255" spans="1:7">
      <c r="A1255" s="1" t="s">
        <v>3606</v>
      </c>
      <c r="B1255" s="1" t="s">
        <v>3607</v>
      </c>
      <c r="C1255">
        <f>(1-(B7/100))*12.65</f>
        <v>12.65</v>
      </c>
      <c r="D1255" s="1">
        <v>0</v>
      </c>
      <c r="E1255">
        <f>D1255*C1255</f>
        <v>0</v>
      </c>
      <c r="F1255" s="1" t="s">
        <v>3608</v>
      </c>
      <c r="G1255" s="17">
        <v>63681</v>
      </c>
    </row>
    <row r="1256" spans="1:7">
      <c r="A1256" s="1" t="s">
        <v>3609</v>
      </c>
      <c r="B1256" s="1" t="s">
        <v>3610</v>
      </c>
      <c r="C1256">
        <f>(1-(B7/100))*126.23</f>
        <v>126.23</v>
      </c>
      <c r="D1256" s="1">
        <v>0</v>
      </c>
      <c r="E1256">
        <f>D1256*C1256</f>
        <v>0</v>
      </c>
      <c r="F1256" s="1" t="s">
        <v>3611</v>
      </c>
      <c r="G1256" s="17">
        <v>63695</v>
      </c>
    </row>
    <row r="1257" spans="1:7">
      <c r="A1257" s="1" t="s">
        <v>3612</v>
      </c>
      <c r="B1257" s="1" t="s">
        <v>3613</v>
      </c>
      <c r="C1257">
        <f>(1-(B7/100))*113.97</f>
        <v>113.97</v>
      </c>
      <c r="D1257" s="1">
        <v>0</v>
      </c>
      <c r="E1257">
        <f>D1257*C1257</f>
        <v>0</v>
      </c>
      <c r="F1257" s="1" t="s">
        <v>3614</v>
      </c>
      <c r="G1257" s="17">
        <v>63696</v>
      </c>
    </row>
    <row r="1258" spans="1:7">
      <c r="A1258" s="1" t="s">
        <v>3615</v>
      </c>
      <c r="B1258" s="1" t="s">
        <v>3616</v>
      </c>
      <c r="C1258">
        <f>(1-(B7/100))*382</f>
        <v>382</v>
      </c>
      <c r="D1258" s="1">
        <v>0</v>
      </c>
      <c r="E1258">
        <f>D1258*C1258</f>
        <v>0</v>
      </c>
      <c r="F1258" s="1" t="s">
        <v>3617</v>
      </c>
      <c r="G1258" s="17">
        <v>63702</v>
      </c>
    </row>
    <row r="1259" spans="1:7">
      <c r="A1259" s="1" t="s">
        <v>3618</v>
      </c>
      <c r="B1259" s="1" t="s">
        <v>3619</v>
      </c>
      <c r="C1259">
        <f>(1-(B7/100))*436.58</f>
        <v>436.58</v>
      </c>
      <c r="D1259" s="1">
        <v>0</v>
      </c>
      <c r="E1259">
        <f>D1259*C1259</f>
        <v>0</v>
      </c>
      <c r="F1259" s="1" t="s">
        <v>3620</v>
      </c>
      <c r="G1259" s="17">
        <v>63703</v>
      </c>
    </row>
    <row r="1260" spans="1:7">
      <c r="A1260" s="1" t="s">
        <v>3621</v>
      </c>
      <c r="B1260" s="1" t="s">
        <v>3622</v>
      </c>
      <c r="C1260">
        <f>(1-(B7/100))*106.98</f>
        <v>106.98</v>
      </c>
      <c r="D1260" s="1">
        <v>0</v>
      </c>
      <c r="E1260">
        <f>D1260*C1260</f>
        <v>0</v>
      </c>
      <c r="F1260" s="1" t="s">
        <v>3623</v>
      </c>
      <c r="G1260" s="17">
        <v>63711</v>
      </c>
    </row>
    <row r="1261" spans="1:7">
      <c r="A1261" s="1" t="s">
        <v>3624</v>
      </c>
      <c r="B1261" s="1" t="s">
        <v>3625</v>
      </c>
      <c r="C1261">
        <f>(1-(B7/100))*208.2</f>
        <v>208.2</v>
      </c>
      <c r="D1261" s="1">
        <v>0</v>
      </c>
      <c r="E1261">
        <f>D1261*C1261</f>
        <v>0</v>
      </c>
      <c r="F1261" s="1" t="s">
        <v>3626</v>
      </c>
      <c r="G1261" s="17">
        <v>63714</v>
      </c>
    </row>
    <row r="1262" spans="1:7">
      <c r="A1262" s="1" t="s">
        <v>3627</v>
      </c>
      <c r="B1262" s="1" t="s">
        <v>3628</v>
      </c>
      <c r="C1262">
        <f>(1-(B7/100))*320.32</f>
        <v>320.32</v>
      </c>
      <c r="D1262" s="1">
        <v>0</v>
      </c>
      <c r="E1262">
        <f>D1262*C1262</f>
        <v>0</v>
      </c>
      <c r="F1262" s="1" t="s">
        <v>3629</v>
      </c>
      <c r="G1262" s="17">
        <v>63966</v>
      </c>
    </row>
    <row r="1263" spans="1:7">
      <c r="A1263" s="1" t="s">
        <v>3630</v>
      </c>
      <c r="B1263" s="1" t="s">
        <v>3631</v>
      </c>
      <c r="C1263">
        <f>(1-(B7/100))*320.32</f>
        <v>320.32</v>
      </c>
      <c r="D1263" s="1">
        <v>0</v>
      </c>
      <c r="E1263">
        <f>D1263*C1263</f>
        <v>0</v>
      </c>
      <c r="F1263" s="1" t="s">
        <v>3632</v>
      </c>
      <c r="G1263" s="17">
        <v>63967</v>
      </c>
    </row>
    <row r="1264" spans="1:7">
      <c r="A1264" s="1" t="s">
        <v>3633</v>
      </c>
      <c r="B1264" s="1" t="s">
        <v>3634</v>
      </c>
      <c r="C1264">
        <f>(1-(B7/100))*320.32</f>
        <v>320.32</v>
      </c>
      <c r="D1264" s="1">
        <v>0</v>
      </c>
      <c r="E1264">
        <f>D1264*C1264</f>
        <v>0</v>
      </c>
      <c r="F1264" s="1" t="s">
        <v>3635</v>
      </c>
      <c r="G1264" s="17">
        <v>63968</v>
      </c>
    </row>
    <row r="1265" spans="1:7">
      <c r="A1265" s="1" t="s">
        <v>3636</v>
      </c>
      <c r="B1265" s="1" t="s">
        <v>3637</v>
      </c>
      <c r="C1265">
        <f>(1-(B7/100))*765.63</f>
        <v>765.63</v>
      </c>
      <c r="D1265" s="1">
        <v>0</v>
      </c>
      <c r="E1265">
        <f>D1265*C1265</f>
        <v>0</v>
      </c>
      <c r="F1265" s="1" t="s">
        <v>3638</v>
      </c>
      <c r="G1265" s="17">
        <v>63979</v>
      </c>
    </row>
    <row r="1266" spans="1:7">
      <c r="A1266" s="1" t="s">
        <v>3639</v>
      </c>
      <c r="B1266" s="1" t="s">
        <v>3640</v>
      </c>
      <c r="C1266">
        <f>(1-(B7/100))*416.67</f>
        <v>416.67</v>
      </c>
      <c r="D1266" s="1">
        <v>0</v>
      </c>
      <c r="E1266">
        <f>D1266*C1266</f>
        <v>0</v>
      </c>
      <c r="F1266" s="1" t="s">
        <v>3641</v>
      </c>
      <c r="G1266" s="17">
        <v>63980</v>
      </c>
    </row>
    <row r="1267" spans="1:7">
      <c r="A1267" s="1" t="s">
        <v>3642</v>
      </c>
      <c r="B1267" s="1" t="s">
        <v>3643</v>
      </c>
      <c r="C1267">
        <f>(1-(B7/100))*398.73</f>
        <v>398.73</v>
      </c>
      <c r="D1267" s="1">
        <v>0</v>
      </c>
      <c r="E1267">
        <f>D1267*C1267</f>
        <v>0</v>
      </c>
      <c r="F1267" s="1" t="s">
        <v>3644</v>
      </c>
      <c r="G1267" s="17">
        <v>63981</v>
      </c>
    </row>
    <row r="1268" spans="1:7">
      <c r="A1268" s="1" t="s">
        <v>3645</v>
      </c>
      <c r="B1268" s="1" t="s">
        <v>3646</v>
      </c>
      <c r="C1268">
        <f>(1-(B7/100))*416.67</f>
        <v>416.67</v>
      </c>
      <c r="D1268" s="1">
        <v>0</v>
      </c>
      <c r="E1268">
        <f>D1268*C1268</f>
        <v>0</v>
      </c>
      <c r="F1268" s="1" t="s">
        <v>3647</v>
      </c>
      <c r="G1268" s="17">
        <v>63982</v>
      </c>
    </row>
    <row r="1269" spans="1:7">
      <c r="A1269" s="1" t="s">
        <v>3648</v>
      </c>
      <c r="B1269" s="1" t="s">
        <v>3649</v>
      </c>
      <c r="C1269">
        <f>(1-(B7/100))*394.15</f>
        <v>394.15</v>
      </c>
      <c r="D1269" s="1">
        <v>0</v>
      </c>
      <c r="E1269">
        <f>D1269*C1269</f>
        <v>0</v>
      </c>
      <c r="F1269" s="1" t="s">
        <v>3650</v>
      </c>
      <c r="G1269" s="17">
        <v>63983</v>
      </c>
    </row>
    <row r="1270" spans="1:7">
      <c r="A1270" s="1" t="s">
        <v>3651</v>
      </c>
      <c r="B1270" s="1" t="s">
        <v>3652</v>
      </c>
      <c r="C1270">
        <f>(1-(B7/100))*450.46</f>
        <v>450.46</v>
      </c>
      <c r="D1270" s="1">
        <v>0</v>
      </c>
      <c r="E1270">
        <f>D1270*C1270</f>
        <v>0</v>
      </c>
      <c r="F1270" s="1" t="s">
        <v>3653</v>
      </c>
      <c r="G1270" s="17">
        <v>63984</v>
      </c>
    </row>
    <row r="1271" spans="1:7">
      <c r="A1271" s="1" t="s">
        <v>3654</v>
      </c>
      <c r="B1271" s="1" t="s">
        <v>3655</v>
      </c>
      <c r="C1271">
        <f>(1-(B7/100))*265.96</f>
        <v>265.96</v>
      </c>
      <c r="D1271" s="1">
        <v>0</v>
      </c>
      <c r="E1271">
        <f>D1271*C1271</f>
        <v>0</v>
      </c>
      <c r="F1271" s="1" t="s">
        <v>3656</v>
      </c>
      <c r="G1271" s="17">
        <v>64029</v>
      </c>
    </row>
    <row r="1272" spans="1:7">
      <c r="A1272" s="1" t="s">
        <v>3657</v>
      </c>
      <c r="B1272" s="1" t="s">
        <v>3658</v>
      </c>
      <c r="C1272">
        <f>(1-(B7/100))*265.96</f>
        <v>265.96</v>
      </c>
      <c r="D1272" s="1">
        <v>0</v>
      </c>
      <c r="E1272">
        <f>D1272*C1272</f>
        <v>0</v>
      </c>
      <c r="F1272" s="1" t="s">
        <v>3659</v>
      </c>
      <c r="G1272" s="17">
        <v>64030</v>
      </c>
    </row>
    <row r="1273" spans="1:7">
      <c r="A1273" s="1" t="s">
        <v>3660</v>
      </c>
      <c r="B1273" s="1" t="s">
        <v>3661</v>
      </c>
      <c r="C1273">
        <f>(1-(B7/100))*436.56</f>
        <v>436.56</v>
      </c>
      <c r="D1273" s="1">
        <v>0</v>
      </c>
      <c r="E1273">
        <f>D1273*C1273</f>
        <v>0</v>
      </c>
      <c r="F1273" s="1" t="s">
        <v>3662</v>
      </c>
      <c r="G1273" s="17">
        <v>64165</v>
      </c>
    </row>
    <row r="1274" spans="1:7">
      <c r="A1274" s="1" t="s">
        <v>3663</v>
      </c>
      <c r="B1274" s="1" t="s">
        <v>3664</v>
      </c>
      <c r="C1274">
        <f>(1-(B7/100))*430.55</f>
        <v>430.55</v>
      </c>
      <c r="D1274" s="1">
        <v>0</v>
      </c>
      <c r="E1274">
        <f>D1274*C1274</f>
        <v>0</v>
      </c>
      <c r="F1274" s="1" t="s">
        <v>3665</v>
      </c>
      <c r="G1274" s="17">
        <v>64389</v>
      </c>
    </row>
    <row r="1275" spans="1:7">
      <c r="A1275" s="1" t="s">
        <v>3666</v>
      </c>
      <c r="B1275" s="1" t="s">
        <v>3667</v>
      </c>
      <c r="C1275">
        <f>(1-(B7/100))*334.04</f>
        <v>334.04</v>
      </c>
      <c r="D1275" s="1">
        <v>0</v>
      </c>
      <c r="E1275">
        <f>D1275*C1275</f>
        <v>0</v>
      </c>
      <c r="F1275" s="1" t="s">
        <v>3668</v>
      </c>
      <c r="G1275" s="17">
        <v>64413</v>
      </c>
    </row>
    <row r="1276" spans="1:7">
      <c r="A1276" s="1" t="s">
        <v>3669</v>
      </c>
      <c r="B1276" s="1" t="s">
        <v>3670</v>
      </c>
      <c r="C1276">
        <f>(1-(B7/100))*479.76</f>
        <v>479.76</v>
      </c>
      <c r="D1276" s="1">
        <v>0</v>
      </c>
      <c r="E1276">
        <f>D1276*C1276</f>
        <v>0</v>
      </c>
      <c r="F1276" s="1" t="s">
        <v>3671</v>
      </c>
      <c r="G1276" s="17">
        <v>64425</v>
      </c>
    </row>
    <row r="1277" spans="1:7">
      <c r="A1277" s="1" t="s">
        <v>3672</v>
      </c>
      <c r="B1277" s="1" t="s">
        <v>3673</v>
      </c>
      <c r="C1277">
        <f>(1-(B7/100))*360.53</f>
        <v>360.53</v>
      </c>
      <c r="D1277" s="1">
        <v>0</v>
      </c>
      <c r="E1277">
        <f>D1277*C1277</f>
        <v>0</v>
      </c>
      <c r="F1277" s="1" t="s">
        <v>3674</v>
      </c>
      <c r="G1277" s="17">
        <v>64438</v>
      </c>
    </row>
    <row r="1278" spans="1:7">
      <c r="A1278" s="1" t="s">
        <v>3675</v>
      </c>
      <c r="B1278" s="1" t="s">
        <v>3676</v>
      </c>
      <c r="C1278">
        <f>(1-(B7/100))*668.42</f>
        <v>668.42</v>
      </c>
      <c r="D1278" s="1">
        <v>0</v>
      </c>
      <c r="E1278">
        <f>D1278*C1278</f>
        <v>0</v>
      </c>
      <c r="F1278" s="1" t="s">
        <v>3677</v>
      </c>
      <c r="G1278" s="17">
        <v>64578</v>
      </c>
    </row>
    <row r="1279" spans="1:7">
      <c r="A1279" s="1" t="s">
        <v>3678</v>
      </c>
      <c r="B1279" s="1" t="s">
        <v>3679</v>
      </c>
      <c r="C1279">
        <f>(1-(B7/100))*668.42</f>
        <v>668.42</v>
      </c>
      <c r="D1279" s="1">
        <v>0</v>
      </c>
      <c r="E1279">
        <f>D1279*C1279</f>
        <v>0</v>
      </c>
      <c r="F1279" s="1" t="s">
        <v>3680</v>
      </c>
      <c r="G1279" s="17">
        <v>64579</v>
      </c>
    </row>
    <row r="1280" spans="1:7">
      <c r="A1280" s="1" t="s">
        <v>3681</v>
      </c>
      <c r="B1280" s="1" t="s">
        <v>3682</v>
      </c>
      <c r="C1280">
        <f>(1-(B7/100))*668.42</f>
        <v>668.42</v>
      </c>
      <c r="D1280" s="1">
        <v>0</v>
      </c>
      <c r="E1280">
        <f>D1280*C1280</f>
        <v>0</v>
      </c>
      <c r="F1280" s="1" t="s">
        <v>3683</v>
      </c>
      <c r="G1280" s="17">
        <v>64580</v>
      </c>
    </row>
    <row r="1281" spans="1:7">
      <c r="A1281" s="1" t="s">
        <v>3684</v>
      </c>
      <c r="B1281" s="1" t="s">
        <v>3685</v>
      </c>
      <c r="C1281">
        <f>(1-(B7/100))*668.42</f>
        <v>668.42</v>
      </c>
      <c r="D1281" s="1">
        <v>0</v>
      </c>
      <c r="E1281">
        <f>D1281*C1281</f>
        <v>0</v>
      </c>
      <c r="F1281" s="1" t="s">
        <v>3686</v>
      </c>
      <c r="G1281" s="17">
        <v>64581</v>
      </c>
    </row>
    <row r="1282" spans="1:7">
      <c r="A1282" s="1" t="s">
        <v>3687</v>
      </c>
      <c r="B1282" s="1" t="s">
        <v>3688</v>
      </c>
      <c r="C1282">
        <f>(1-(B7/100))*668.42</f>
        <v>668.42</v>
      </c>
      <c r="D1282" s="1">
        <v>0</v>
      </c>
      <c r="E1282">
        <f>D1282*C1282</f>
        <v>0</v>
      </c>
      <c r="F1282" s="1" t="s">
        <v>3689</v>
      </c>
      <c r="G1282" s="17">
        <v>64582</v>
      </c>
    </row>
    <row r="1283" spans="1:7">
      <c r="A1283" s="1" t="s">
        <v>3690</v>
      </c>
      <c r="B1283" s="1" t="s">
        <v>3691</v>
      </c>
      <c r="C1283">
        <f>(1-(B7/100))*1661.98</f>
        <v>1661.98</v>
      </c>
      <c r="D1283" s="1">
        <v>0</v>
      </c>
      <c r="E1283">
        <f>D1283*C1283</f>
        <v>0</v>
      </c>
      <c r="F1283" s="1" t="s">
        <v>3692</v>
      </c>
      <c r="G1283" s="17">
        <v>64588</v>
      </c>
    </row>
    <row r="1284" spans="1:7">
      <c r="A1284" s="1" t="s">
        <v>3693</v>
      </c>
      <c r="B1284" s="1" t="s">
        <v>3694</v>
      </c>
      <c r="C1284">
        <f>(1-(B7/100))*1661.98</f>
        <v>1661.98</v>
      </c>
      <c r="D1284" s="1">
        <v>0</v>
      </c>
      <c r="E1284">
        <f>D1284*C1284</f>
        <v>0</v>
      </c>
      <c r="F1284" s="1" t="s">
        <v>3695</v>
      </c>
      <c r="G1284" s="17">
        <v>64589</v>
      </c>
    </row>
    <row r="1285" spans="1:7">
      <c r="A1285" s="1" t="s">
        <v>3696</v>
      </c>
      <c r="B1285" s="1" t="s">
        <v>3697</v>
      </c>
      <c r="C1285">
        <f>(1-(B7/100))*1657.71</f>
        <v>1657.71</v>
      </c>
      <c r="D1285" s="1">
        <v>0</v>
      </c>
      <c r="E1285">
        <f>D1285*C1285</f>
        <v>0</v>
      </c>
      <c r="F1285" s="1" t="s">
        <v>3698</v>
      </c>
      <c r="G1285" s="17">
        <v>64590</v>
      </c>
    </row>
    <row r="1286" spans="1:7">
      <c r="A1286" s="1" t="s">
        <v>3699</v>
      </c>
      <c r="B1286" s="1" t="s">
        <v>3700</v>
      </c>
      <c r="C1286">
        <f>(1-(B7/100))*1659.85</f>
        <v>1659.85</v>
      </c>
      <c r="D1286" s="1">
        <v>0</v>
      </c>
      <c r="E1286">
        <f>D1286*C1286</f>
        <v>0</v>
      </c>
      <c r="F1286" s="1" t="s">
        <v>3701</v>
      </c>
      <c r="G1286" s="17">
        <v>64591</v>
      </c>
    </row>
    <row r="1287" spans="1:7">
      <c r="A1287" s="1" t="s">
        <v>3702</v>
      </c>
      <c r="B1287" s="1" t="s">
        <v>3703</v>
      </c>
      <c r="C1287">
        <f>(1-(B7/100))*1661.98</f>
        <v>1661.98</v>
      </c>
      <c r="D1287" s="1">
        <v>0</v>
      </c>
      <c r="E1287">
        <f>D1287*C1287</f>
        <v>0</v>
      </c>
      <c r="F1287" s="1" t="s">
        <v>3704</v>
      </c>
      <c r="G1287" s="17">
        <v>64592</v>
      </c>
    </row>
    <row r="1288" spans="1:7">
      <c r="A1288" s="1" t="s">
        <v>3705</v>
      </c>
      <c r="B1288" s="1" t="s">
        <v>3706</v>
      </c>
      <c r="C1288">
        <f>(1-(B7/100))*277.64</f>
        <v>277.64</v>
      </c>
      <c r="D1288" s="1">
        <v>0</v>
      </c>
      <c r="E1288">
        <f>D1288*C1288</f>
        <v>0</v>
      </c>
      <c r="F1288" s="1" t="s">
        <v>3707</v>
      </c>
      <c r="G1288" s="17">
        <v>64822</v>
      </c>
    </row>
    <row r="1289" spans="1:7">
      <c r="A1289" s="1" t="s">
        <v>3708</v>
      </c>
      <c r="B1289" s="1" t="s">
        <v>3709</v>
      </c>
      <c r="C1289">
        <f>(1-(B7/100))*186.5</f>
        <v>186.5</v>
      </c>
      <c r="D1289" s="1">
        <v>0</v>
      </c>
      <c r="E1289">
        <f>D1289*C1289</f>
        <v>0</v>
      </c>
      <c r="F1289" s="1" t="s">
        <v>3710</v>
      </c>
      <c r="G1289" s="17">
        <v>64846</v>
      </c>
    </row>
    <row r="1290" spans="1:7">
      <c r="A1290" s="1" t="s">
        <v>3711</v>
      </c>
      <c r="B1290" s="1" t="s">
        <v>3712</v>
      </c>
      <c r="C1290">
        <f>(1-(B7/100))*163.06</f>
        <v>163.06</v>
      </c>
      <c r="D1290" s="1">
        <v>0</v>
      </c>
      <c r="E1290">
        <f>D1290*C1290</f>
        <v>0</v>
      </c>
      <c r="F1290" s="1" t="s">
        <v>3713</v>
      </c>
      <c r="G1290" s="17">
        <v>64847</v>
      </c>
    </row>
    <row r="1291" spans="1:7">
      <c r="A1291" s="1" t="s">
        <v>3714</v>
      </c>
      <c r="B1291" s="1" t="s">
        <v>3715</v>
      </c>
      <c r="C1291">
        <f>(1-(B7/100))*182.6</f>
        <v>182.6</v>
      </c>
      <c r="D1291" s="1">
        <v>0</v>
      </c>
      <c r="E1291">
        <f>D1291*C1291</f>
        <v>0</v>
      </c>
      <c r="F1291" s="1" t="s">
        <v>3716</v>
      </c>
      <c r="G1291" s="17">
        <v>64848</v>
      </c>
    </row>
    <row r="1292" spans="1:7">
      <c r="A1292" s="1" t="s">
        <v>3717</v>
      </c>
      <c r="B1292" s="1" t="s">
        <v>3718</v>
      </c>
      <c r="C1292">
        <f>(1-(B7/100))*195.82</f>
        <v>195.82</v>
      </c>
      <c r="D1292" s="1">
        <v>0</v>
      </c>
      <c r="E1292">
        <f>D1292*C1292</f>
        <v>0</v>
      </c>
      <c r="F1292" s="1" t="s">
        <v>3719</v>
      </c>
      <c r="G1292" s="17">
        <v>64849</v>
      </c>
    </row>
    <row r="1293" spans="1:7">
      <c r="A1293" s="1" t="s">
        <v>3720</v>
      </c>
      <c r="B1293" s="1" t="s">
        <v>3721</v>
      </c>
      <c r="C1293">
        <f>(1-(B7/100))*73.87</f>
        <v>73.87</v>
      </c>
      <c r="D1293" s="1">
        <v>0</v>
      </c>
      <c r="E1293">
        <f>D1293*C1293</f>
        <v>0</v>
      </c>
      <c r="F1293" s="1" t="s">
        <v>3722</v>
      </c>
      <c r="G1293" s="17">
        <v>64920</v>
      </c>
    </row>
    <row r="1294" spans="1:7">
      <c r="A1294" s="1" t="s">
        <v>3723</v>
      </c>
      <c r="B1294" s="1" t="s">
        <v>3724</v>
      </c>
      <c r="C1294">
        <f>(1-(B7/100))*217.5</f>
        <v>217.5</v>
      </c>
      <c r="D1294" s="1">
        <v>0</v>
      </c>
      <c r="E1294">
        <f>D1294*C1294</f>
        <v>0</v>
      </c>
      <c r="F1294" s="1" t="s">
        <v>3725</v>
      </c>
      <c r="G1294" s="17">
        <v>64921</v>
      </c>
    </row>
    <row r="1295" spans="1:7">
      <c r="A1295" s="1" t="s">
        <v>3726</v>
      </c>
      <c r="B1295" s="1" t="s">
        <v>3727</v>
      </c>
      <c r="C1295">
        <f>(1-(B7/100))*92.84</f>
        <v>92.84</v>
      </c>
      <c r="D1295" s="1">
        <v>0</v>
      </c>
      <c r="E1295">
        <f>D1295*C1295</f>
        <v>0</v>
      </c>
      <c r="F1295" s="1" t="s">
        <v>3728</v>
      </c>
      <c r="G1295" s="17">
        <v>65089</v>
      </c>
    </row>
    <row r="1296" spans="1:7">
      <c r="A1296" s="1" t="s">
        <v>3729</v>
      </c>
      <c r="B1296" s="1" t="s">
        <v>3730</v>
      </c>
      <c r="C1296">
        <f>(1-(B7/100))*92.84</f>
        <v>92.84</v>
      </c>
      <c r="D1296" s="1">
        <v>0</v>
      </c>
      <c r="E1296">
        <f>D1296*C1296</f>
        <v>0</v>
      </c>
      <c r="F1296" s="1" t="s">
        <v>3731</v>
      </c>
      <c r="G1296" s="17">
        <v>65090</v>
      </c>
    </row>
    <row r="1297" spans="1:7">
      <c r="A1297" s="1" t="s">
        <v>3732</v>
      </c>
      <c r="B1297" s="1" t="s">
        <v>3733</v>
      </c>
      <c r="C1297">
        <f>(1-(B7/100))*106.98</f>
        <v>106.98</v>
      </c>
      <c r="D1297" s="1">
        <v>0</v>
      </c>
      <c r="E1297">
        <f>D1297*C1297</f>
        <v>0</v>
      </c>
      <c r="F1297" s="1" t="s">
        <v>3734</v>
      </c>
      <c r="G1297" s="17">
        <v>65091</v>
      </c>
    </row>
    <row r="1298" spans="1:7">
      <c r="A1298" s="1" t="s">
        <v>3735</v>
      </c>
      <c r="B1298" s="1" t="s">
        <v>3736</v>
      </c>
      <c r="C1298">
        <f>(1-(B7/100))*373.73</f>
        <v>373.73</v>
      </c>
      <c r="D1298" s="1">
        <v>0</v>
      </c>
      <c r="E1298">
        <f>D1298*C1298</f>
        <v>0</v>
      </c>
      <c r="F1298" s="1" t="s">
        <v>3737</v>
      </c>
      <c r="G1298" s="17">
        <v>65093</v>
      </c>
    </row>
    <row r="1299" spans="1:7">
      <c r="A1299" s="1" t="s">
        <v>3738</v>
      </c>
      <c r="B1299" s="1" t="s">
        <v>3739</v>
      </c>
      <c r="C1299">
        <f>(1-(B7/100))*444.81</f>
        <v>444.81</v>
      </c>
      <c r="D1299" s="1">
        <v>0</v>
      </c>
      <c r="E1299">
        <f>D1299*C1299</f>
        <v>0</v>
      </c>
      <c r="F1299" s="1" t="s">
        <v>3740</v>
      </c>
      <c r="G1299" s="17">
        <v>65095</v>
      </c>
    </row>
    <row r="1300" spans="1:7">
      <c r="A1300" s="1" t="s">
        <v>3741</v>
      </c>
      <c r="B1300" s="1" t="s">
        <v>3742</v>
      </c>
      <c r="C1300">
        <f>(1-(B7/100))*389.51</f>
        <v>389.51</v>
      </c>
      <c r="D1300" s="1">
        <v>0</v>
      </c>
      <c r="E1300">
        <f>D1300*C1300</f>
        <v>0</v>
      </c>
      <c r="F1300" s="1" t="s">
        <v>3743</v>
      </c>
      <c r="G1300" s="17">
        <v>65096</v>
      </c>
    </row>
    <row r="1301" spans="1:7">
      <c r="A1301" s="1" t="s">
        <v>3744</v>
      </c>
      <c r="B1301" s="1" t="s">
        <v>3745</v>
      </c>
      <c r="C1301">
        <f>(1-(B7/100))*391.97</f>
        <v>391.97</v>
      </c>
      <c r="D1301" s="1">
        <v>0</v>
      </c>
      <c r="E1301">
        <f>D1301*C1301</f>
        <v>0</v>
      </c>
      <c r="F1301" s="1" t="s">
        <v>3746</v>
      </c>
      <c r="G1301" s="17">
        <v>65097</v>
      </c>
    </row>
    <row r="1302" spans="1:7">
      <c r="A1302" s="1" t="s">
        <v>3747</v>
      </c>
      <c r="B1302" s="1" t="s">
        <v>3748</v>
      </c>
      <c r="C1302">
        <f>(1-(B7/100))*354.74</f>
        <v>354.74</v>
      </c>
      <c r="D1302" s="1">
        <v>0</v>
      </c>
      <c r="E1302">
        <f>D1302*C1302</f>
        <v>0</v>
      </c>
      <c r="F1302" s="1" t="s">
        <v>3749</v>
      </c>
      <c r="G1302" s="17">
        <v>65098</v>
      </c>
    </row>
    <row r="1303" spans="1:7">
      <c r="A1303" s="1" t="s">
        <v>3750</v>
      </c>
      <c r="B1303" s="1" t="s">
        <v>3751</v>
      </c>
      <c r="C1303">
        <f>(1-(B7/100))*426</f>
        <v>426</v>
      </c>
      <c r="D1303" s="1">
        <v>0</v>
      </c>
      <c r="E1303">
        <f>D1303*C1303</f>
        <v>0</v>
      </c>
      <c r="F1303" s="1" t="s">
        <v>3752</v>
      </c>
      <c r="G1303" s="17">
        <v>65099</v>
      </c>
    </row>
    <row r="1304" spans="1:7">
      <c r="A1304" s="1" t="s">
        <v>3753</v>
      </c>
      <c r="B1304" s="1" t="s">
        <v>3754</v>
      </c>
      <c r="C1304">
        <f>(1-(B7/100))*145.92</f>
        <v>145.92</v>
      </c>
      <c r="D1304" s="1">
        <v>0</v>
      </c>
      <c r="E1304">
        <f>D1304*C1304</f>
        <v>0</v>
      </c>
      <c r="F1304" s="1" t="s">
        <v>3755</v>
      </c>
      <c r="G1304" s="17">
        <v>65102</v>
      </c>
    </row>
    <row r="1305" spans="1:7">
      <c r="A1305" s="1" t="s">
        <v>3756</v>
      </c>
      <c r="B1305" s="1" t="s">
        <v>3757</v>
      </c>
      <c r="C1305">
        <f>(1-(B7/100))*54.58</f>
        <v>54.58</v>
      </c>
      <c r="D1305" s="1">
        <v>0</v>
      </c>
      <c r="E1305">
        <f>D1305*C1305</f>
        <v>0</v>
      </c>
      <c r="F1305" s="1" t="s">
        <v>3758</v>
      </c>
      <c r="G1305" s="17">
        <v>65128</v>
      </c>
    </row>
    <row r="1306" spans="1:7">
      <c r="A1306" s="1" t="s">
        <v>3759</v>
      </c>
      <c r="B1306" s="1" t="s">
        <v>3760</v>
      </c>
      <c r="C1306">
        <f>(1-(B7/100))*430.96</f>
        <v>430.96</v>
      </c>
      <c r="D1306" s="1">
        <v>0</v>
      </c>
      <c r="E1306">
        <f>D1306*C1306</f>
        <v>0</v>
      </c>
      <c r="F1306" s="1" t="s">
        <v>3761</v>
      </c>
      <c r="G1306" s="17">
        <v>65153</v>
      </c>
    </row>
    <row r="1307" spans="1:7">
      <c r="A1307" s="1" t="s">
        <v>3762</v>
      </c>
      <c r="B1307" s="1" t="s">
        <v>3763</v>
      </c>
      <c r="C1307">
        <f>(1-(B7/100))*273.31</f>
        <v>273.31</v>
      </c>
      <c r="D1307" s="1">
        <v>0</v>
      </c>
      <c r="E1307">
        <f>D1307*C1307</f>
        <v>0</v>
      </c>
      <c r="F1307" s="1" t="s">
        <v>3764</v>
      </c>
      <c r="G1307" s="17">
        <v>65170</v>
      </c>
    </row>
    <row r="1308" spans="1:7">
      <c r="A1308" s="1" t="s">
        <v>3765</v>
      </c>
      <c r="B1308" s="1" t="s">
        <v>3766</v>
      </c>
      <c r="C1308">
        <f>(1-(B7/100))*254.31</f>
        <v>254.31</v>
      </c>
      <c r="D1308" s="1">
        <v>0</v>
      </c>
      <c r="E1308">
        <f>D1308*C1308</f>
        <v>0</v>
      </c>
      <c r="F1308" s="1" t="s">
        <v>3767</v>
      </c>
      <c r="G1308" s="17">
        <v>65196</v>
      </c>
    </row>
    <row r="1309" spans="1:7">
      <c r="A1309" s="1" t="s">
        <v>3768</v>
      </c>
      <c r="B1309" s="1" t="s">
        <v>3769</v>
      </c>
      <c r="C1309">
        <f>(1-(B7/100))*378.19</f>
        <v>378.19</v>
      </c>
      <c r="D1309" s="1">
        <v>0</v>
      </c>
      <c r="E1309">
        <f>D1309*C1309</f>
        <v>0</v>
      </c>
      <c r="F1309" s="1" t="s">
        <v>3770</v>
      </c>
      <c r="G1309" s="17">
        <v>65229</v>
      </c>
    </row>
    <row r="1310" spans="1:7">
      <c r="A1310" s="1" t="s">
        <v>3771</v>
      </c>
      <c r="B1310" s="1" t="s">
        <v>3772</v>
      </c>
      <c r="C1310">
        <f>(1-(B7/100))*171.57</f>
        <v>171.57</v>
      </c>
      <c r="D1310" s="1">
        <v>0</v>
      </c>
      <c r="E1310">
        <f>D1310*C1310</f>
        <v>0</v>
      </c>
      <c r="F1310" s="1" t="s">
        <v>3773</v>
      </c>
      <c r="G1310" s="17">
        <v>65231</v>
      </c>
    </row>
    <row r="1311" spans="1:7">
      <c r="A1311" s="1" t="s">
        <v>3774</v>
      </c>
      <c r="B1311" s="1" t="s">
        <v>3775</v>
      </c>
      <c r="C1311">
        <f>(1-(B7/100))*1108.73</f>
        <v>1108.73</v>
      </c>
      <c r="D1311" s="1">
        <v>0</v>
      </c>
      <c r="E1311">
        <f>D1311*C1311</f>
        <v>0</v>
      </c>
      <c r="F1311" s="1" t="s">
        <v>3776</v>
      </c>
      <c r="G1311" s="17">
        <v>65249</v>
      </c>
    </row>
    <row r="1312" spans="1:7">
      <c r="A1312" s="1" t="s">
        <v>3777</v>
      </c>
      <c r="B1312" s="1" t="s">
        <v>3778</v>
      </c>
      <c r="C1312">
        <f>(1-(B7/100))*215.25</f>
        <v>215.25</v>
      </c>
      <c r="D1312" s="1">
        <v>0</v>
      </c>
      <c r="E1312">
        <f>D1312*C1312</f>
        <v>0</v>
      </c>
      <c r="F1312" s="1" t="s">
        <v>3779</v>
      </c>
      <c r="G1312" s="17">
        <v>65269</v>
      </c>
    </row>
    <row r="1313" spans="1:7">
      <c r="A1313" s="1" t="s">
        <v>3780</v>
      </c>
      <c r="B1313" s="1" t="s">
        <v>3781</v>
      </c>
      <c r="C1313">
        <f>(1-(B7/100))*223.77</f>
        <v>223.77</v>
      </c>
      <c r="D1313" s="1">
        <v>0</v>
      </c>
      <c r="E1313">
        <f>D1313*C1313</f>
        <v>0</v>
      </c>
      <c r="F1313" s="1" t="s">
        <v>3782</v>
      </c>
      <c r="G1313" s="17">
        <v>65271</v>
      </c>
    </row>
    <row r="1314" spans="1:7">
      <c r="A1314" s="1" t="s">
        <v>3783</v>
      </c>
      <c r="B1314" s="1" t="s">
        <v>3784</v>
      </c>
      <c r="C1314">
        <f>(1-(B7/100))*180.51</f>
        <v>180.51</v>
      </c>
      <c r="D1314" s="1">
        <v>0</v>
      </c>
      <c r="E1314">
        <f>D1314*C1314</f>
        <v>0</v>
      </c>
      <c r="F1314" s="1" t="s">
        <v>3785</v>
      </c>
      <c r="G1314" s="17">
        <v>65274</v>
      </c>
    </row>
    <row r="1315" spans="1:7">
      <c r="A1315" s="1" t="s">
        <v>3786</v>
      </c>
      <c r="B1315" s="1" t="s">
        <v>3787</v>
      </c>
      <c r="C1315">
        <f>(1-(B7/100))*163.13</f>
        <v>163.13</v>
      </c>
      <c r="D1315" s="1">
        <v>0</v>
      </c>
      <c r="E1315">
        <f>D1315*C1315</f>
        <v>0</v>
      </c>
      <c r="F1315" s="1" t="s">
        <v>3788</v>
      </c>
      <c r="G1315" s="17">
        <v>65309</v>
      </c>
    </row>
    <row r="1316" spans="1:7">
      <c r="A1316" s="1" t="s">
        <v>3789</v>
      </c>
      <c r="B1316" s="1" t="s">
        <v>3790</v>
      </c>
      <c r="C1316">
        <f>(1-(B7/100))*184.06</f>
        <v>184.06</v>
      </c>
      <c r="D1316" s="1">
        <v>0</v>
      </c>
      <c r="E1316">
        <f>D1316*C1316</f>
        <v>0</v>
      </c>
      <c r="F1316" s="1" t="s">
        <v>3791</v>
      </c>
      <c r="G1316" s="17">
        <v>65311</v>
      </c>
    </row>
    <row r="1317" spans="1:7">
      <c r="A1317" s="1" t="s">
        <v>3792</v>
      </c>
      <c r="B1317" s="1" t="s">
        <v>3793</v>
      </c>
      <c r="C1317">
        <f>(1-(B7/100))*79.06</f>
        <v>79.06</v>
      </c>
      <c r="D1317" s="1">
        <v>0</v>
      </c>
      <c r="E1317">
        <f>D1317*C1317</f>
        <v>0</v>
      </c>
      <c r="F1317" s="1" t="s">
        <v>3794</v>
      </c>
      <c r="G1317" s="17">
        <v>65321</v>
      </c>
    </row>
    <row r="1318" spans="1:7">
      <c r="A1318" s="1" t="s">
        <v>3795</v>
      </c>
      <c r="B1318" s="1" t="s">
        <v>3796</v>
      </c>
      <c r="C1318">
        <f>(1-(B7/100))*436.56</f>
        <v>436.56</v>
      </c>
      <c r="D1318" s="1">
        <v>0</v>
      </c>
      <c r="E1318">
        <f>D1318*C1318</f>
        <v>0</v>
      </c>
      <c r="F1318" s="1" t="s">
        <v>3797</v>
      </c>
      <c r="G1318" s="17">
        <v>65323</v>
      </c>
    </row>
    <row r="1319" spans="1:7">
      <c r="A1319" s="1" t="s">
        <v>3798</v>
      </c>
      <c r="B1319" s="1" t="s">
        <v>3799</v>
      </c>
      <c r="C1319">
        <f>(1-(B7/100))*291.53</f>
        <v>291.53</v>
      </c>
      <c r="D1319" s="1">
        <v>0</v>
      </c>
      <c r="E1319">
        <f>D1319*C1319</f>
        <v>0</v>
      </c>
      <c r="F1319" s="1" t="s">
        <v>3800</v>
      </c>
      <c r="G1319" s="17">
        <v>65325</v>
      </c>
    </row>
    <row r="1320" spans="1:7">
      <c r="A1320" s="1" t="s">
        <v>3801</v>
      </c>
      <c r="B1320" s="1" t="s">
        <v>3802</v>
      </c>
      <c r="C1320">
        <f>(1-(B7/100))*346.42</f>
        <v>346.42</v>
      </c>
      <c r="D1320" s="1">
        <v>0</v>
      </c>
      <c r="E1320">
        <f>D1320*C1320</f>
        <v>0</v>
      </c>
      <c r="F1320" s="1" t="s">
        <v>3803</v>
      </c>
      <c r="G1320" s="17">
        <v>65326</v>
      </c>
    </row>
    <row r="1321" spans="1:7">
      <c r="A1321" s="1" t="s">
        <v>3804</v>
      </c>
      <c r="B1321" s="1" t="s">
        <v>3805</v>
      </c>
      <c r="C1321">
        <f>(1-(B7/100))*347.99</f>
        <v>347.99</v>
      </c>
      <c r="D1321" s="1">
        <v>0</v>
      </c>
      <c r="E1321">
        <f>D1321*C1321</f>
        <v>0</v>
      </c>
      <c r="F1321" s="1" t="s">
        <v>3806</v>
      </c>
      <c r="G1321" s="17">
        <v>65328</v>
      </c>
    </row>
    <row r="1322" spans="1:7">
      <c r="A1322" s="1" t="s">
        <v>3807</v>
      </c>
      <c r="B1322" s="1" t="s">
        <v>3808</v>
      </c>
      <c r="C1322">
        <f>(1-(B7/100))*346.42</f>
        <v>346.42</v>
      </c>
      <c r="D1322" s="1">
        <v>0</v>
      </c>
      <c r="E1322">
        <f>D1322*C1322</f>
        <v>0</v>
      </c>
      <c r="F1322" s="1" t="s">
        <v>3809</v>
      </c>
      <c r="G1322" s="17">
        <v>65330</v>
      </c>
    </row>
    <row r="1323" spans="1:7">
      <c r="A1323" s="1" t="s">
        <v>3810</v>
      </c>
      <c r="B1323" s="1" t="s">
        <v>3811</v>
      </c>
      <c r="C1323">
        <f>(1-(B7/100))*436.58</f>
        <v>436.58</v>
      </c>
      <c r="D1323" s="1">
        <v>0</v>
      </c>
      <c r="E1323">
        <f>D1323*C1323</f>
        <v>0</v>
      </c>
      <c r="F1323" s="1" t="s">
        <v>3812</v>
      </c>
      <c r="G1323" s="17">
        <v>65331</v>
      </c>
    </row>
    <row r="1324" spans="1:7">
      <c r="A1324" s="1" t="s">
        <v>3813</v>
      </c>
      <c r="B1324" s="1" t="s">
        <v>3814</v>
      </c>
      <c r="C1324">
        <f>(1-(B7/100))*437.79</f>
        <v>437.79</v>
      </c>
      <c r="D1324" s="1">
        <v>0</v>
      </c>
      <c r="E1324">
        <f>D1324*C1324</f>
        <v>0</v>
      </c>
      <c r="F1324" s="1" t="s">
        <v>3815</v>
      </c>
      <c r="G1324" s="17">
        <v>65342</v>
      </c>
    </row>
    <row r="1325" spans="1:7">
      <c r="A1325" s="1" t="s">
        <v>3816</v>
      </c>
      <c r="B1325" s="1" t="s">
        <v>3817</v>
      </c>
      <c r="C1325">
        <f>(1-(B7/100))*483.22</f>
        <v>483.22</v>
      </c>
      <c r="D1325" s="1">
        <v>0</v>
      </c>
      <c r="E1325">
        <f>D1325*C1325</f>
        <v>0</v>
      </c>
      <c r="F1325" s="1" t="s">
        <v>3818</v>
      </c>
      <c r="G1325" s="17">
        <v>65347</v>
      </c>
    </row>
    <row r="1326" spans="1:7">
      <c r="A1326" s="1" t="s">
        <v>3819</v>
      </c>
      <c r="B1326" s="1" t="s">
        <v>3820</v>
      </c>
      <c r="C1326">
        <f>(1-(B7/100))*305.59</f>
        <v>305.59</v>
      </c>
      <c r="D1326" s="1">
        <v>0</v>
      </c>
      <c r="E1326">
        <f>D1326*C1326</f>
        <v>0</v>
      </c>
      <c r="F1326" s="1" t="s">
        <v>3821</v>
      </c>
      <c r="G1326" s="17">
        <v>65352</v>
      </c>
    </row>
    <row r="1327" spans="1:7">
      <c r="A1327" s="1" t="s">
        <v>3822</v>
      </c>
      <c r="B1327" s="1" t="s">
        <v>3823</v>
      </c>
      <c r="C1327">
        <f>(1-(B7/100))*177.2</f>
        <v>177.2</v>
      </c>
      <c r="D1327" s="1">
        <v>0</v>
      </c>
      <c r="E1327">
        <f>D1327*C1327</f>
        <v>0</v>
      </c>
      <c r="F1327" s="1" t="s">
        <v>3824</v>
      </c>
      <c r="G1327" s="17">
        <v>65381</v>
      </c>
    </row>
    <row r="1328" spans="1:7">
      <c r="A1328" s="1" t="s">
        <v>3825</v>
      </c>
      <c r="B1328" s="1" t="s">
        <v>3826</v>
      </c>
      <c r="C1328">
        <f>(1-(B7/100))*259.35</f>
        <v>259.35</v>
      </c>
      <c r="D1328" s="1">
        <v>0</v>
      </c>
      <c r="E1328">
        <f>D1328*C1328</f>
        <v>0</v>
      </c>
      <c r="F1328" s="1" t="s">
        <v>3827</v>
      </c>
      <c r="G1328" s="17">
        <v>65401</v>
      </c>
    </row>
    <row r="1329" spans="1:7">
      <c r="A1329" s="1" t="s">
        <v>3828</v>
      </c>
      <c r="B1329" s="1" t="s">
        <v>3829</v>
      </c>
      <c r="C1329">
        <f>(1-(B7/100))*225.52</f>
        <v>225.52</v>
      </c>
      <c r="D1329" s="1">
        <v>0</v>
      </c>
      <c r="E1329">
        <f>D1329*C1329</f>
        <v>0</v>
      </c>
      <c r="F1329" s="1" t="s">
        <v>3830</v>
      </c>
      <c r="G1329" s="17">
        <v>65402</v>
      </c>
    </row>
    <row r="1330" spans="1:7">
      <c r="A1330" s="1" t="s">
        <v>3831</v>
      </c>
      <c r="B1330" s="1" t="s">
        <v>3832</v>
      </c>
      <c r="C1330">
        <f>(1-(B7/100))*127.66</f>
        <v>127.66</v>
      </c>
      <c r="D1330" s="1">
        <v>0</v>
      </c>
      <c r="E1330">
        <f>D1330*C1330</f>
        <v>0</v>
      </c>
      <c r="F1330" s="1" t="s">
        <v>3833</v>
      </c>
      <c r="G1330" s="17">
        <v>69527</v>
      </c>
    </row>
    <row r="1331" spans="1:7">
      <c r="A1331" s="1" t="s">
        <v>3834</v>
      </c>
      <c r="B1331" s="1" t="s">
        <v>3835</v>
      </c>
      <c r="C1331">
        <f>(1-(B7/100))*545.76</f>
        <v>545.76</v>
      </c>
      <c r="D1331" s="1">
        <v>0</v>
      </c>
      <c r="E1331">
        <f>D1331*C1331</f>
        <v>0</v>
      </c>
      <c r="F1331" s="1" t="s">
        <v>3836</v>
      </c>
      <c r="G1331" s="17">
        <v>69669</v>
      </c>
    </row>
    <row r="1332" spans="1:7">
      <c r="A1332" s="1" t="s">
        <v>3837</v>
      </c>
      <c r="B1332" s="1" t="s">
        <v>3838</v>
      </c>
      <c r="C1332">
        <f>(1-(B7/100))*176.65</f>
        <v>176.65</v>
      </c>
      <c r="D1332" s="1">
        <v>0</v>
      </c>
      <c r="E1332">
        <f>D1332*C1332</f>
        <v>0</v>
      </c>
      <c r="F1332" s="1" t="s">
        <v>3839</v>
      </c>
      <c r="G1332" s="17">
        <v>69672</v>
      </c>
    </row>
    <row r="1333" spans="1:7">
      <c r="A1333" s="1">
        <v>7751302</v>
      </c>
      <c r="B1333" s="1" t="s">
        <v>3840</v>
      </c>
      <c r="C1333">
        <f>(1-(B7/100))*208.97</f>
        <v>208.97</v>
      </c>
      <c r="D1333" s="1">
        <v>0</v>
      </c>
      <c r="E1333">
        <f>D1333*C1333</f>
        <v>0</v>
      </c>
      <c r="F1333" s="1" t="s">
        <v>3841</v>
      </c>
      <c r="G1333" s="17">
        <v>69673</v>
      </c>
    </row>
    <row r="1334" spans="1:7">
      <c r="A1334" s="1" t="s">
        <v>3842</v>
      </c>
      <c r="B1334" s="1" t="s">
        <v>3843</v>
      </c>
      <c r="C1334">
        <f>(1-(B7/100))*189.14</f>
        <v>189.14</v>
      </c>
      <c r="D1334" s="1">
        <v>0</v>
      </c>
      <c r="E1334">
        <f>D1334*C1334</f>
        <v>0</v>
      </c>
      <c r="F1334" s="1" t="s">
        <v>3844</v>
      </c>
      <c r="G1334" s="17">
        <v>69675</v>
      </c>
    </row>
    <row r="1335" spans="1:7">
      <c r="A1335" s="1" t="s">
        <v>3845</v>
      </c>
      <c r="B1335" s="1" t="s">
        <v>3846</v>
      </c>
      <c r="C1335">
        <f>(1-(B7/100))*217.53</f>
        <v>217.53</v>
      </c>
      <c r="D1335" s="1">
        <v>0</v>
      </c>
      <c r="E1335">
        <f>D1335*C1335</f>
        <v>0</v>
      </c>
      <c r="F1335" s="1" t="s">
        <v>3847</v>
      </c>
      <c r="G1335" s="17">
        <v>69676</v>
      </c>
    </row>
    <row r="1336" spans="1:7">
      <c r="A1336" s="1" t="s">
        <v>3848</v>
      </c>
      <c r="B1336" s="1" t="s">
        <v>3849</v>
      </c>
      <c r="C1336">
        <f>(1-(B7/100))*192.74</f>
        <v>192.74</v>
      </c>
      <c r="D1336" s="1">
        <v>0</v>
      </c>
      <c r="E1336">
        <f>D1336*C1336</f>
        <v>0</v>
      </c>
      <c r="F1336" s="1" t="s">
        <v>3850</v>
      </c>
      <c r="G1336" s="17">
        <v>69681</v>
      </c>
    </row>
    <row r="1337" spans="1:7">
      <c r="A1337" s="1">
        <v>5415671</v>
      </c>
      <c r="B1337" s="1" t="s">
        <v>3851</v>
      </c>
      <c r="C1337">
        <f>(1-(B7/100))*241.1</f>
        <v>241.1</v>
      </c>
      <c r="D1337" s="1">
        <v>0</v>
      </c>
      <c r="E1337">
        <f>D1337*C1337</f>
        <v>0</v>
      </c>
      <c r="F1337" s="1" t="s">
        <v>3852</v>
      </c>
      <c r="G1337" s="17">
        <v>69684</v>
      </c>
    </row>
    <row r="1338" spans="1:7">
      <c r="A1338" s="1">
        <v>5415670</v>
      </c>
      <c r="B1338" s="1" t="s">
        <v>3853</v>
      </c>
      <c r="C1338">
        <f>(1-(B7/100))*305.41</f>
        <v>305.41</v>
      </c>
      <c r="D1338" s="1">
        <v>0</v>
      </c>
      <c r="E1338">
        <f>D1338*C1338</f>
        <v>0</v>
      </c>
      <c r="F1338" s="1" t="s">
        <v>3854</v>
      </c>
      <c r="G1338" s="17">
        <v>69685</v>
      </c>
    </row>
    <row r="1339" spans="1:7">
      <c r="A1339" s="1" t="s">
        <v>3855</v>
      </c>
      <c r="B1339" s="1" t="s">
        <v>3856</v>
      </c>
      <c r="C1339">
        <f>(1-(B7/100))*777.84</f>
        <v>777.84</v>
      </c>
      <c r="D1339" s="1">
        <v>0</v>
      </c>
      <c r="E1339">
        <f>D1339*C1339</f>
        <v>0</v>
      </c>
      <c r="F1339" s="1" t="s">
        <v>3857</v>
      </c>
      <c r="G1339" s="17">
        <v>69697</v>
      </c>
    </row>
    <row r="1340" spans="1:7">
      <c r="A1340" s="1">
        <v>5415593</v>
      </c>
      <c r="B1340" s="1" t="s">
        <v>3858</v>
      </c>
      <c r="C1340">
        <f>(1-(B7/100))*337.54</f>
        <v>337.54</v>
      </c>
      <c r="D1340" s="1">
        <v>0</v>
      </c>
      <c r="E1340">
        <f>D1340*C1340</f>
        <v>0</v>
      </c>
      <c r="F1340" s="1" t="s">
        <v>3859</v>
      </c>
      <c r="G1340" s="17">
        <v>70839</v>
      </c>
    </row>
    <row r="1341" spans="1:7">
      <c r="A1341" s="1" t="s">
        <v>3860</v>
      </c>
      <c r="B1341" s="1" t="s">
        <v>3861</v>
      </c>
      <c r="C1341">
        <f>(1-(B7/100))*127.66</f>
        <v>127.66</v>
      </c>
      <c r="D1341" s="1">
        <v>0</v>
      </c>
      <c r="E1341">
        <f>D1341*C1341</f>
        <v>0</v>
      </c>
      <c r="F1341" s="1" t="s">
        <v>3862</v>
      </c>
      <c r="G1341" s="17">
        <v>70948</v>
      </c>
    </row>
    <row r="1342" spans="1:7">
      <c r="A1342" s="1" t="s">
        <v>3863</v>
      </c>
      <c r="B1342" s="1" t="s">
        <v>3864</v>
      </c>
      <c r="C1342">
        <f>(1-(B7/100))*25.76</f>
        <v>25.76</v>
      </c>
      <c r="D1342" s="1">
        <v>0</v>
      </c>
      <c r="E1342">
        <f>D1342*C1342</f>
        <v>0</v>
      </c>
      <c r="F1342" s="1" t="s">
        <v>3865</v>
      </c>
      <c r="G1342" s="17">
        <v>71078</v>
      </c>
    </row>
    <row r="1343" spans="1:7">
      <c r="A1343" s="1" t="s">
        <v>3866</v>
      </c>
      <c r="B1343" s="1" t="s">
        <v>3867</v>
      </c>
      <c r="C1343">
        <f>(1-(B7/100))*25.76</f>
        <v>25.76</v>
      </c>
      <c r="D1343" s="1">
        <v>0</v>
      </c>
      <c r="E1343">
        <f>D1343*C1343</f>
        <v>0</v>
      </c>
      <c r="F1343" s="1" t="s">
        <v>3868</v>
      </c>
      <c r="G1343" s="17">
        <v>71080</v>
      </c>
    </row>
    <row r="1344" spans="1:7">
      <c r="A1344" s="1" t="s">
        <v>3869</v>
      </c>
      <c r="B1344" s="1" t="s">
        <v>3870</v>
      </c>
      <c r="C1344">
        <f>(1-(B7/100))*525.45</f>
        <v>525.45</v>
      </c>
      <c r="D1344" s="1">
        <v>0</v>
      </c>
      <c r="E1344">
        <f>D1344*C1344</f>
        <v>0</v>
      </c>
      <c r="F1344" s="1" t="s">
        <v>3871</v>
      </c>
      <c r="G1344" s="17">
        <v>71209</v>
      </c>
    </row>
    <row r="1345" spans="1:7">
      <c r="A1345" s="1" t="s">
        <v>3872</v>
      </c>
      <c r="B1345" s="1" t="s">
        <v>3873</v>
      </c>
      <c r="C1345">
        <f>(1-(B7/100))*528.67</f>
        <v>528.67</v>
      </c>
      <c r="D1345" s="1">
        <v>0</v>
      </c>
      <c r="E1345">
        <f>D1345*C1345</f>
        <v>0</v>
      </c>
      <c r="F1345" s="1" t="s">
        <v>3874</v>
      </c>
      <c r="G1345" s="17">
        <v>71210</v>
      </c>
    </row>
    <row r="1346" spans="1:7">
      <c r="A1346" s="1" t="s">
        <v>3875</v>
      </c>
      <c r="B1346" s="1" t="s">
        <v>3876</v>
      </c>
      <c r="C1346">
        <f>(1-(B7/100))*573.52</f>
        <v>573.52</v>
      </c>
      <c r="D1346" s="1">
        <v>0</v>
      </c>
      <c r="E1346">
        <f>D1346*C1346</f>
        <v>0</v>
      </c>
      <c r="F1346" s="1" t="s">
        <v>3877</v>
      </c>
      <c r="G1346" s="17">
        <v>71211</v>
      </c>
    </row>
    <row r="1347" spans="1:7">
      <c r="A1347" s="1" t="s">
        <v>3878</v>
      </c>
      <c r="B1347" s="1" t="s">
        <v>3879</v>
      </c>
      <c r="C1347">
        <f>(1-(B7/100))*208.19</f>
        <v>208.19</v>
      </c>
      <c r="D1347" s="1">
        <v>0</v>
      </c>
      <c r="E1347">
        <f>D1347*C1347</f>
        <v>0</v>
      </c>
      <c r="F1347" s="1" t="s">
        <v>16</v>
      </c>
      <c r="G1347" s="17">
        <v>71360</v>
      </c>
    </row>
    <row r="1348" spans="1:7">
      <c r="A1348" s="1" t="s">
        <v>3880</v>
      </c>
      <c r="B1348" s="1" t="s">
        <v>3881</v>
      </c>
      <c r="C1348">
        <f>(1-(B7/100))*312.28</f>
        <v>312.28</v>
      </c>
      <c r="D1348" s="1">
        <v>0</v>
      </c>
      <c r="E1348">
        <f>D1348*C1348</f>
        <v>0</v>
      </c>
      <c r="F1348" s="1" t="s">
        <v>16</v>
      </c>
      <c r="G1348" s="17">
        <v>71462</v>
      </c>
    </row>
    <row r="1349" spans="1:7">
      <c r="A1349" s="1" t="s">
        <v>3882</v>
      </c>
      <c r="B1349" s="1" t="s">
        <v>3883</v>
      </c>
      <c r="C1349">
        <f>(1-(B7/100))*438.13</f>
        <v>438.13</v>
      </c>
      <c r="D1349" s="1">
        <v>0</v>
      </c>
      <c r="E1349">
        <f>D1349*C1349</f>
        <v>0</v>
      </c>
      <c r="F1349" s="1" t="s">
        <v>3884</v>
      </c>
      <c r="G1349" s="17">
        <v>71552</v>
      </c>
    </row>
    <row r="1350" spans="1:7">
      <c r="A1350" s="1" t="s">
        <v>3885</v>
      </c>
      <c r="B1350" s="1" t="s">
        <v>3886</v>
      </c>
      <c r="C1350">
        <f>(1-(B7/100))*357.76</f>
        <v>357.76</v>
      </c>
      <c r="D1350" s="1">
        <v>0</v>
      </c>
      <c r="E1350">
        <f>D1350*C1350</f>
        <v>0</v>
      </c>
      <c r="F1350" s="1" t="s">
        <v>3887</v>
      </c>
      <c r="G1350" s="17">
        <v>71666</v>
      </c>
    </row>
    <row r="1351" spans="1:7">
      <c r="A1351" s="1" t="s">
        <v>3888</v>
      </c>
      <c r="B1351" s="1" t="s">
        <v>3889</v>
      </c>
      <c r="C1351">
        <f>(1-(B7/100))*221.7</f>
        <v>221.7</v>
      </c>
      <c r="D1351" s="1">
        <v>0</v>
      </c>
      <c r="E1351">
        <f>D1351*C1351</f>
        <v>0</v>
      </c>
      <c r="F1351" s="1" t="s">
        <v>3890</v>
      </c>
      <c r="G1351" s="17">
        <v>71668</v>
      </c>
    </row>
    <row r="1352" spans="1:7">
      <c r="A1352" s="1" t="s">
        <v>3891</v>
      </c>
      <c r="B1352" s="1" t="s">
        <v>3892</v>
      </c>
      <c r="C1352">
        <f>(1-(B7/100))*209.36</f>
        <v>209.36</v>
      </c>
      <c r="D1352" s="1">
        <v>0</v>
      </c>
      <c r="E1352">
        <f>D1352*C1352</f>
        <v>0</v>
      </c>
      <c r="F1352" s="1" t="s">
        <v>3893</v>
      </c>
      <c r="G1352" s="17">
        <v>71669</v>
      </c>
    </row>
    <row r="1353" spans="1:7">
      <c r="A1353" s="1" t="s">
        <v>3894</v>
      </c>
      <c r="B1353" s="1" t="s">
        <v>3895</v>
      </c>
      <c r="C1353">
        <f>(1-(B7/100))*201.96</f>
        <v>201.96</v>
      </c>
      <c r="D1353" s="1">
        <v>0</v>
      </c>
      <c r="E1353">
        <f>D1353*C1353</f>
        <v>0</v>
      </c>
      <c r="F1353" s="1" t="s">
        <v>3896</v>
      </c>
      <c r="G1353" s="17">
        <v>71670</v>
      </c>
    </row>
    <row r="1354" spans="1:7">
      <c r="A1354" s="1" t="s">
        <v>3897</v>
      </c>
      <c r="B1354" s="1" t="s">
        <v>3898</v>
      </c>
      <c r="C1354">
        <f>(1-(B7/100))*226.62</f>
        <v>226.62</v>
      </c>
      <c r="D1354" s="1">
        <v>0</v>
      </c>
      <c r="E1354">
        <f>D1354*C1354</f>
        <v>0</v>
      </c>
      <c r="F1354" s="1" t="s">
        <v>3899</v>
      </c>
      <c r="G1354" s="17">
        <v>71671</v>
      </c>
    </row>
    <row r="1355" spans="1:7">
      <c r="A1355" s="1" t="s">
        <v>3900</v>
      </c>
      <c r="B1355" s="1" t="s">
        <v>3901</v>
      </c>
      <c r="C1355">
        <f>(1-(B7/100))*331.3</f>
        <v>331.3</v>
      </c>
      <c r="D1355" s="1">
        <v>0</v>
      </c>
      <c r="E1355">
        <f>D1355*C1355</f>
        <v>0</v>
      </c>
      <c r="F1355" s="1" t="s">
        <v>3902</v>
      </c>
      <c r="G1355" s="17">
        <v>71674</v>
      </c>
    </row>
    <row r="1356" spans="1:7">
      <c r="A1356" s="1" t="s">
        <v>3903</v>
      </c>
      <c r="B1356" s="1" t="s">
        <v>3904</v>
      </c>
      <c r="C1356">
        <f>(1-(B7/100))*357.54</f>
        <v>357.54</v>
      </c>
      <c r="D1356" s="1">
        <v>0</v>
      </c>
      <c r="E1356">
        <f>D1356*C1356</f>
        <v>0</v>
      </c>
      <c r="F1356" s="1" t="s">
        <v>3905</v>
      </c>
      <c r="G1356" s="17">
        <v>71699</v>
      </c>
    </row>
    <row r="1357" spans="1:7">
      <c r="A1357" s="1" t="s">
        <v>3906</v>
      </c>
      <c r="B1357" s="1" t="s">
        <v>3907</v>
      </c>
      <c r="C1357">
        <f>(1-(B7/100))*341.37</f>
        <v>341.37</v>
      </c>
      <c r="D1357" s="1">
        <v>0</v>
      </c>
      <c r="E1357">
        <f>D1357*C1357</f>
        <v>0</v>
      </c>
      <c r="F1357" s="1" t="s">
        <v>3908</v>
      </c>
      <c r="G1357" s="17">
        <v>71711</v>
      </c>
    </row>
    <row r="1358" spans="1:7">
      <c r="A1358" s="1" t="s">
        <v>3909</v>
      </c>
      <c r="B1358" s="1" t="s">
        <v>3910</v>
      </c>
      <c r="C1358">
        <f>(1-(B7/100))*345.12</f>
        <v>345.12</v>
      </c>
      <c r="D1358" s="1">
        <v>0</v>
      </c>
      <c r="E1358">
        <f>D1358*C1358</f>
        <v>0</v>
      </c>
      <c r="F1358" s="1" t="s">
        <v>3911</v>
      </c>
      <c r="G1358" s="17">
        <v>71716</v>
      </c>
    </row>
    <row r="1359" spans="1:7">
      <c r="A1359" s="1" t="s">
        <v>3912</v>
      </c>
      <c r="B1359" s="1" t="s">
        <v>3913</v>
      </c>
      <c r="C1359">
        <f>(1-(B7/100))*243.68</f>
        <v>243.68</v>
      </c>
      <c r="D1359" s="1">
        <v>0</v>
      </c>
      <c r="E1359">
        <f>D1359*C1359</f>
        <v>0</v>
      </c>
      <c r="F1359" s="1" t="s">
        <v>3914</v>
      </c>
      <c r="G1359" s="17">
        <v>71744</v>
      </c>
    </row>
    <row r="1360" spans="1:7">
      <c r="A1360" s="1" t="s">
        <v>3915</v>
      </c>
      <c r="B1360" s="1" t="s">
        <v>3916</v>
      </c>
      <c r="C1360">
        <f>(1-(B7/100))*529.32</f>
        <v>529.32</v>
      </c>
      <c r="D1360" s="1">
        <v>0</v>
      </c>
      <c r="E1360">
        <f>D1360*C1360</f>
        <v>0</v>
      </c>
      <c r="F1360" s="1" t="s">
        <v>3917</v>
      </c>
      <c r="G1360" s="17">
        <v>71745</v>
      </c>
    </row>
    <row r="1361" spans="1:7">
      <c r="A1361" s="1" t="s">
        <v>3918</v>
      </c>
      <c r="B1361" s="1" t="s">
        <v>3919</v>
      </c>
      <c r="C1361">
        <f>(1-(B7/100))*176.8</f>
        <v>176.8</v>
      </c>
      <c r="D1361" s="1">
        <v>0</v>
      </c>
      <c r="E1361">
        <f>D1361*C1361</f>
        <v>0</v>
      </c>
      <c r="F1361" s="1" t="s">
        <v>3920</v>
      </c>
      <c r="G1361" s="17">
        <v>71753</v>
      </c>
    </row>
    <row r="1362" spans="1:7">
      <c r="A1362" s="1" t="s">
        <v>3921</v>
      </c>
      <c r="B1362" s="1" t="s">
        <v>3922</v>
      </c>
      <c r="C1362">
        <f>(1-(B7/100))*453.15</f>
        <v>453.15</v>
      </c>
      <c r="D1362" s="1">
        <v>0</v>
      </c>
      <c r="E1362">
        <f>D1362*C1362</f>
        <v>0</v>
      </c>
      <c r="F1362" s="1" t="s">
        <v>3923</v>
      </c>
      <c r="G1362" s="17">
        <v>71754</v>
      </c>
    </row>
    <row r="1363" spans="1:7">
      <c r="A1363" s="1" t="s">
        <v>3924</v>
      </c>
      <c r="B1363" s="1" t="s">
        <v>3925</v>
      </c>
      <c r="C1363">
        <f>(1-(B7/100))*150.69</f>
        <v>150.69</v>
      </c>
      <c r="D1363" s="1">
        <v>0</v>
      </c>
      <c r="E1363">
        <f>D1363*C1363</f>
        <v>0</v>
      </c>
      <c r="F1363" s="1" t="s">
        <v>3926</v>
      </c>
      <c r="G1363" s="17">
        <v>71755</v>
      </c>
    </row>
    <row r="1364" spans="1:7">
      <c r="A1364" s="1" t="s">
        <v>3927</v>
      </c>
      <c r="B1364" s="1" t="s">
        <v>3928</v>
      </c>
      <c r="C1364">
        <f>(1-(B7/100))*170.14</f>
        <v>170.14</v>
      </c>
      <c r="D1364" s="1">
        <v>0</v>
      </c>
      <c r="E1364">
        <f>D1364*C1364</f>
        <v>0</v>
      </c>
      <c r="F1364" s="1" t="s">
        <v>3929</v>
      </c>
      <c r="G1364" s="17">
        <v>71756</v>
      </c>
    </row>
    <row r="1365" spans="1:7">
      <c r="A1365" s="1" t="s">
        <v>3930</v>
      </c>
      <c r="B1365" s="1" t="s">
        <v>3931</v>
      </c>
      <c r="C1365">
        <f>(1-(B7/100))*320.49</f>
        <v>320.49</v>
      </c>
      <c r="D1365" s="1">
        <v>0</v>
      </c>
      <c r="E1365">
        <f>D1365*C1365</f>
        <v>0</v>
      </c>
      <c r="F1365" s="1" t="s">
        <v>3932</v>
      </c>
      <c r="G1365" s="17">
        <v>71758</v>
      </c>
    </row>
    <row r="1366" spans="1:7">
      <c r="A1366" s="1" t="s">
        <v>3933</v>
      </c>
      <c r="B1366" s="1" t="s">
        <v>3934</v>
      </c>
      <c r="C1366">
        <f>(1-(B7/100))*154.24</f>
        <v>154.24</v>
      </c>
      <c r="D1366" s="1">
        <v>0</v>
      </c>
      <c r="E1366">
        <f>D1366*C1366</f>
        <v>0</v>
      </c>
      <c r="F1366" s="1" t="s">
        <v>3935</v>
      </c>
      <c r="G1366" s="17">
        <v>71761</v>
      </c>
    </row>
    <row r="1367" spans="1:7">
      <c r="A1367" s="1" t="s">
        <v>3936</v>
      </c>
      <c r="B1367" s="1" t="s">
        <v>3937</v>
      </c>
      <c r="C1367">
        <f>(1-(B7/100))*163.13</f>
        <v>163.13</v>
      </c>
      <c r="D1367" s="1">
        <v>0</v>
      </c>
      <c r="E1367">
        <f>D1367*C1367</f>
        <v>0</v>
      </c>
      <c r="F1367" s="1" t="s">
        <v>3938</v>
      </c>
      <c r="G1367" s="17">
        <v>71762</v>
      </c>
    </row>
    <row r="1368" spans="1:7">
      <c r="A1368" s="1" t="s">
        <v>3939</v>
      </c>
      <c r="B1368" s="1" t="s">
        <v>3940</v>
      </c>
      <c r="C1368">
        <f>(1-(B7/100))*399.01</f>
        <v>399.01</v>
      </c>
      <c r="D1368" s="1">
        <v>0</v>
      </c>
      <c r="E1368">
        <f>D1368*C1368</f>
        <v>0</v>
      </c>
      <c r="F1368" s="1" t="s">
        <v>3941</v>
      </c>
      <c r="G1368" s="17">
        <v>71779</v>
      </c>
    </row>
    <row r="1369" spans="1:7">
      <c r="A1369" s="1" t="s">
        <v>3942</v>
      </c>
      <c r="B1369" s="1" t="s">
        <v>3943</v>
      </c>
      <c r="C1369">
        <f>(1-(B7/100))*110.92</f>
        <v>110.92</v>
      </c>
      <c r="D1369" s="1">
        <v>0</v>
      </c>
      <c r="E1369">
        <f>D1369*C1369</f>
        <v>0</v>
      </c>
      <c r="F1369" s="1" t="s">
        <v>3944</v>
      </c>
      <c r="G1369" s="17">
        <v>71794</v>
      </c>
    </row>
    <row r="1370" spans="1:7">
      <c r="A1370" s="1" t="s">
        <v>3945</v>
      </c>
      <c r="B1370" s="1" t="s">
        <v>3946</v>
      </c>
      <c r="C1370">
        <f>(1-(B7/100))*238.03</f>
        <v>238.03</v>
      </c>
      <c r="D1370" s="1">
        <v>0</v>
      </c>
      <c r="E1370">
        <f>D1370*C1370</f>
        <v>0</v>
      </c>
      <c r="F1370" s="1" t="s">
        <v>3947</v>
      </c>
      <c r="G1370" s="17">
        <v>71798</v>
      </c>
    </row>
    <row r="1371" spans="1:7">
      <c r="A1371" s="1" t="s">
        <v>3948</v>
      </c>
      <c r="B1371" s="1" t="s">
        <v>3949</v>
      </c>
      <c r="C1371">
        <f>(1-(B7/100))*531.91</f>
        <v>531.91</v>
      </c>
      <c r="D1371" s="1">
        <v>0</v>
      </c>
      <c r="E1371">
        <f>D1371*C1371</f>
        <v>0</v>
      </c>
      <c r="F1371" s="1" t="s">
        <v>3950</v>
      </c>
      <c r="G1371" s="17">
        <v>71799</v>
      </c>
    </row>
    <row r="1372" spans="1:7">
      <c r="A1372" s="1" t="s">
        <v>3951</v>
      </c>
      <c r="B1372" s="1" t="s">
        <v>3952</v>
      </c>
      <c r="C1372">
        <f>(1-(B7/100))*662.22</f>
        <v>662.22</v>
      </c>
      <c r="D1372" s="1">
        <v>0</v>
      </c>
      <c r="E1372">
        <f>D1372*C1372</f>
        <v>0</v>
      </c>
      <c r="F1372" s="1" t="s">
        <v>3953</v>
      </c>
      <c r="G1372" s="17">
        <v>71806</v>
      </c>
    </row>
    <row r="1373" spans="1:7">
      <c r="A1373" s="1" t="s">
        <v>3954</v>
      </c>
      <c r="B1373" s="1" t="s">
        <v>3955</v>
      </c>
      <c r="C1373">
        <f>(1-(B7/100))*394.15</f>
        <v>394.15</v>
      </c>
      <c r="D1373" s="1">
        <v>0</v>
      </c>
      <c r="E1373">
        <f>D1373*C1373</f>
        <v>0</v>
      </c>
      <c r="F1373" s="1" t="s">
        <v>3956</v>
      </c>
      <c r="G1373" s="17">
        <v>71807</v>
      </c>
    </row>
    <row r="1374" spans="1:7">
      <c r="A1374" s="1" t="s">
        <v>3957</v>
      </c>
      <c r="B1374" s="1" t="s">
        <v>3958</v>
      </c>
      <c r="C1374">
        <f>(1-(B7/100))*506.77</f>
        <v>506.77</v>
      </c>
      <c r="D1374" s="1">
        <v>0</v>
      </c>
      <c r="E1374">
        <f>D1374*C1374</f>
        <v>0</v>
      </c>
      <c r="F1374" s="1" t="s">
        <v>3959</v>
      </c>
      <c r="G1374" s="17">
        <v>71809</v>
      </c>
    </row>
    <row r="1375" spans="1:7">
      <c r="A1375" s="1" t="s">
        <v>3960</v>
      </c>
      <c r="B1375" s="1" t="s">
        <v>3961</v>
      </c>
      <c r="C1375">
        <f>(1-(B7/100))*260.23</f>
        <v>260.23</v>
      </c>
      <c r="D1375" s="1">
        <v>0</v>
      </c>
      <c r="E1375">
        <f>D1375*C1375</f>
        <v>0</v>
      </c>
      <c r="F1375" s="1" t="s">
        <v>16</v>
      </c>
      <c r="G1375" s="17">
        <v>71844</v>
      </c>
    </row>
    <row r="1376" spans="1:7">
      <c r="A1376" s="1" t="s">
        <v>3962</v>
      </c>
      <c r="B1376" s="1" t="s">
        <v>3963</v>
      </c>
      <c r="C1376">
        <f>(1-(B7/100))*87.79</f>
        <v>87.79</v>
      </c>
      <c r="D1376" s="1">
        <v>0</v>
      </c>
      <c r="E1376">
        <f>D1376*C1376</f>
        <v>0</v>
      </c>
      <c r="F1376" s="1" t="s">
        <v>16</v>
      </c>
      <c r="G1376" s="17">
        <v>71854</v>
      </c>
    </row>
    <row r="1377" spans="1:7">
      <c r="A1377" s="1" t="s">
        <v>3964</v>
      </c>
      <c r="B1377" s="1" t="s">
        <v>3965</v>
      </c>
      <c r="C1377">
        <f>(1-(B7/100))*312.28</f>
        <v>312.28</v>
      </c>
      <c r="D1377" s="1">
        <v>0</v>
      </c>
      <c r="E1377">
        <f>D1377*C1377</f>
        <v>0</v>
      </c>
      <c r="F1377" s="1" t="s">
        <v>16</v>
      </c>
      <c r="G1377" s="17">
        <v>71931</v>
      </c>
    </row>
    <row r="1378" spans="1:7">
      <c r="A1378" s="1" t="s">
        <v>3966</v>
      </c>
      <c r="B1378" s="1" t="s">
        <v>3967</v>
      </c>
      <c r="C1378">
        <f>(1-(B7/100))*644.89</f>
        <v>644.89</v>
      </c>
      <c r="D1378" s="1">
        <v>0</v>
      </c>
      <c r="E1378">
        <f>D1378*C1378</f>
        <v>0</v>
      </c>
      <c r="F1378" s="1" t="s">
        <v>3968</v>
      </c>
      <c r="G1378" s="17">
        <v>72003</v>
      </c>
    </row>
    <row r="1379" spans="1:7">
      <c r="A1379" s="1" t="s">
        <v>3969</v>
      </c>
      <c r="B1379" s="1" t="s">
        <v>3970</v>
      </c>
      <c r="C1379">
        <f>(1-(B7/100))*208.19</f>
        <v>208.19</v>
      </c>
      <c r="D1379" s="1">
        <v>0</v>
      </c>
      <c r="E1379">
        <f>D1379*C1379</f>
        <v>0</v>
      </c>
      <c r="F1379" s="1" t="s">
        <v>16</v>
      </c>
      <c r="G1379" s="17">
        <v>72034</v>
      </c>
    </row>
    <row r="1380" spans="1:7">
      <c r="A1380" s="1" t="s">
        <v>3971</v>
      </c>
      <c r="B1380" s="1" t="s">
        <v>3972</v>
      </c>
      <c r="C1380">
        <f>(1-(B7/100))*83.27</f>
        <v>83.27</v>
      </c>
      <c r="D1380" s="1">
        <v>0</v>
      </c>
      <c r="E1380">
        <f>D1380*C1380</f>
        <v>0</v>
      </c>
      <c r="F1380" s="1" t="s">
        <v>16</v>
      </c>
      <c r="G1380" s="17">
        <v>72056</v>
      </c>
    </row>
    <row r="1381" spans="1:7">
      <c r="A1381" s="1" t="s">
        <v>3973</v>
      </c>
      <c r="B1381" s="1" t="s">
        <v>3974</v>
      </c>
      <c r="C1381">
        <f>(1-(B7/100))*72.87</f>
        <v>72.87</v>
      </c>
      <c r="D1381" s="1">
        <v>0</v>
      </c>
      <c r="E1381">
        <f>D1381*C1381</f>
        <v>0</v>
      </c>
      <c r="F1381" s="1" t="s">
        <v>16</v>
      </c>
      <c r="G1381" s="17">
        <v>72058</v>
      </c>
    </row>
    <row r="1382" spans="1:7">
      <c r="A1382" s="1" t="s">
        <v>3975</v>
      </c>
      <c r="B1382" s="1" t="s">
        <v>3976</v>
      </c>
      <c r="C1382">
        <f>(1-(B7/100))*208.19</f>
        <v>208.19</v>
      </c>
      <c r="D1382" s="1">
        <v>0</v>
      </c>
      <c r="E1382">
        <f>D1382*C1382</f>
        <v>0</v>
      </c>
      <c r="F1382" s="1" t="s">
        <v>16</v>
      </c>
      <c r="G1382" s="17">
        <v>72065</v>
      </c>
    </row>
    <row r="1383" spans="1:7">
      <c r="A1383" s="1" t="s">
        <v>3977</v>
      </c>
      <c r="B1383" s="1" t="s">
        <v>3974</v>
      </c>
      <c r="C1383">
        <f>(1-(B7/100))*72.87</f>
        <v>72.87</v>
      </c>
      <c r="D1383" s="1">
        <v>0</v>
      </c>
      <c r="E1383">
        <f>D1383*C1383</f>
        <v>0</v>
      </c>
      <c r="F1383" s="1" t="s">
        <v>3978</v>
      </c>
      <c r="G1383" s="17">
        <v>72185</v>
      </c>
    </row>
    <row r="1384" spans="1:7">
      <c r="A1384" s="1" t="s">
        <v>3979</v>
      </c>
      <c r="B1384" s="1" t="s">
        <v>3980</v>
      </c>
      <c r="C1384">
        <f>(1-(B7/100))*208.19</f>
        <v>208.19</v>
      </c>
      <c r="D1384" s="1">
        <v>0</v>
      </c>
      <c r="E1384">
        <f>D1384*C1384</f>
        <v>0</v>
      </c>
      <c r="F1384" s="1" t="s">
        <v>3981</v>
      </c>
      <c r="G1384" s="17">
        <v>72200</v>
      </c>
    </row>
    <row r="1385" spans="1:7">
      <c r="A1385" s="1" t="s">
        <v>3982</v>
      </c>
      <c r="B1385" s="1" t="s">
        <v>3983</v>
      </c>
      <c r="C1385">
        <f>(1-(B7/100))*208.19</f>
        <v>208.19</v>
      </c>
      <c r="D1385" s="1">
        <v>0</v>
      </c>
      <c r="E1385">
        <f>D1385*C1385</f>
        <v>0</v>
      </c>
      <c r="F1385" s="1" t="s">
        <v>16</v>
      </c>
      <c r="G1385" s="17">
        <v>72201</v>
      </c>
    </row>
    <row r="1386" spans="1:7">
      <c r="A1386" s="1" t="s">
        <v>3984</v>
      </c>
      <c r="B1386" s="1" t="s">
        <v>3985</v>
      </c>
      <c r="C1386">
        <f>(1-(B7/100))*47.85</f>
        <v>47.85</v>
      </c>
      <c r="D1386" s="1">
        <v>0</v>
      </c>
      <c r="E1386">
        <f>D1386*C1386</f>
        <v>0</v>
      </c>
      <c r="F1386" s="1" t="s">
        <v>16</v>
      </c>
      <c r="G1386" s="17">
        <v>72315</v>
      </c>
    </row>
    <row r="1387" spans="1:7">
      <c r="A1387" s="1" t="s">
        <v>3986</v>
      </c>
      <c r="B1387" s="1" t="s">
        <v>3987</v>
      </c>
      <c r="C1387">
        <f>(1-(B7/100))*265.96</f>
        <v>265.96</v>
      </c>
      <c r="D1387" s="1">
        <v>0</v>
      </c>
      <c r="E1387">
        <f>D1387*C1387</f>
        <v>0</v>
      </c>
      <c r="F1387" s="1" t="s">
        <v>3988</v>
      </c>
      <c r="G1387" s="17">
        <v>72416</v>
      </c>
    </row>
    <row r="1388" spans="1:7">
      <c r="A1388" s="1" t="s">
        <v>3989</v>
      </c>
      <c r="B1388" s="1" t="s">
        <v>3990</v>
      </c>
      <c r="C1388">
        <f>(1-(B7/100))*748.9</f>
        <v>748.9</v>
      </c>
      <c r="D1388" s="1">
        <v>0</v>
      </c>
      <c r="E1388">
        <f>D1388*C1388</f>
        <v>0</v>
      </c>
      <c r="F1388" s="1" t="s">
        <v>3991</v>
      </c>
      <c r="G1388" s="17">
        <v>72419</v>
      </c>
    </row>
    <row r="1389" spans="1:7">
      <c r="A1389" s="1" t="s">
        <v>3992</v>
      </c>
      <c r="B1389" s="1" t="s">
        <v>3993</v>
      </c>
      <c r="C1389">
        <f>(1-(B7/100))*429.83</f>
        <v>429.83</v>
      </c>
      <c r="D1389" s="1">
        <v>0</v>
      </c>
      <c r="E1389">
        <f>D1389*C1389</f>
        <v>0</v>
      </c>
      <c r="F1389" s="1" t="s">
        <v>3994</v>
      </c>
      <c r="G1389" s="17">
        <v>72428</v>
      </c>
    </row>
    <row r="1390" spans="1:7">
      <c r="A1390" s="1" t="s">
        <v>3995</v>
      </c>
      <c r="B1390" s="1" t="s">
        <v>3996</v>
      </c>
      <c r="C1390">
        <f>(1-(B7/100))*1002.95</f>
        <v>1002.95</v>
      </c>
      <c r="D1390" s="1">
        <v>0</v>
      </c>
      <c r="E1390">
        <f>D1390*C1390</f>
        <v>0</v>
      </c>
      <c r="F1390" s="1" t="s">
        <v>3997</v>
      </c>
      <c r="G1390" s="17">
        <v>72429</v>
      </c>
    </row>
    <row r="1391" spans="1:7">
      <c r="A1391" s="1" t="s">
        <v>3998</v>
      </c>
      <c r="B1391" s="1" t="s">
        <v>3999</v>
      </c>
      <c r="C1391">
        <f>(1-(B7/100))*266.8</f>
        <v>266.8</v>
      </c>
      <c r="D1391" s="1">
        <v>0</v>
      </c>
      <c r="E1391">
        <f>D1391*C1391</f>
        <v>0</v>
      </c>
      <c r="F1391" s="1" t="s">
        <v>4000</v>
      </c>
      <c r="G1391" s="17">
        <v>72430</v>
      </c>
    </row>
    <row r="1392" spans="1:7">
      <c r="A1392" s="1" t="s">
        <v>4001</v>
      </c>
      <c r="B1392" s="1" t="s">
        <v>4002</v>
      </c>
      <c r="C1392">
        <f>(1-(B7/100))*3645</f>
        <v>3645</v>
      </c>
      <c r="D1392" s="1">
        <v>0</v>
      </c>
      <c r="E1392">
        <f>D1392*C1392</f>
        <v>0</v>
      </c>
      <c r="F1392" s="1" t="s">
        <v>4003</v>
      </c>
      <c r="G1392" s="17">
        <v>72432</v>
      </c>
    </row>
    <row r="1393" spans="1:7">
      <c r="A1393" s="1" t="s">
        <v>4004</v>
      </c>
      <c r="B1393" s="1" t="s">
        <v>4005</v>
      </c>
      <c r="C1393">
        <f>(1-(B7/100))*4044.87</f>
        <v>4044.87</v>
      </c>
      <c r="D1393" s="1">
        <v>0</v>
      </c>
      <c r="E1393">
        <f>D1393*C1393</f>
        <v>0</v>
      </c>
      <c r="F1393" s="1" t="s">
        <v>4006</v>
      </c>
      <c r="G1393" s="17">
        <v>72433</v>
      </c>
    </row>
    <row r="1394" spans="1:7">
      <c r="A1394" s="1" t="s">
        <v>4007</v>
      </c>
      <c r="B1394" s="1" t="s">
        <v>4008</v>
      </c>
      <c r="C1394">
        <f>(1-(B7/100))*4412.76</f>
        <v>4412.76</v>
      </c>
      <c r="D1394" s="1">
        <v>0</v>
      </c>
      <c r="E1394">
        <f>D1394*C1394</f>
        <v>0</v>
      </c>
      <c r="F1394" s="1" t="s">
        <v>4009</v>
      </c>
      <c r="G1394" s="17">
        <v>72434</v>
      </c>
    </row>
    <row r="1395" spans="1:7">
      <c r="A1395" s="1" t="s">
        <v>4010</v>
      </c>
      <c r="B1395" s="1" t="s">
        <v>4011</v>
      </c>
      <c r="C1395">
        <f>(1-(B7/100))*154.33</f>
        <v>154.33</v>
      </c>
      <c r="D1395" s="1">
        <v>0</v>
      </c>
      <c r="E1395">
        <f>D1395*C1395</f>
        <v>0</v>
      </c>
      <c r="F1395" s="1" t="s">
        <v>4012</v>
      </c>
      <c r="G1395" s="17">
        <v>72486</v>
      </c>
    </row>
    <row r="1396" spans="1:7">
      <c r="A1396" s="1" t="s">
        <v>4013</v>
      </c>
      <c r="B1396" s="1" t="s">
        <v>4014</v>
      </c>
      <c r="C1396">
        <f>(1-(B7/100))*229.2</f>
        <v>229.2</v>
      </c>
      <c r="D1396" s="1">
        <v>0</v>
      </c>
      <c r="E1396">
        <f>D1396*C1396</f>
        <v>0</v>
      </c>
      <c r="F1396" s="1" t="s">
        <v>16</v>
      </c>
      <c r="G1396" s="17">
        <v>72538</v>
      </c>
    </row>
    <row r="1397" spans="1:7">
      <c r="A1397" s="1" t="s">
        <v>4015</v>
      </c>
      <c r="B1397" s="1" t="s">
        <v>4016</v>
      </c>
      <c r="C1397">
        <f>(1-(B7/100))*208.19</f>
        <v>208.19</v>
      </c>
      <c r="D1397" s="1">
        <v>0</v>
      </c>
      <c r="E1397">
        <f>D1397*C1397</f>
        <v>0</v>
      </c>
      <c r="F1397" s="1" t="s">
        <v>16</v>
      </c>
      <c r="G1397" s="17">
        <v>72819</v>
      </c>
    </row>
    <row r="1398" spans="1:7">
      <c r="A1398" s="1" t="s">
        <v>4017</v>
      </c>
      <c r="B1398" s="1" t="s">
        <v>4018</v>
      </c>
      <c r="C1398">
        <f>(1-(B7/100))*320.32</f>
        <v>320.32</v>
      </c>
      <c r="D1398" s="1">
        <v>0</v>
      </c>
      <c r="E1398">
        <f>D1398*C1398</f>
        <v>0</v>
      </c>
      <c r="F1398" s="1" t="s">
        <v>4019</v>
      </c>
      <c r="G1398" s="17">
        <v>72864</v>
      </c>
    </row>
    <row r="1399" spans="1:7">
      <c r="A1399" s="1" t="s">
        <v>4020</v>
      </c>
      <c r="B1399" s="1" t="s">
        <v>4021</v>
      </c>
      <c r="C1399">
        <f>(1-(B7/100))*347.99</f>
        <v>347.99</v>
      </c>
      <c r="D1399" s="1">
        <v>0</v>
      </c>
      <c r="E1399">
        <f>D1399*C1399</f>
        <v>0</v>
      </c>
      <c r="F1399" s="1" t="s">
        <v>4022</v>
      </c>
      <c r="G1399" s="17">
        <v>72966</v>
      </c>
    </row>
    <row r="1400" spans="1:7">
      <c r="A1400" s="1" t="s">
        <v>4023</v>
      </c>
      <c r="B1400" s="1" t="s">
        <v>4024</v>
      </c>
      <c r="C1400">
        <f>(1-(B7/100))*347.99</f>
        <v>347.99</v>
      </c>
      <c r="D1400" s="1">
        <v>0</v>
      </c>
      <c r="E1400">
        <f>D1400*C1400</f>
        <v>0</v>
      </c>
      <c r="F1400" s="1" t="s">
        <v>4025</v>
      </c>
      <c r="G1400" s="17">
        <v>72967</v>
      </c>
    </row>
    <row r="1401" spans="1:7">
      <c r="A1401" s="1" t="s">
        <v>4026</v>
      </c>
      <c r="B1401" s="1" t="s">
        <v>4027</v>
      </c>
      <c r="C1401">
        <f>(1-(B7/100))*271.87</f>
        <v>271.87</v>
      </c>
      <c r="D1401" s="1">
        <v>0</v>
      </c>
      <c r="E1401">
        <f>D1401*C1401</f>
        <v>0</v>
      </c>
      <c r="F1401" s="1" t="s">
        <v>4028</v>
      </c>
      <c r="G1401" s="17">
        <v>72997</v>
      </c>
    </row>
    <row r="1402" spans="1:7">
      <c r="A1402" s="1" t="s">
        <v>4029</v>
      </c>
      <c r="B1402" s="1" t="s">
        <v>4030</v>
      </c>
      <c r="C1402">
        <f>(1-(B7/100))*271.87</f>
        <v>271.87</v>
      </c>
      <c r="D1402" s="1">
        <v>0</v>
      </c>
      <c r="E1402">
        <f>D1402*C1402</f>
        <v>0</v>
      </c>
      <c r="F1402" s="1" t="s">
        <v>4031</v>
      </c>
      <c r="G1402" s="17">
        <v>73193</v>
      </c>
    </row>
    <row r="1403" spans="1:7">
      <c r="A1403" s="1" t="s">
        <v>4032</v>
      </c>
      <c r="B1403" s="1" t="s">
        <v>4033</v>
      </c>
      <c r="C1403">
        <f>(1-(B7/100))*35.34</f>
        <v>35.34</v>
      </c>
      <c r="D1403" s="1">
        <v>0</v>
      </c>
      <c r="E1403">
        <f>D1403*C1403</f>
        <v>0</v>
      </c>
      <c r="F1403" s="1" t="s">
        <v>4034</v>
      </c>
      <c r="G1403" s="17">
        <v>73338</v>
      </c>
    </row>
    <row r="1404" spans="1:7">
      <c r="A1404" s="1" t="s">
        <v>4035</v>
      </c>
      <c r="B1404" s="1" t="s">
        <v>4036</v>
      </c>
      <c r="C1404">
        <f>(1-(B7/100))*315.4</f>
        <v>315.4</v>
      </c>
      <c r="D1404" s="1">
        <v>0</v>
      </c>
      <c r="E1404">
        <f>D1404*C1404</f>
        <v>0</v>
      </c>
      <c r="F1404" s="1" t="s">
        <v>4037</v>
      </c>
      <c r="G1404" s="17">
        <v>74100</v>
      </c>
    </row>
    <row r="1405" spans="1:7">
      <c r="A1405" s="1" t="s">
        <v>4038</v>
      </c>
      <c r="B1405" s="1" t="s">
        <v>4039</v>
      </c>
      <c r="C1405">
        <f>(1-(B7/100))*138.36</f>
        <v>138.36</v>
      </c>
      <c r="D1405" s="1">
        <v>0</v>
      </c>
      <c r="E1405">
        <f>D1405*C1405</f>
        <v>0</v>
      </c>
      <c r="F1405" s="1" t="s">
        <v>4040</v>
      </c>
      <c r="G1405" s="17">
        <v>75449</v>
      </c>
    </row>
    <row r="1406" spans="1:7">
      <c r="A1406" s="1" t="s">
        <v>4041</v>
      </c>
      <c r="B1406" s="1" t="s">
        <v>4042</v>
      </c>
      <c r="C1406">
        <f>(1-(B7/100))*36.52</f>
        <v>36.52</v>
      </c>
      <c r="D1406" s="1">
        <v>0</v>
      </c>
      <c r="E1406">
        <f>D1406*C1406</f>
        <v>0</v>
      </c>
      <c r="F1406" s="1" t="s">
        <v>4043</v>
      </c>
      <c r="G1406" s="17">
        <v>76771</v>
      </c>
    </row>
    <row r="1407" spans="1:7">
      <c r="A1407" s="1" t="s">
        <v>4044</v>
      </c>
      <c r="B1407" s="1" t="s">
        <v>4045</v>
      </c>
      <c r="C1407">
        <f>(1-(B7/100))*459.62</f>
        <v>459.62</v>
      </c>
      <c r="D1407" s="1">
        <v>0</v>
      </c>
      <c r="E1407">
        <f>D1407*C1407</f>
        <v>0</v>
      </c>
      <c r="F1407" s="1" t="s">
        <v>4046</v>
      </c>
      <c r="G1407" s="17">
        <v>76823</v>
      </c>
    </row>
    <row r="1408" spans="1:7">
      <c r="A1408" s="1" t="s">
        <v>4047</v>
      </c>
      <c r="B1408" s="1" t="s">
        <v>4048</v>
      </c>
      <c r="C1408">
        <f>(1-(B7/100))*636.78</f>
        <v>636.78</v>
      </c>
      <c r="D1408" s="1">
        <v>0</v>
      </c>
      <c r="E1408">
        <f>D1408*C1408</f>
        <v>0</v>
      </c>
      <c r="F1408" s="1" t="s">
        <v>4049</v>
      </c>
      <c r="G1408" s="17">
        <v>76825</v>
      </c>
    </row>
    <row r="1409" spans="1:7">
      <c r="A1409" s="1" t="s">
        <v>4050</v>
      </c>
      <c r="B1409" s="1" t="s">
        <v>4051</v>
      </c>
      <c r="C1409">
        <f>(1-(B7/100))*636.78</f>
        <v>636.78</v>
      </c>
      <c r="D1409" s="1">
        <v>0</v>
      </c>
      <c r="E1409">
        <f>D1409*C1409</f>
        <v>0</v>
      </c>
      <c r="F1409" s="1" t="s">
        <v>4052</v>
      </c>
      <c r="G1409" s="17">
        <v>76826</v>
      </c>
    </row>
    <row r="1410" spans="1:7">
      <c r="A1410" s="1" t="s">
        <v>4053</v>
      </c>
      <c r="B1410" s="1" t="s">
        <v>4054</v>
      </c>
      <c r="C1410">
        <f>(1-(B7/100))*459.62</f>
        <v>459.62</v>
      </c>
      <c r="D1410" s="1">
        <v>0</v>
      </c>
      <c r="E1410">
        <f>D1410*C1410</f>
        <v>0</v>
      </c>
      <c r="F1410" s="1" t="s">
        <v>4055</v>
      </c>
      <c r="G1410" s="17">
        <v>76828</v>
      </c>
    </row>
    <row r="1411" spans="1:7">
      <c r="A1411" s="1" t="s">
        <v>4056</v>
      </c>
      <c r="B1411" s="1" t="s">
        <v>4057</v>
      </c>
      <c r="C1411">
        <f>(1-(B7/100))*459.62</f>
        <v>459.62</v>
      </c>
      <c r="D1411" s="1">
        <v>0</v>
      </c>
      <c r="E1411">
        <f>D1411*C1411</f>
        <v>0</v>
      </c>
      <c r="F1411" s="1" t="s">
        <v>4058</v>
      </c>
      <c r="G1411" s="17">
        <v>76830</v>
      </c>
    </row>
    <row r="1412" spans="1:7">
      <c r="A1412" s="1" t="s">
        <v>4059</v>
      </c>
      <c r="B1412" s="1" t="s">
        <v>4060</v>
      </c>
      <c r="C1412">
        <f>(1-(B7/100))*459.62</f>
        <v>459.62</v>
      </c>
      <c r="D1412" s="1">
        <v>0</v>
      </c>
      <c r="E1412">
        <f>D1412*C1412</f>
        <v>0</v>
      </c>
      <c r="F1412" s="1" t="s">
        <v>4061</v>
      </c>
      <c r="G1412" s="17">
        <v>76832</v>
      </c>
    </row>
    <row r="1413" spans="1:7">
      <c r="A1413" s="1" t="s">
        <v>4062</v>
      </c>
      <c r="B1413" s="1" t="s">
        <v>4063</v>
      </c>
      <c r="C1413">
        <f>(1-(B7/100))*628.9</f>
        <v>628.9</v>
      </c>
      <c r="D1413" s="1">
        <v>0</v>
      </c>
      <c r="E1413">
        <f>D1413*C1413</f>
        <v>0</v>
      </c>
      <c r="F1413" s="1" t="s">
        <v>4064</v>
      </c>
      <c r="G1413" s="17">
        <v>76838</v>
      </c>
    </row>
    <row r="1414" spans="1:7">
      <c r="A1414" s="1" t="s">
        <v>4065</v>
      </c>
      <c r="B1414" s="1" t="s">
        <v>4066</v>
      </c>
      <c r="C1414">
        <f>(1-(B7/100))*483.67</f>
        <v>483.67</v>
      </c>
      <c r="D1414" s="1">
        <v>0</v>
      </c>
      <c r="E1414">
        <f>D1414*C1414</f>
        <v>0</v>
      </c>
      <c r="F1414" s="1" t="s">
        <v>4067</v>
      </c>
      <c r="G1414" s="17">
        <v>76840</v>
      </c>
    </row>
    <row r="1415" spans="1:7">
      <c r="A1415" s="1" t="s">
        <v>4068</v>
      </c>
      <c r="B1415" s="1" t="s">
        <v>4069</v>
      </c>
      <c r="C1415">
        <f>(1-(B7/100))*247.52</f>
        <v>247.52</v>
      </c>
      <c r="D1415" s="1">
        <v>0</v>
      </c>
      <c r="E1415">
        <f>D1415*C1415</f>
        <v>0</v>
      </c>
      <c r="F1415" s="1" t="s">
        <v>4070</v>
      </c>
      <c r="G1415" s="17">
        <v>76846</v>
      </c>
    </row>
    <row r="1416" spans="1:7">
      <c r="A1416" s="1" t="s">
        <v>4071</v>
      </c>
      <c r="B1416" s="1" t="s">
        <v>4072</v>
      </c>
      <c r="C1416">
        <f>(1-(B7/100))*83.46</f>
        <v>83.46</v>
      </c>
      <c r="D1416" s="1">
        <v>0</v>
      </c>
      <c r="E1416">
        <f>D1416*C1416</f>
        <v>0</v>
      </c>
      <c r="F1416" s="1" t="s">
        <v>4073</v>
      </c>
      <c r="G1416" s="17">
        <v>76848</v>
      </c>
    </row>
    <row r="1417" spans="1:7">
      <c r="A1417" s="1" t="s">
        <v>4074</v>
      </c>
      <c r="B1417" s="1" t="s">
        <v>4075</v>
      </c>
      <c r="C1417">
        <f>(1-(B7/100))*505.98</f>
        <v>505.98</v>
      </c>
      <c r="D1417" s="1">
        <v>0</v>
      </c>
      <c r="E1417">
        <f>D1417*C1417</f>
        <v>0</v>
      </c>
      <c r="F1417" s="1" t="s">
        <v>4076</v>
      </c>
      <c r="G1417" s="17">
        <v>76850</v>
      </c>
    </row>
    <row r="1418" spans="1:7">
      <c r="A1418" s="1" t="s">
        <v>4077</v>
      </c>
      <c r="B1418" s="1" t="s">
        <v>4078</v>
      </c>
      <c r="C1418">
        <f>(1-(B7/100))*217.5</f>
        <v>217.5</v>
      </c>
      <c r="D1418" s="1">
        <v>0</v>
      </c>
      <c r="E1418">
        <f>D1418*C1418</f>
        <v>0</v>
      </c>
      <c r="F1418" s="1" t="s">
        <v>4079</v>
      </c>
      <c r="G1418" s="17">
        <v>76858</v>
      </c>
    </row>
    <row r="1419" spans="1:7">
      <c r="A1419" s="1" t="s">
        <v>4080</v>
      </c>
      <c r="B1419" s="1" t="s">
        <v>4081</v>
      </c>
      <c r="C1419">
        <f>(1-(B7/100))*116.28</f>
        <v>116.28</v>
      </c>
      <c r="D1419" s="1">
        <v>0</v>
      </c>
      <c r="E1419">
        <f>D1419*C1419</f>
        <v>0</v>
      </c>
      <c r="F1419" s="1" t="s">
        <v>4082</v>
      </c>
      <c r="G1419" s="17">
        <v>76859</v>
      </c>
    </row>
    <row r="1420" spans="1:7">
      <c r="A1420" s="1" t="s">
        <v>4083</v>
      </c>
      <c r="B1420" s="1" t="s">
        <v>4084</v>
      </c>
      <c r="C1420">
        <f>(1-(B7/100))*158.33</f>
        <v>158.33</v>
      </c>
      <c r="D1420" s="1">
        <v>0</v>
      </c>
      <c r="E1420">
        <f>D1420*C1420</f>
        <v>0</v>
      </c>
      <c r="F1420" s="1" t="s">
        <v>4085</v>
      </c>
      <c r="G1420" s="17">
        <v>76863</v>
      </c>
    </row>
    <row r="1421" spans="1:7">
      <c r="A1421" s="1" t="s">
        <v>4086</v>
      </c>
      <c r="B1421" s="1" t="s">
        <v>4087</v>
      </c>
      <c r="C1421">
        <f>(1-(B7/100))*168.09</f>
        <v>168.09</v>
      </c>
      <c r="D1421" s="1">
        <v>0</v>
      </c>
      <c r="E1421">
        <f>D1421*C1421</f>
        <v>0</v>
      </c>
      <c r="F1421" s="1" t="s">
        <v>4088</v>
      </c>
      <c r="G1421" s="17">
        <v>76872</v>
      </c>
    </row>
    <row r="1422" spans="1:7">
      <c r="A1422" s="1" t="s">
        <v>4089</v>
      </c>
      <c r="B1422" s="1" t="s">
        <v>4090</v>
      </c>
      <c r="C1422">
        <f>(1-(B7/100))*36.11</f>
        <v>36.11</v>
      </c>
      <c r="D1422" s="1">
        <v>0</v>
      </c>
      <c r="E1422">
        <f>D1422*C1422</f>
        <v>0</v>
      </c>
      <c r="F1422" s="1" t="s">
        <v>4091</v>
      </c>
      <c r="G1422" s="17">
        <v>76875</v>
      </c>
    </row>
    <row r="1423" spans="1:7">
      <c r="A1423" s="1" t="s">
        <v>4092</v>
      </c>
      <c r="B1423" s="1" t="s">
        <v>4093</v>
      </c>
      <c r="C1423">
        <f>(1-(B7/100))*323.34</f>
        <v>323.34</v>
      </c>
      <c r="D1423" s="1">
        <v>0</v>
      </c>
      <c r="E1423">
        <f>D1423*C1423</f>
        <v>0</v>
      </c>
      <c r="F1423" s="1" t="s">
        <v>4094</v>
      </c>
      <c r="G1423" s="17">
        <v>76876</v>
      </c>
    </row>
    <row r="1424" spans="1:7">
      <c r="A1424" s="1" t="s">
        <v>4095</v>
      </c>
      <c r="B1424" s="1" t="s">
        <v>4096</v>
      </c>
      <c r="C1424">
        <f>(1-(B7/100))*195.87</f>
        <v>195.87</v>
      </c>
      <c r="D1424" s="1">
        <v>0</v>
      </c>
      <c r="E1424">
        <f>D1424*C1424</f>
        <v>0</v>
      </c>
      <c r="F1424" s="1" t="s">
        <v>4097</v>
      </c>
      <c r="G1424" s="17">
        <v>76879</v>
      </c>
    </row>
    <row r="1425" spans="1:7">
      <c r="A1425" s="1" t="s">
        <v>4098</v>
      </c>
      <c r="B1425" s="1" t="s">
        <v>4099</v>
      </c>
      <c r="C1425">
        <f>(1-(B7/100))*275.73</f>
        <v>275.73</v>
      </c>
      <c r="D1425" s="1">
        <v>0</v>
      </c>
      <c r="E1425">
        <f>D1425*C1425</f>
        <v>0</v>
      </c>
      <c r="F1425" s="1" t="s">
        <v>4100</v>
      </c>
      <c r="G1425" s="17">
        <v>76880</v>
      </c>
    </row>
    <row r="1426" spans="1:7">
      <c r="A1426" s="1" t="s">
        <v>4101</v>
      </c>
      <c r="B1426" s="1" t="s">
        <v>4102</v>
      </c>
      <c r="C1426">
        <f>(1-(B7/100))*355.59</f>
        <v>355.59</v>
      </c>
      <c r="D1426" s="1">
        <v>0</v>
      </c>
      <c r="E1426">
        <f>D1426*C1426</f>
        <v>0</v>
      </c>
      <c r="F1426" s="1" t="s">
        <v>4103</v>
      </c>
      <c r="G1426" s="17">
        <v>76883</v>
      </c>
    </row>
    <row r="1427" spans="1:7">
      <c r="A1427" s="1" t="s">
        <v>4104</v>
      </c>
      <c r="B1427" s="1" t="s">
        <v>4105</v>
      </c>
      <c r="C1427">
        <f>(1-(B7/100))*144.61</f>
        <v>144.61</v>
      </c>
      <c r="D1427" s="1">
        <v>0</v>
      </c>
      <c r="E1427">
        <f>D1427*C1427</f>
        <v>0</v>
      </c>
      <c r="F1427" s="1" t="s">
        <v>4106</v>
      </c>
      <c r="G1427" s="17">
        <v>76884</v>
      </c>
    </row>
    <row r="1428" spans="1:7">
      <c r="A1428" s="1" t="s">
        <v>4107</v>
      </c>
      <c r="B1428" s="1" t="s">
        <v>4108</v>
      </c>
      <c r="C1428">
        <f>(1-(B7/100))*79.06</f>
        <v>79.06</v>
      </c>
      <c r="D1428" s="1">
        <v>0</v>
      </c>
      <c r="E1428">
        <f>D1428*C1428</f>
        <v>0</v>
      </c>
      <c r="F1428" s="1" t="s">
        <v>4109</v>
      </c>
      <c r="G1428" s="17">
        <v>76890</v>
      </c>
    </row>
    <row r="1429" spans="1:7">
      <c r="A1429" s="1" t="s">
        <v>4110</v>
      </c>
      <c r="B1429" s="1" t="s">
        <v>4111</v>
      </c>
      <c r="C1429">
        <f>(1-(B7/100))*20.61</f>
        <v>20.61</v>
      </c>
      <c r="D1429" s="1">
        <v>0</v>
      </c>
      <c r="E1429">
        <f>D1429*C1429</f>
        <v>0</v>
      </c>
      <c r="F1429" s="1" t="s">
        <v>4112</v>
      </c>
      <c r="G1429" s="17">
        <v>76891</v>
      </c>
    </row>
    <row r="1430" spans="1:7">
      <c r="A1430" s="1" t="s">
        <v>4113</v>
      </c>
      <c r="B1430" s="1" t="s">
        <v>4114</v>
      </c>
      <c r="C1430">
        <f>(1-(B7/100))*73.87</f>
        <v>73.87</v>
      </c>
      <c r="D1430" s="1">
        <v>0</v>
      </c>
      <c r="E1430">
        <f>D1430*C1430</f>
        <v>0</v>
      </c>
      <c r="F1430" s="1" t="s">
        <v>4115</v>
      </c>
      <c r="G1430" s="17">
        <v>76892</v>
      </c>
    </row>
    <row r="1431" spans="1:7">
      <c r="A1431" s="1" t="s">
        <v>4116</v>
      </c>
      <c r="B1431" s="1" t="s">
        <v>4117</v>
      </c>
      <c r="C1431">
        <f>(1-(B7/100))*73.87</f>
        <v>73.87</v>
      </c>
      <c r="D1431" s="1">
        <v>0</v>
      </c>
      <c r="E1431">
        <f>D1431*C1431</f>
        <v>0</v>
      </c>
      <c r="F1431" s="1" t="s">
        <v>4118</v>
      </c>
      <c r="G1431" s="17">
        <v>76893</v>
      </c>
    </row>
    <row r="1432" spans="1:7">
      <c r="A1432" s="1" t="s">
        <v>4119</v>
      </c>
      <c r="B1432" s="1" t="s">
        <v>4120</v>
      </c>
      <c r="C1432">
        <f>(1-(B7/100))*32.24</f>
        <v>32.24</v>
      </c>
      <c r="D1432" s="1">
        <v>0</v>
      </c>
      <c r="E1432">
        <f>D1432*C1432</f>
        <v>0</v>
      </c>
      <c r="F1432" s="1" t="s">
        <v>4121</v>
      </c>
      <c r="G1432" s="17">
        <v>76898</v>
      </c>
    </row>
    <row r="1433" spans="1:7">
      <c r="A1433" s="1" t="s">
        <v>4122</v>
      </c>
      <c r="B1433" s="1" t="s">
        <v>4123</v>
      </c>
      <c r="C1433">
        <f>(1-(B7/100))*113.97</f>
        <v>113.97</v>
      </c>
      <c r="D1433" s="1">
        <v>0</v>
      </c>
      <c r="E1433">
        <f>D1433*C1433</f>
        <v>0</v>
      </c>
      <c r="F1433" s="1" t="s">
        <v>4124</v>
      </c>
      <c r="G1433" s="17">
        <v>76899</v>
      </c>
    </row>
    <row r="1434" spans="1:7">
      <c r="A1434" s="1" t="s">
        <v>4125</v>
      </c>
      <c r="B1434" s="1" t="s">
        <v>4126</v>
      </c>
      <c r="C1434">
        <f>(1-(B7/100))*165.61</f>
        <v>165.61</v>
      </c>
      <c r="D1434" s="1">
        <v>0</v>
      </c>
      <c r="E1434">
        <f>D1434*C1434</f>
        <v>0</v>
      </c>
      <c r="F1434" s="1" t="s">
        <v>4127</v>
      </c>
      <c r="G1434" s="17">
        <v>76900</v>
      </c>
    </row>
    <row r="1435" spans="1:7">
      <c r="A1435" s="1" t="s">
        <v>4128</v>
      </c>
      <c r="B1435" s="1" t="s">
        <v>4129</v>
      </c>
      <c r="C1435">
        <f>(1-(B7/100))*296.3</f>
        <v>296.3</v>
      </c>
      <c r="D1435" s="1">
        <v>0</v>
      </c>
      <c r="E1435">
        <f>D1435*C1435</f>
        <v>0</v>
      </c>
      <c r="F1435" s="1" t="s">
        <v>4130</v>
      </c>
      <c r="G1435" s="17">
        <v>76908</v>
      </c>
    </row>
    <row r="1436" spans="1:7">
      <c r="A1436" s="1" t="s">
        <v>4131</v>
      </c>
      <c r="B1436" s="1" t="s">
        <v>4132</v>
      </c>
      <c r="C1436">
        <f>(1-(B7/100))*124</f>
        <v>124</v>
      </c>
      <c r="D1436" s="1">
        <v>0</v>
      </c>
      <c r="E1436">
        <f>D1436*C1436</f>
        <v>0</v>
      </c>
      <c r="F1436" s="1" t="s">
        <v>4133</v>
      </c>
      <c r="G1436" s="17">
        <v>76910</v>
      </c>
    </row>
    <row r="1437" spans="1:7">
      <c r="A1437" s="1" t="s">
        <v>4134</v>
      </c>
      <c r="B1437" s="1" t="s">
        <v>4135</v>
      </c>
      <c r="C1437">
        <f>(1-(B7/100))*258.26</f>
        <v>258.26</v>
      </c>
      <c r="D1437" s="1">
        <v>0</v>
      </c>
      <c r="E1437">
        <f>D1437*C1437</f>
        <v>0</v>
      </c>
      <c r="F1437" s="1" t="s">
        <v>4136</v>
      </c>
      <c r="G1437" s="17">
        <v>76919</v>
      </c>
    </row>
    <row r="1438" spans="1:7">
      <c r="A1438" s="1" t="s">
        <v>4137</v>
      </c>
      <c r="B1438" s="1" t="s">
        <v>4138</v>
      </c>
      <c r="C1438">
        <f>(1-(B7/100))*405.33</f>
        <v>405.33</v>
      </c>
      <c r="D1438" s="1">
        <v>0</v>
      </c>
      <c r="E1438">
        <f>D1438*C1438</f>
        <v>0</v>
      </c>
      <c r="F1438" s="1" t="s">
        <v>4139</v>
      </c>
      <c r="G1438" s="17">
        <v>76924</v>
      </c>
    </row>
    <row r="1439" spans="1:7">
      <c r="A1439" s="1" t="s">
        <v>4140</v>
      </c>
      <c r="B1439" s="1" t="s">
        <v>4141</v>
      </c>
      <c r="C1439">
        <f>(1-(B7/100))*372.52</f>
        <v>372.52</v>
      </c>
      <c r="D1439" s="1">
        <v>0</v>
      </c>
      <c r="E1439">
        <f>D1439*C1439</f>
        <v>0</v>
      </c>
      <c r="F1439" s="1" t="s">
        <v>4142</v>
      </c>
      <c r="G1439" s="17">
        <v>76926</v>
      </c>
    </row>
    <row r="1440" spans="1:7">
      <c r="A1440" s="1" t="s">
        <v>4143</v>
      </c>
      <c r="B1440" s="1" t="s">
        <v>4144</v>
      </c>
      <c r="C1440">
        <f>(1-(B7/100))*31.42</f>
        <v>31.42</v>
      </c>
      <c r="D1440" s="1">
        <v>0</v>
      </c>
      <c r="E1440">
        <f>D1440*C1440</f>
        <v>0</v>
      </c>
      <c r="F1440" s="1" t="s">
        <v>4145</v>
      </c>
      <c r="G1440" s="17">
        <v>76943</v>
      </c>
    </row>
    <row r="1441" spans="1:7">
      <c r="A1441" s="1" t="s">
        <v>4146</v>
      </c>
      <c r="B1441" s="1" t="s">
        <v>4147</v>
      </c>
      <c r="C1441">
        <f>(1-(B7/100))*327.08</f>
        <v>327.08</v>
      </c>
      <c r="D1441" s="1">
        <v>0</v>
      </c>
      <c r="E1441">
        <f>D1441*C1441</f>
        <v>0</v>
      </c>
      <c r="F1441" s="1" t="s">
        <v>4148</v>
      </c>
      <c r="G1441" s="17">
        <v>76946</v>
      </c>
    </row>
    <row r="1442" spans="1:7">
      <c r="A1442" s="1" t="s">
        <v>4149</v>
      </c>
      <c r="B1442" s="1" t="s">
        <v>4150</v>
      </c>
      <c r="C1442">
        <f>(1-(B7/100))*249.35</f>
        <v>249.35</v>
      </c>
      <c r="D1442" s="1">
        <v>0</v>
      </c>
      <c r="E1442">
        <f>D1442*C1442</f>
        <v>0</v>
      </c>
      <c r="F1442" s="1" t="s">
        <v>4151</v>
      </c>
      <c r="G1442" s="17">
        <v>76948</v>
      </c>
    </row>
    <row r="1443" spans="1:7">
      <c r="A1443" s="1" t="s">
        <v>4152</v>
      </c>
      <c r="B1443" s="1" t="s">
        <v>4153</v>
      </c>
      <c r="C1443">
        <f>(1-(B7/100))*121.12</f>
        <v>121.12</v>
      </c>
      <c r="D1443" s="1">
        <v>0</v>
      </c>
      <c r="E1443">
        <f>D1443*C1443</f>
        <v>0</v>
      </c>
      <c r="F1443" s="1" t="s">
        <v>4154</v>
      </c>
      <c r="G1443" s="17">
        <v>76951</v>
      </c>
    </row>
    <row r="1444" spans="1:7">
      <c r="A1444" s="1" t="s">
        <v>4155</v>
      </c>
      <c r="B1444" s="1" t="s">
        <v>4156</v>
      </c>
      <c r="C1444">
        <f>(1-(B7/100))*409.48</f>
        <v>409.48</v>
      </c>
      <c r="D1444" s="1">
        <v>0</v>
      </c>
      <c r="E1444">
        <f>D1444*C1444</f>
        <v>0</v>
      </c>
      <c r="F1444" s="1" t="s">
        <v>4157</v>
      </c>
      <c r="G1444" s="17">
        <v>76954</v>
      </c>
    </row>
    <row r="1445" spans="1:7">
      <c r="A1445" s="1" t="s">
        <v>4158</v>
      </c>
      <c r="B1445" s="1" t="s">
        <v>4159</v>
      </c>
      <c r="C1445">
        <f>(1-(B7/100))*132.02</f>
        <v>132.02</v>
      </c>
      <c r="D1445" s="1">
        <v>0</v>
      </c>
      <c r="E1445">
        <f>D1445*C1445</f>
        <v>0</v>
      </c>
      <c r="F1445" s="1" t="s">
        <v>4160</v>
      </c>
      <c r="G1445" s="17">
        <v>76955</v>
      </c>
    </row>
    <row r="1446" spans="1:7">
      <c r="A1446" s="1" t="s">
        <v>4161</v>
      </c>
      <c r="B1446" s="1" t="s">
        <v>4162</v>
      </c>
      <c r="C1446">
        <f>(1-(B7/100))*92.03</f>
        <v>92.03</v>
      </c>
      <c r="D1446" s="1">
        <v>0</v>
      </c>
      <c r="E1446">
        <f>D1446*C1446</f>
        <v>0</v>
      </c>
      <c r="F1446" s="1" t="s">
        <v>4163</v>
      </c>
      <c r="G1446" s="17">
        <v>76961</v>
      </c>
    </row>
    <row r="1447" spans="1:7">
      <c r="A1447" s="1" t="s">
        <v>4164</v>
      </c>
      <c r="B1447" s="1" t="s">
        <v>4165</v>
      </c>
      <c r="C1447">
        <f>(1-(B7/100))*29.45</f>
        <v>29.45</v>
      </c>
      <c r="D1447" s="1">
        <v>0</v>
      </c>
      <c r="E1447">
        <f>D1447*C1447</f>
        <v>0</v>
      </c>
      <c r="F1447" s="1" t="s">
        <v>4166</v>
      </c>
      <c r="G1447" s="17">
        <v>76965</v>
      </c>
    </row>
    <row r="1448" spans="1:7">
      <c r="A1448" s="1" t="s">
        <v>4167</v>
      </c>
      <c r="B1448" s="1" t="s">
        <v>4168</v>
      </c>
      <c r="C1448">
        <f>(1-(B7/100))*29.45</f>
        <v>29.45</v>
      </c>
      <c r="D1448" s="1">
        <v>0</v>
      </c>
      <c r="E1448">
        <f>D1448*C1448</f>
        <v>0</v>
      </c>
      <c r="F1448" s="1" t="s">
        <v>4169</v>
      </c>
      <c r="G1448" s="17">
        <v>76966</v>
      </c>
    </row>
    <row r="1449" spans="1:7">
      <c r="A1449" s="1" t="s">
        <v>4170</v>
      </c>
      <c r="B1449" s="1" t="s">
        <v>4171</v>
      </c>
      <c r="C1449">
        <f>(1-(B7/100))*336.41</f>
        <v>336.41</v>
      </c>
      <c r="D1449" s="1">
        <v>0</v>
      </c>
      <c r="E1449">
        <f>D1449*C1449</f>
        <v>0</v>
      </c>
      <c r="F1449" s="1" t="s">
        <v>4172</v>
      </c>
      <c r="G1449" s="17">
        <v>76967</v>
      </c>
    </row>
    <row r="1450" spans="1:7">
      <c r="A1450" s="1" t="s">
        <v>4173</v>
      </c>
      <c r="B1450" s="1" t="s">
        <v>4174</v>
      </c>
      <c r="C1450">
        <f>(1-(B7/100))*305.57</f>
        <v>305.57</v>
      </c>
      <c r="D1450" s="1">
        <v>0</v>
      </c>
      <c r="E1450">
        <f>D1450*C1450</f>
        <v>0</v>
      </c>
      <c r="F1450" s="1" t="s">
        <v>4175</v>
      </c>
      <c r="G1450" s="17">
        <v>76971</v>
      </c>
    </row>
    <row r="1451" spans="1:7">
      <c r="A1451" s="1" t="s">
        <v>4176</v>
      </c>
      <c r="B1451" s="1" t="s">
        <v>4177</v>
      </c>
      <c r="C1451">
        <f>(1-(B7/100))*267.37</f>
        <v>267.37</v>
      </c>
      <c r="D1451" s="1">
        <v>0</v>
      </c>
      <c r="E1451">
        <f>D1451*C1451</f>
        <v>0</v>
      </c>
      <c r="F1451" s="1" t="s">
        <v>4178</v>
      </c>
      <c r="G1451" s="17">
        <v>76973</v>
      </c>
    </row>
    <row r="1452" spans="1:7">
      <c r="A1452" s="1" t="s">
        <v>4179</v>
      </c>
      <c r="B1452" s="1" t="s">
        <v>4180</v>
      </c>
      <c r="C1452">
        <f>(1-(B7/100))*239.75</f>
        <v>239.75</v>
      </c>
      <c r="D1452" s="1">
        <v>0</v>
      </c>
      <c r="E1452">
        <f>D1452*C1452</f>
        <v>0</v>
      </c>
      <c r="F1452" s="1" t="s">
        <v>4181</v>
      </c>
      <c r="G1452" s="17">
        <v>76974</v>
      </c>
    </row>
    <row r="1453" spans="1:7">
      <c r="A1453" s="1" t="s">
        <v>4182</v>
      </c>
      <c r="B1453" s="1" t="s">
        <v>4183</v>
      </c>
      <c r="C1453">
        <f>(1-(B7/100))*335.25</f>
        <v>335.25</v>
      </c>
      <c r="D1453" s="1">
        <v>0</v>
      </c>
      <c r="E1453">
        <f>D1453*C1453</f>
        <v>0</v>
      </c>
      <c r="F1453" s="1" t="s">
        <v>4184</v>
      </c>
      <c r="G1453" s="17">
        <v>76978</v>
      </c>
    </row>
    <row r="1454" spans="1:7">
      <c r="A1454" s="1" t="s">
        <v>4185</v>
      </c>
      <c r="B1454" s="1" t="s">
        <v>4186</v>
      </c>
      <c r="C1454">
        <f>(1-(B7/100))*148.02</f>
        <v>148.02</v>
      </c>
      <c r="D1454" s="1">
        <v>0</v>
      </c>
      <c r="E1454">
        <f>D1454*C1454</f>
        <v>0</v>
      </c>
      <c r="F1454" s="1" t="s">
        <v>4187</v>
      </c>
      <c r="G1454" s="17">
        <v>76979</v>
      </c>
    </row>
    <row r="1455" spans="1:7">
      <c r="A1455" s="1" t="s">
        <v>4188</v>
      </c>
      <c r="B1455" s="1" t="s">
        <v>4189</v>
      </c>
      <c r="C1455">
        <f>(1-(B7/100))*124.69</f>
        <v>124.69</v>
      </c>
      <c r="D1455" s="1">
        <v>0</v>
      </c>
      <c r="E1455">
        <f>D1455*C1455</f>
        <v>0</v>
      </c>
      <c r="F1455" s="1" t="s">
        <v>4190</v>
      </c>
      <c r="G1455" s="17">
        <v>76980</v>
      </c>
    </row>
    <row r="1456" spans="1:7">
      <c r="A1456" s="1" t="s">
        <v>4191</v>
      </c>
      <c r="B1456" s="1" t="s">
        <v>4192</v>
      </c>
      <c r="C1456">
        <f>(1-(B7/100))*88.86</f>
        <v>88.86</v>
      </c>
      <c r="D1456" s="1">
        <v>0</v>
      </c>
      <c r="E1456">
        <f>D1456*C1456</f>
        <v>0</v>
      </c>
      <c r="F1456" s="1" t="s">
        <v>4193</v>
      </c>
      <c r="G1456" s="17">
        <v>76981</v>
      </c>
    </row>
    <row r="1457" spans="1:7">
      <c r="A1457" s="1" t="s">
        <v>4194</v>
      </c>
      <c r="B1457" s="1" t="s">
        <v>4195</v>
      </c>
      <c r="C1457">
        <f>(1-(B7/100))*172.63</f>
        <v>172.63</v>
      </c>
      <c r="D1457" s="1">
        <v>0</v>
      </c>
      <c r="E1457">
        <f>D1457*C1457</f>
        <v>0</v>
      </c>
      <c r="F1457" s="1" t="s">
        <v>4196</v>
      </c>
      <c r="G1457" s="17">
        <v>76985</v>
      </c>
    </row>
    <row r="1458" spans="1:7">
      <c r="A1458" s="1" t="s">
        <v>4197</v>
      </c>
      <c r="B1458" s="1" t="s">
        <v>4198</v>
      </c>
      <c r="C1458">
        <f>(1-(B7/100))*453.38</f>
        <v>453.38</v>
      </c>
      <c r="D1458" s="1">
        <v>0</v>
      </c>
      <c r="E1458">
        <f>D1458*C1458</f>
        <v>0</v>
      </c>
      <c r="F1458" s="1" t="s">
        <v>4199</v>
      </c>
      <c r="G1458" s="17">
        <v>76987</v>
      </c>
    </row>
    <row r="1459" spans="1:7">
      <c r="A1459" s="1" t="s">
        <v>4200</v>
      </c>
      <c r="B1459" s="1" t="s">
        <v>4201</v>
      </c>
      <c r="C1459">
        <f>(1-(B7/100))*107.96</f>
        <v>107.96</v>
      </c>
      <c r="D1459" s="1">
        <v>0</v>
      </c>
      <c r="E1459">
        <f>D1459*C1459</f>
        <v>0</v>
      </c>
      <c r="F1459" s="1" t="s">
        <v>4202</v>
      </c>
      <c r="G1459" s="17">
        <v>76988</v>
      </c>
    </row>
    <row r="1460" spans="1:7">
      <c r="A1460" s="1" t="s">
        <v>4203</v>
      </c>
      <c r="B1460" s="1" t="s">
        <v>4204</v>
      </c>
      <c r="C1460">
        <f>(1-(B7/100))*36.13</f>
        <v>36.13</v>
      </c>
      <c r="D1460" s="1">
        <v>0</v>
      </c>
      <c r="E1460">
        <f>D1460*C1460</f>
        <v>0</v>
      </c>
      <c r="F1460" s="1" t="s">
        <v>4205</v>
      </c>
      <c r="G1460" s="17">
        <v>76990</v>
      </c>
    </row>
    <row r="1461" spans="1:7">
      <c r="A1461" s="1" t="s">
        <v>4206</v>
      </c>
      <c r="B1461" s="1" t="s">
        <v>4207</v>
      </c>
      <c r="C1461">
        <f>(1-(B7/100))*36.13</f>
        <v>36.13</v>
      </c>
      <c r="D1461" s="1">
        <v>0</v>
      </c>
      <c r="E1461">
        <f>D1461*C1461</f>
        <v>0</v>
      </c>
      <c r="F1461" s="1" t="s">
        <v>4208</v>
      </c>
      <c r="G1461" s="17">
        <v>76991</v>
      </c>
    </row>
    <row r="1462" spans="1:7">
      <c r="A1462" s="1" t="s">
        <v>4209</v>
      </c>
      <c r="B1462" s="1" t="s">
        <v>4210</v>
      </c>
      <c r="C1462">
        <f>(1-(B7/100))*290.19</f>
        <v>290.19</v>
      </c>
      <c r="D1462" s="1">
        <v>0</v>
      </c>
      <c r="E1462">
        <f>D1462*C1462</f>
        <v>0</v>
      </c>
      <c r="F1462" s="1" t="s">
        <v>4211</v>
      </c>
      <c r="G1462" s="17">
        <v>76997</v>
      </c>
    </row>
    <row r="1463" spans="1:7">
      <c r="A1463" s="1" t="s">
        <v>4212</v>
      </c>
      <c r="B1463" s="1" t="s">
        <v>4213</v>
      </c>
      <c r="C1463">
        <f>(1-(B7/100))*168.26</f>
        <v>168.26</v>
      </c>
      <c r="D1463" s="1">
        <v>0</v>
      </c>
      <c r="E1463">
        <f>D1463*C1463</f>
        <v>0</v>
      </c>
      <c r="F1463" s="1" t="s">
        <v>4214</v>
      </c>
      <c r="G1463" s="17">
        <v>77008</v>
      </c>
    </row>
    <row r="1464" spans="1:7">
      <c r="A1464" s="1" t="s">
        <v>4215</v>
      </c>
      <c r="B1464" s="1" t="s">
        <v>4216</v>
      </c>
      <c r="C1464">
        <f>(1-(B7/100))*105.08</f>
        <v>105.08</v>
      </c>
      <c r="D1464" s="1">
        <v>0</v>
      </c>
      <c r="E1464">
        <f>D1464*C1464</f>
        <v>0</v>
      </c>
      <c r="F1464" s="1" t="s">
        <v>4217</v>
      </c>
      <c r="G1464" s="17">
        <v>77013</v>
      </c>
    </row>
    <row r="1465" spans="1:7">
      <c r="A1465" s="1" t="s">
        <v>4218</v>
      </c>
      <c r="B1465" s="1" t="s">
        <v>4216</v>
      </c>
      <c r="C1465">
        <f>(1-(B7/100))*168.52</f>
        <v>168.52</v>
      </c>
      <c r="D1465" s="1">
        <v>0</v>
      </c>
      <c r="E1465">
        <f>D1465*C1465</f>
        <v>0</v>
      </c>
      <c r="F1465" s="1" t="s">
        <v>4219</v>
      </c>
      <c r="G1465" s="17">
        <v>77015</v>
      </c>
    </row>
    <row r="1466" spans="1:7">
      <c r="A1466" s="1" t="s">
        <v>4220</v>
      </c>
      <c r="B1466" s="1" t="s">
        <v>4221</v>
      </c>
      <c r="C1466">
        <f>(1-(B7/100))*97.45</f>
        <v>97.45</v>
      </c>
      <c r="D1466" s="1">
        <v>0</v>
      </c>
      <c r="E1466">
        <f>D1466*C1466</f>
        <v>0</v>
      </c>
      <c r="F1466" s="1" t="s">
        <v>4222</v>
      </c>
      <c r="G1466" s="17">
        <v>77022</v>
      </c>
    </row>
    <row r="1467" spans="1:7">
      <c r="A1467" s="1" t="s">
        <v>4223</v>
      </c>
      <c r="B1467" s="1" t="s">
        <v>4224</v>
      </c>
      <c r="C1467">
        <f>(1-(B7/100))*104.72</f>
        <v>104.72</v>
      </c>
      <c r="D1467" s="1">
        <v>0</v>
      </c>
      <c r="E1467">
        <f>D1467*C1467</f>
        <v>0</v>
      </c>
      <c r="F1467" s="1" t="s">
        <v>4225</v>
      </c>
      <c r="G1467" s="17">
        <v>77023</v>
      </c>
    </row>
    <row r="1468" spans="1:7">
      <c r="A1468" s="1" t="s">
        <v>4226</v>
      </c>
      <c r="B1468" s="1" t="s">
        <v>4227</v>
      </c>
      <c r="C1468">
        <f>(1-(B7/100))*97.54</f>
        <v>97.54</v>
      </c>
      <c r="D1468" s="1">
        <v>0</v>
      </c>
      <c r="E1468">
        <f>D1468*C1468</f>
        <v>0</v>
      </c>
      <c r="F1468" s="1" t="s">
        <v>4228</v>
      </c>
      <c r="G1468" s="17">
        <v>77024</v>
      </c>
    </row>
    <row r="1469" spans="1:7">
      <c r="A1469" s="1" t="s">
        <v>4229</v>
      </c>
      <c r="B1469" s="1" t="s">
        <v>4230</v>
      </c>
      <c r="C1469">
        <f>(1-(B7/100))*247.74</f>
        <v>247.74</v>
      </c>
      <c r="D1469" s="1">
        <v>0</v>
      </c>
      <c r="E1469">
        <f>D1469*C1469</f>
        <v>0</v>
      </c>
      <c r="F1469" s="1" t="s">
        <v>4231</v>
      </c>
      <c r="G1469" s="17">
        <v>77028</v>
      </c>
    </row>
    <row r="1470" spans="1:7">
      <c r="A1470" s="1" t="s">
        <v>4232</v>
      </c>
      <c r="B1470" s="1" t="s">
        <v>4233</v>
      </c>
      <c r="C1470">
        <f>(1-(B7/100))*158.52</f>
        <v>158.52</v>
      </c>
      <c r="D1470" s="1">
        <v>0</v>
      </c>
      <c r="E1470">
        <f>D1470*C1470</f>
        <v>0</v>
      </c>
      <c r="F1470" s="1" t="s">
        <v>4234</v>
      </c>
      <c r="G1470" s="17">
        <v>77038</v>
      </c>
    </row>
    <row r="1471" spans="1:7">
      <c r="A1471" s="1" t="s">
        <v>4235</v>
      </c>
      <c r="B1471" s="1" t="s">
        <v>4236</v>
      </c>
      <c r="C1471">
        <f>(1-(B7/100))*148.74</f>
        <v>148.74</v>
      </c>
      <c r="D1471" s="1">
        <v>0</v>
      </c>
      <c r="E1471">
        <f>D1471*C1471</f>
        <v>0</v>
      </c>
      <c r="F1471" s="1" t="s">
        <v>4237</v>
      </c>
      <c r="G1471" s="17">
        <v>77039</v>
      </c>
    </row>
    <row r="1472" spans="1:7">
      <c r="A1472" s="1" t="s">
        <v>4238</v>
      </c>
      <c r="B1472" s="1" t="s">
        <v>4239</v>
      </c>
      <c r="C1472">
        <f>(1-(B7/100))*148.74</f>
        <v>148.74</v>
      </c>
      <c r="D1472" s="1">
        <v>0</v>
      </c>
      <c r="E1472">
        <f>D1472*C1472</f>
        <v>0</v>
      </c>
      <c r="F1472" s="1" t="s">
        <v>4240</v>
      </c>
      <c r="G1472" s="17">
        <v>77042</v>
      </c>
    </row>
    <row r="1473" spans="1:7">
      <c r="A1473" s="1" t="s">
        <v>4241</v>
      </c>
      <c r="B1473" s="1" t="s">
        <v>4242</v>
      </c>
      <c r="C1473">
        <f>(1-(B7/100))*181.18</f>
        <v>181.18</v>
      </c>
      <c r="D1473" s="1">
        <v>0</v>
      </c>
      <c r="E1473">
        <f>D1473*C1473</f>
        <v>0</v>
      </c>
      <c r="F1473" s="1" t="s">
        <v>4243</v>
      </c>
      <c r="G1473" s="17">
        <v>77043</v>
      </c>
    </row>
    <row r="1474" spans="1:7">
      <c r="A1474" s="1" t="s">
        <v>4244</v>
      </c>
      <c r="B1474" s="1" t="s">
        <v>4245</v>
      </c>
      <c r="C1474">
        <f>(1-(B7/100))*110.19</f>
        <v>110.19</v>
      </c>
      <c r="D1474" s="1">
        <v>0</v>
      </c>
      <c r="E1474">
        <f>D1474*C1474</f>
        <v>0</v>
      </c>
      <c r="F1474" s="1" t="s">
        <v>4246</v>
      </c>
      <c r="G1474" s="17">
        <v>77049</v>
      </c>
    </row>
    <row r="1475" spans="1:7">
      <c r="A1475" s="1" t="s">
        <v>4247</v>
      </c>
      <c r="B1475" s="1" t="s">
        <v>4248</v>
      </c>
      <c r="C1475">
        <f>(1-(B7/100))*498.74</f>
        <v>498.74</v>
      </c>
      <c r="D1475" s="1">
        <v>0</v>
      </c>
      <c r="E1475">
        <f>D1475*C1475</f>
        <v>0</v>
      </c>
      <c r="F1475" s="1" t="s">
        <v>4249</v>
      </c>
      <c r="G1475" s="17">
        <v>77053</v>
      </c>
    </row>
    <row r="1476" spans="1:7">
      <c r="A1476" s="1" t="s">
        <v>4250</v>
      </c>
      <c r="B1476" s="1" t="s">
        <v>4251</v>
      </c>
      <c r="C1476">
        <f>(1-(B7/100))*128.59</f>
        <v>128.59</v>
      </c>
      <c r="D1476" s="1">
        <v>0</v>
      </c>
      <c r="E1476">
        <f>D1476*C1476</f>
        <v>0</v>
      </c>
      <c r="F1476" s="1" t="s">
        <v>4252</v>
      </c>
      <c r="G1476" s="17">
        <v>77054</v>
      </c>
    </row>
    <row r="1477" spans="1:7">
      <c r="A1477" s="1" t="s">
        <v>4253</v>
      </c>
      <c r="B1477" s="1" t="s">
        <v>4254</v>
      </c>
      <c r="C1477">
        <f>(1-(B7/100))*168.67</f>
        <v>168.67</v>
      </c>
      <c r="D1477" s="1">
        <v>0</v>
      </c>
      <c r="E1477">
        <f>D1477*C1477</f>
        <v>0</v>
      </c>
      <c r="F1477" s="1" t="s">
        <v>4255</v>
      </c>
      <c r="G1477" s="17">
        <v>77055</v>
      </c>
    </row>
    <row r="1478" spans="1:7">
      <c r="A1478" s="1" t="s">
        <v>4256</v>
      </c>
      <c r="B1478" s="1" t="s">
        <v>4257</v>
      </c>
      <c r="C1478">
        <f>(1-(B7/100))*367.05</f>
        <v>367.05</v>
      </c>
      <c r="D1478" s="1">
        <v>0</v>
      </c>
      <c r="E1478">
        <f>D1478*C1478</f>
        <v>0</v>
      </c>
      <c r="F1478" s="1" t="s">
        <v>4258</v>
      </c>
      <c r="G1478" s="17">
        <v>77067</v>
      </c>
    </row>
    <row r="1479" spans="1:7">
      <c r="A1479" s="1" t="s">
        <v>4259</v>
      </c>
      <c r="B1479" s="1" t="s">
        <v>4260</v>
      </c>
      <c r="C1479">
        <f>(1-(B7/100))*366.1</f>
        <v>366.1</v>
      </c>
      <c r="D1479" s="1">
        <v>0</v>
      </c>
      <c r="E1479">
        <f>D1479*C1479</f>
        <v>0</v>
      </c>
      <c r="F1479" s="1" t="s">
        <v>4261</v>
      </c>
      <c r="G1479" s="17">
        <v>77068</v>
      </c>
    </row>
    <row r="1480" spans="1:7">
      <c r="A1480" s="1" t="s">
        <v>4262</v>
      </c>
      <c r="B1480" s="1" t="s">
        <v>4263</v>
      </c>
      <c r="C1480">
        <f>(1-(B7/100))*3638.61</f>
        <v>3638.61</v>
      </c>
      <c r="D1480" s="1">
        <v>0</v>
      </c>
      <c r="E1480">
        <f>D1480*C1480</f>
        <v>0</v>
      </c>
      <c r="F1480" s="1" t="s">
        <v>4264</v>
      </c>
      <c r="G1480" s="17">
        <v>77074</v>
      </c>
    </row>
    <row r="1481" spans="1:7">
      <c r="A1481" s="1" t="s">
        <v>4265</v>
      </c>
      <c r="B1481" s="1" t="s">
        <v>4266</v>
      </c>
      <c r="C1481">
        <f>(1-(B7/100))*67.98</f>
        <v>67.98</v>
      </c>
      <c r="D1481" s="1">
        <v>0</v>
      </c>
      <c r="E1481">
        <f>D1481*C1481</f>
        <v>0</v>
      </c>
      <c r="F1481" s="1" t="s">
        <v>4267</v>
      </c>
      <c r="G1481" s="17">
        <v>77075</v>
      </c>
    </row>
    <row r="1482" spans="1:7">
      <c r="A1482" s="1" t="s">
        <v>4268</v>
      </c>
      <c r="B1482" s="1" t="s">
        <v>4269</v>
      </c>
      <c r="C1482">
        <f>(1-(B7/100))*179.66</f>
        <v>179.66</v>
      </c>
      <c r="D1482" s="1">
        <v>0</v>
      </c>
      <c r="E1482">
        <f>D1482*C1482</f>
        <v>0</v>
      </c>
      <c r="F1482" s="1" t="s">
        <v>4270</v>
      </c>
      <c r="G1482" s="17">
        <v>77088</v>
      </c>
    </row>
    <row r="1483" spans="1:7">
      <c r="A1483" s="1" t="s">
        <v>4271</v>
      </c>
      <c r="B1483" s="1" t="s">
        <v>4272</v>
      </c>
      <c r="C1483">
        <f>(1-(B7/100))*615.48</f>
        <v>615.48</v>
      </c>
      <c r="D1483" s="1">
        <v>0</v>
      </c>
      <c r="E1483">
        <f>D1483*C1483</f>
        <v>0</v>
      </c>
      <c r="F1483" s="1" t="s">
        <v>4273</v>
      </c>
      <c r="G1483" s="17">
        <v>77092</v>
      </c>
    </row>
    <row r="1484" spans="1:7">
      <c r="A1484" s="1" t="s">
        <v>4274</v>
      </c>
      <c r="B1484" s="1" t="s">
        <v>4275</v>
      </c>
      <c r="C1484">
        <f>(1-(B7/100))*313.48</f>
        <v>313.48</v>
      </c>
      <c r="D1484" s="1">
        <v>0</v>
      </c>
      <c r="E1484">
        <f>D1484*C1484</f>
        <v>0</v>
      </c>
      <c r="F1484" s="1" t="s">
        <v>4276</v>
      </c>
      <c r="G1484" s="17">
        <v>77095</v>
      </c>
    </row>
    <row r="1485" spans="1:7">
      <c r="A1485" s="1" t="s">
        <v>4277</v>
      </c>
      <c r="B1485" s="1" t="s">
        <v>4278</v>
      </c>
      <c r="C1485">
        <f>(1-(B7/100))*73.44</f>
        <v>73.44</v>
      </c>
      <c r="D1485" s="1">
        <v>0</v>
      </c>
      <c r="E1485">
        <f>D1485*C1485</f>
        <v>0</v>
      </c>
      <c r="F1485" s="1" t="s">
        <v>4279</v>
      </c>
      <c r="G1485" s="17">
        <v>77096</v>
      </c>
    </row>
    <row r="1486" spans="1:7">
      <c r="A1486" s="1" t="s">
        <v>4280</v>
      </c>
      <c r="B1486" s="1" t="s">
        <v>4281</v>
      </c>
      <c r="C1486">
        <f>(1-(B7/100))*137.39</f>
        <v>137.39</v>
      </c>
      <c r="D1486" s="1">
        <v>0</v>
      </c>
      <c r="E1486">
        <f>D1486*C1486</f>
        <v>0</v>
      </c>
      <c r="F1486" s="1" t="s">
        <v>4282</v>
      </c>
      <c r="G1486" s="17">
        <v>77097</v>
      </c>
    </row>
    <row r="1487" spans="1:7">
      <c r="A1487" s="1" t="s">
        <v>4283</v>
      </c>
      <c r="B1487" s="1" t="s">
        <v>4284</v>
      </c>
      <c r="C1487">
        <f>(1-(B7/100))*27.5</f>
        <v>27.5</v>
      </c>
      <c r="D1487" s="1">
        <v>0</v>
      </c>
      <c r="E1487">
        <f>D1487*C1487</f>
        <v>0</v>
      </c>
      <c r="F1487" s="1" t="s">
        <v>4285</v>
      </c>
      <c r="G1487" s="17">
        <v>77098</v>
      </c>
    </row>
    <row r="1488" spans="1:7">
      <c r="A1488" s="1" t="s">
        <v>4286</v>
      </c>
      <c r="B1488" s="1" t="s">
        <v>4287</v>
      </c>
      <c r="C1488">
        <f>(1-(B7/100))*217.5</f>
        <v>217.5</v>
      </c>
      <c r="D1488" s="1">
        <v>0</v>
      </c>
      <c r="E1488">
        <f>D1488*C1488</f>
        <v>0</v>
      </c>
      <c r="F1488" s="1" t="s">
        <v>4288</v>
      </c>
      <c r="G1488" s="17">
        <v>77101</v>
      </c>
    </row>
    <row r="1489" spans="1:7">
      <c r="A1489" s="1" t="s">
        <v>4289</v>
      </c>
      <c r="B1489" s="1" t="s">
        <v>4290</v>
      </c>
      <c r="C1489">
        <f>(1-(B7/100))*290.37</f>
        <v>290.37</v>
      </c>
      <c r="D1489" s="1">
        <v>0</v>
      </c>
      <c r="E1489">
        <f>D1489*C1489</f>
        <v>0</v>
      </c>
      <c r="F1489" s="1" t="s">
        <v>4291</v>
      </c>
      <c r="G1489" s="17">
        <v>77103</v>
      </c>
    </row>
    <row r="1490" spans="1:7">
      <c r="A1490" s="1" t="s">
        <v>4292</v>
      </c>
      <c r="B1490" s="1" t="s">
        <v>4293</v>
      </c>
      <c r="C1490">
        <f>(1-(B7/100))*59.9</f>
        <v>59.9</v>
      </c>
      <c r="D1490" s="1">
        <v>0</v>
      </c>
      <c r="E1490">
        <f>D1490*C1490</f>
        <v>0</v>
      </c>
      <c r="F1490" s="1" t="s">
        <v>4294</v>
      </c>
      <c r="G1490" s="17">
        <v>77107</v>
      </c>
    </row>
    <row r="1491" spans="1:7">
      <c r="A1491" s="1" t="s">
        <v>4295</v>
      </c>
      <c r="B1491" s="1" t="s">
        <v>4296</v>
      </c>
      <c r="C1491">
        <f>(1-(B7/100))*24.68</f>
        <v>24.68</v>
      </c>
      <c r="D1491" s="1">
        <v>0</v>
      </c>
      <c r="E1491">
        <f>D1491*C1491</f>
        <v>0</v>
      </c>
      <c r="F1491" s="1" t="s">
        <v>4297</v>
      </c>
      <c r="G1491" s="17">
        <v>77110</v>
      </c>
    </row>
    <row r="1492" spans="1:7">
      <c r="A1492" s="1" t="s">
        <v>4298</v>
      </c>
      <c r="B1492" s="1" t="s">
        <v>4299</v>
      </c>
      <c r="C1492">
        <f>(1-(B7/100))*238.1</f>
        <v>238.1</v>
      </c>
      <c r="D1492" s="1">
        <v>0</v>
      </c>
      <c r="E1492">
        <f>D1492*C1492</f>
        <v>0</v>
      </c>
      <c r="F1492" s="1" t="s">
        <v>4300</v>
      </c>
      <c r="G1492" s="17">
        <v>77111</v>
      </c>
    </row>
    <row r="1493" spans="1:7">
      <c r="A1493" s="1" t="s">
        <v>4301</v>
      </c>
      <c r="B1493" s="1" t="s">
        <v>4302</v>
      </c>
      <c r="C1493">
        <f>(1-(B7/100))*269.54</f>
        <v>269.54</v>
      </c>
      <c r="D1493" s="1">
        <v>0</v>
      </c>
      <c r="E1493">
        <f>D1493*C1493</f>
        <v>0</v>
      </c>
      <c r="F1493" s="1" t="s">
        <v>4303</v>
      </c>
      <c r="G1493" s="17">
        <v>77114</v>
      </c>
    </row>
    <row r="1494" spans="1:7">
      <c r="A1494" s="1" t="s">
        <v>4304</v>
      </c>
      <c r="B1494" s="1" t="s">
        <v>4305</v>
      </c>
      <c r="C1494">
        <f>(1-(B7/100))*246.32</f>
        <v>246.32</v>
      </c>
      <c r="D1494" s="1">
        <v>0</v>
      </c>
      <c r="E1494">
        <f>D1494*C1494</f>
        <v>0</v>
      </c>
      <c r="F1494" s="1" t="s">
        <v>4306</v>
      </c>
      <c r="G1494" s="17">
        <v>77117</v>
      </c>
    </row>
    <row r="1495" spans="1:7">
      <c r="A1495" s="1" t="s">
        <v>4307</v>
      </c>
      <c r="B1495" s="1" t="s">
        <v>4308</v>
      </c>
      <c r="C1495">
        <f>(1-(B7/100))*294.76</f>
        <v>294.76</v>
      </c>
      <c r="D1495" s="1">
        <v>0</v>
      </c>
      <c r="E1495">
        <f>D1495*C1495</f>
        <v>0</v>
      </c>
      <c r="F1495" s="1" t="s">
        <v>4309</v>
      </c>
      <c r="G1495" s="17">
        <v>77120</v>
      </c>
    </row>
    <row r="1496" spans="1:7">
      <c r="A1496" s="1" t="s">
        <v>4310</v>
      </c>
      <c r="B1496" s="1" t="s">
        <v>4311</v>
      </c>
      <c r="C1496">
        <f>(1-(B7/100))*73.87</f>
        <v>73.87</v>
      </c>
      <c r="D1496" s="1">
        <v>0</v>
      </c>
      <c r="E1496">
        <f>D1496*C1496</f>
        <v>0</v>
      </c>
      <c r="F1496" s="1" t="s">
        <v>4312</v>
      </c>
      <c r="G1496" s="17">
        <v>77122</v>
      </c>
    </row>
    <row r="1497" spans="1:7">
      <c r="A1497" s="1" t="s">
        <v>4313</v>
      </c>
      <c r="B1497" s="1" t="s">
        <v>4314</v>
      </c>
      <c r="C1497">
        <f>(1-(B7/100))*161.14</f>
        <v>161.14</v>
      </c>
      <c r="D1497" s="1">
        <v>0</v>
      </c>
      <c r="E1497">
        <f>D1497*C1497</f>
        <v>0</v>
      </c>
      <c r="F1497" s="1" t="s">
        <v>4315</v>
      </c>
      <c r="G1497" s="17">
        <v>77126</v>
      </c>
    </row>
    <row r="1498" spans="1:7">
      <c r="A1498" s="1" t="s">
        <v>4316</v>
      </c>
      <c r="B1498" s="1" t="s">
        <v>4317</v>
      </c>
      <c r="C1498">
        <f>(1-(B7/100))*50.82</f>
        <v>50.82</v>
      </c>
      <c r="D1498" s="1">
        <v>0</v>
      </c>
      <c r="E1498">
        <f>D1498*C1498</f>
        <v>0</v>
      </c>
      <c r="F1498" s="1" t="s">
        <v>4318</v>
      </c>
      <c r="G1498" s="17">
        <v>77127</v>
      </c>
    </row>
    <row r="1499" spans="1:7">
      <c r="A1499" s="1" t="s">
        <v>4319</v>
      </c>
      <c r="B1499" s="1" t="s">
        <v>4320</v>
      </c>
      <c r="C1499">
        <f>(1-(B7/100))*4.12</f>
        <v>4.12</v>
      </c>
      <c r="D1499" s="1">
        <v>0</v>
      </c>
      <c r="E1499">
        <f>D1499*C1499</f>
        <v>0</v>
      </c>
      <c r="F1499" s="1" t="s">
        <v>4321</v>
      </c>
      <c r="G1499" s="17">
        <v>77128</v>
      </c>
    </row>
    <row r="1500" spans="1:7">
      <c r="A1500" s="1" t="s">
        <v>4322</v>
      </c>
      <c r="B1500" s="1" t="s">
        <v>4323</v>
      </c>
      <c r="C1500">
        <f>(1-(B7/100))*79.76</f>
        <v>79.76</v>
      </c>
      <c r="D1500" s="1">
        <v>0</v>
      </c>
      <c r="E1500">
        <f>D1500*C1500</f>
        <v>0</v>
      </c>
      <c r="F1500" s="1" t="s">
        <v>4324</v>
      </c>
      <c r="G1500" s="17">
        <v>77138</v>
      </c>
    </row>
    <row r="1501" spans="1:7">
      <c r="A1501" s="1" t="s">
        <v>4325</v>
      </c>
      <c r="B1501" s="1" t="s">
        <v>4326</v>
      </c>
      <c r="C1501">
        <f>(1-(B7/100))*66.83</f>
        <v>66.83</v>
      </c>
      <c r="D1501" s="1">
        <v>0</v>
      </c>
      <c r="E1501">
        <f>D1501*C1501</f>
        <v>0</v>
      </c>
      <c r="F1501" s="1" t="s">
        <v>4327</v>
      </c>
      <c r="G1501" s="17">
        <v>77139</v>
      </c>
    </row>
    <row r="1502" spans="1:7">
      <c r="A1502" s="1" t="s">
        <v>4328</v>
      </c>
      <c r="B1502" s="1" t="s">
        <v>4329</v>
      </c>
      <c r="C1502">
        <f>(1-(B7/100))*73.87</f>
        <v>73.87</v>
      </c>
      <c r="D1502" s="1">
        <v>0</v>
      </c>
      <c r="E1502">
        <f>D1502*C1502</f>
        <v>0</v>
      </c>
      <c r="F1502" s="1" t="s">
        <v>4330</v>
      </c>
      <c r="G1502" s="17">
        <v>77140</v>
      </c>
    </row>
    <row r="1503" spans="1:7">
      <c r="A1503" s="1" t="s">
        <v>4331</v>
      </c>
      <c r="B1503" s="1" t="s">
        <v>4332</v>
      </c>
      <c r="C1503">
        <f>(1-(B7/100))*330.05</f>
        <v>330.05</v>
      </c>
      <c r="D1503" s="1">
        <v>0</v>
      </c>
      <c r="E1503">
        <f>D1503*C1503</f>
        <v>0</v>
      </c>
      <c r="F1503" s="1" t="s">
        <v>4333</v>
      </c>
      <c r="G1503" s="17">
        <v>77141</v>
      </c>
    </row>
    <row r="1504" spans="1:7">
      <c r="A1504" s="1" t="s">
        <v>4334</v>
      </c>
      <c r="B1504" s="1" t="s">
        <v>4335</v>
      </c>
      <c r="C1504">
        <f>(1-(B7/100))*99.7</f>
        <v>99.7</v>
      </c>
      <c r="D1504" s="1">
        <v>0</v>
      </c>
      <c r="E1504">
        <f>D1504*C1504</f>
        <v>0</v>
      </c>
      <c r="F1504" s="1" t="s">
        <v>4336</v>
      </c>
      <c r="G1504" s="17">
        <v>77145</v>
      </c>
    </row>
    <row r="1505" spans="1:7">
      <c r="A1505" s="1" t="s">
        <v>4337</v>
      </c>
      <c r="B1505" s="1" t="s">
        <v>4338</v>
      </c>
      <c r="C1505">
        <f>(1-(B7/100))*98.79</f>
        <v>98.79</v>
      </c>
      <c r="D1505" s="1">
        <v>0</v>
      </c>
      <c r="E1505">
        <f>D1505*C1505</f>
        <v>0</v>
      </c>
      <c r="F1505" s="1" t="s">
        <v>4339</v>
      </c>
      <c r="G1505" s="17">
        <v>77146</v>
      </c>
    </row>
    <row r="1506" spans="1:7">
      <c r="A1506" s="1" t="s">
        <v>4340</v>
      </c>
      <c r="B1506" s="1" t="s">
        <v>4341</v>
      </c>
      <c r="C1506">
        <f>(1-(B7/100))*99.7</f>
        <v>99.7</v>
      </c>
      <c r="D1506" s="1">
        <v>0</v>
      </c>
      <c r="E1506">
        <f>D1506*C1506</f>
        <v>0</v>
      </c>
      <c r="F1506" s="1" t="s">
        <v>4342</v>
      </c>
      <c r="G1506" s="17">
        <v>77149</v>
      </c>
    </row>
    <row r="1507" spans="1:7">
      <c r="A1507" s="1" t="s">
        <v>4343</v>
      </c>
      <c r="B1507" s="1" t="s">
        <v>4344</v>
      </c>
      <c r="C1507">
        <f>(1-(B7/100))*9.05</f>
        <v>9.05</v>
      </c>
      <c r="D1507" s="1">
        <v>0</v>
      </c>
      <c r="E1507">
        <f>D1507*C1507</f>
        <v>0</v>
      </c>
      <c r="F1507" s="1" t="s">
        <v>4345</v>
      </c>
      <c r="G1507" s="17">
        <v>77152</v>
      </c>
    </row>
    <row r="1508" spans="1:7">
      <c r="A1508" s="1" t="s">
        <v>4346</v>
      </c>
      <c r="B1508" s="1" t="s">
        <v>4347</v>
      </c>
      <c r="C1508">
        <f>(1-(B7/100))*242.69</f>
        <v>242.69</v>
      </c>
      <c r="D1508" s="1">
        <v>0</v>
      </c>
      <c r="E1508">
        <f>D1508*C1508</f>
        <v>0</v>
      </c>
      <c r="F1508" s="1" t="s">
        <v>4348</v>
      </c>
      <c r="G1508" s="17">
        <v>77154</v>
      </c>
    </row>
    <row r="1509" spans="1:7">
      <c r="A1509" s="1" t="s">
        <v>4349</v>
      </c>
      <c r="B1509" s="1" t="s">
        <v>4350</v>
      </c>
      <c r="C1509">
        <f>(1-(B7/100))*242.69</f>
        <v>242.69</v>
      </c>
      <c r="D1509" s="1">
        <v>0</v>
      </c>
      <c r="E1509">
        <f>D1509*C1509</f>
        <v>0</v>
      </c>
      <c r="F1509" s="1" t="s">
        <v>4351</v>
      </c>
      <c r="G1509" s="17">
        <v>77155</v>
      </c>
    </row>
    <row r="1510" spans="1:7">
      <c r="A1510" s="1" t="s">
        <v>4352</v>
      </c>
      <c r="B1510" s="1" t="s">
        <v>4353</v>
      </c>
      <c r="C1510">
        <f>(1-(B7/100))*67.89</f>
        <v>67.89</v>
      </c>
      <c r="D1510" s="1">
        <v>0</v>
      </c>
      <c r="E1510">
        <f>D1510*C1510</f>
        <v>0</v>
      </c>
      <c r="F1510" s="1" t="s">
        <v>4354</v>
      </c>
      <c r="G1510" s="17">
        <v>77160</v>
      </c>
    </row>
    <row r="1511" spans="1:7">
      <c r="A1511" s="1" t="s">
        <v>4355</v>
      </c>
      <c r="B1511" s="1" t="s">
        <v>4356</v>
      </c>
      <c r="C1511">
        <f>(1-(B7/100))*171.42</f>
        <v>171.42</v>
      </c>
      <c r="D1511" s="1">
        <v>0</v>
      </c>
      <c r="E1511">
        <f>D1511*C1511</f>
        <v>0</v>
      </c>
      <c r="F1511" s="1" t="s">
        <v>4357</v>
      </c>
      <c r="G1511" s="17">
        <v>77161</v>
      </c>
    </row>
    <row r="1512" spans="1:7">
      <c r="A1512" s="1" t="s">
        <v>4358</v>
      </c>
      <c r="B1512" s="1" t="s">
        <v>4359</v>
      </c>
      <c r="C1512">
        <f>(1-(B7/100))*174.14</f>
        <v>174.14</v>
      </c>
      <c r="D1512" s="1">
        <v>0</v>
      </c>
      <c r="E1512">
        <f>D1512*C1512</f>
        <v>0</v>
      </c>
      <c r="F1512" s="1" t="s">
        <v>4360</v>
      </c>
      <c r="G1512" s="17">
        <v>77163</v>
      </c>
    </row>
    <row r="1513" spans="1:7">
      <c r="A1513" s="1" t="s">
        <v>4361</v>
      </c>
      <c r="B1513" s="1" t="s">
        <v>4362</v>
      </c>
      <c r="C1513">
        <f>(1-(B7/100))*186.38</f>
        <v>186.38</v>
      </c>
      <c r="D1513" s="1">
        <v>0</v>
      </c>
      <c r="E1513">
        <f>D1513*C1513</f>
        <v>0</v>
      </c>
      <c r="F1513" s="1" t="s">
        <v>4363</v>
      </c>
      <c r="G1513" s="17">
        <v>77166</v>
      </c>
    </row>
    <row r="1514" spans="1:7">
      <c r="A1514" s="1" t="s">
        <v>4364</v>
      </c>
      <c r="B1514" s="1" t="s">
        <v>4365</v>
      </c>
      <c r="C1514">
        <f>(1-(B7/100))*132.4</f>
        <v>132.4</v>
      </c>
      <c r="D1514" s="1">
        <v>0</v>
      </c>
      <c r="E1514">
        <f>D1514*C1514</f>
        <v>0</v>
      </c>
      <c r="F1514" s="1" t="s">
        <v>4366</v>
      </c>
      <c r="G1514" s="17">
        <v>77168</v>
      </c>
    </row>
    <row r="1515" spans="1:7">
      <c r="A1515" s="1" t="s">
        <v>4367</v>
      </c>
      <c r="B1515" s="1" t="s">
        <v>4368</v>
      </c>
      <c r="C1515">
        <f>(1-(B7/100))*127.66</f>
        <v>127.66</v>
      </c>
      <c r="D1515" s="1">
        <v>0</v>
      </c>
      <c r="E1515">
        <f>D1515*C1515</f>
        <v>0</v>
      </c>
      <c r="F1515" s="1" t="s">
        <v>4369</v>
      </c>
      <c r="G1515" s="17">
        <v>77175</v>
      </c>
    </row>
    <row r="1516" spans="1:7">
      <c r="A1516" s="1" t="s">
        <v>4370</v>
      </c>
      <c r="B1516" s="1" t="s">
        <v>4371</v>
      </c>
      <c r="C1516">
        <f>(1-(B7/100))*77.19</f>
        <v>77.19</v>
      </c>
      <c r="D1516" s="1">
        <v>0</v>
      </c>
      <c r="E1516">
        <f>D1516*C1516</f>
        <v>0</v>
      </c>
      <c r="F1516" s="1" t="s">
        <v>4372</v>
      </c>
      <c r="G1516" s="17">
        <v>77176</v>
      </c>
    </row>
    <row r="1517" spans="1:7">
      <c r="A1517" s="1" t="s">
        <v>4373</v>
      </c>
      <c r="B1517" s="1" t="s">
        <v>4374</v>
      </c>
      <c r="C1517">
        <f>(1-(B7/100))*4171.93</f>
        <v>4171.93</v>
      </c>
      <c r="D1517" s="1">
        <v>0</v>
      </c>
      <c r="E1517">
        <f>D1517*C1517</f>
        <v>0</v>
      </c>
      <c r="F1517" s="1" t="s">
        <v>4375</v>
      </c>
      <c r="G1517" s="17">
        <v>77184</v>
      </c>
    </row>
    <row r="1518" spans="1:7">
      <c r="A1518" s="1" t="s">
        <v>4376</v>
      </c>
      <c r="B1518" s="1" t="s">
        <v>4377</v>
      </c>
      <c r="C1518">
        <f>(1-(B7/100))*158.87</f>
        <v>158.87</v>
      </c>
      <c r="D1518" s="1">
        <v>0</v>
      </c>
      <c r="E1518">
        <f>D1518*C1518</f>
        <v>0</v>
      </c>
      <c r="F1518" s="1" t="s">
        <v>4378</v>
      </c>
      <c r="G1518" s="17">
        <v>85737</v>
      </c>
    </row>
    <row r="1519" spans="1:7">
      <c r="A1519" s="1" t="s">
        <v>4379</v>
      </c>
      <c r="B1519" s="1" t="s">
        <v>4380</v>
      </c>
      <c r="C1519">
        <f>(1-(B7/100))*158.87</f>
        <v>158.87</v>
      </c>
      <c r="D1519" s="1">
        <v>0</v>
      </c>
      <c r="E1519">
        <f>D1519*C1519</f>
        <v>0</v>
      </c>
      <c r="F1519" s="1" t="s">
        <v>4381</v>
      </c>
      <c r="G1519" s="17">
        <v>85738</v>
      </c>
    </row>
    <row r="1520" spans="1:7">
      <c r="A1520" s="1" t="s">
        <v>4382</v>
      </c>
      <c r="B1520" s="1" t="s">
        <v>4383</v>
      </c>
      <c r="C1520">
        <f>(1-(B7/100))*158.87</f>
        <v>158.87</v>
      </c>
      <c r="D1520" s="1">
        <v>0</v>
      </c>
      <c r="E1520">
        <f>D1520*C1520</f>
        <v>0</v>
      </c>
      <c r="F1520" s="1" t="s">
        <v>4384</v>
      </c>
      <c r="G1520" s="17">
        <v>85739</v>
      </c>
    </row>
    <row r="1521" spans="1:7">
      <c r="A1521" s="1" t="s">
        <v>4385</v>
      </c>
      <c r="B1521" s="1" t="s">
        <v>4386</v>
      </c>
      <c r="C1521">
        <f>(1-(B7/100))*395.07</f>
        <v>395.07</v>
      </c>
      <c r="D1521" s="1">
        <v>0</v>
      </c>
      <c r="E1521">
        <f>D1521*C1521</f>
        <v>0</v>
      </c>
      <c r="F1521" s="1" t="s">
        <v>4387</v>
      </c>
      <c r="G1521" s="17">
        <v>85815</v>
      </c>
    </row>
    <row r="1522" spans="1:7">
      <c r="A1522" s="1" t="s">
        <v>4388</v>
      </c>
      <c r="B1522" s="1" t="s">
        <v>4389</v>
      </c>
      <c r="C1522">
        <f>(1-(B7/100))*406.59</f>
        <v>406.59</v>
      </c>
      <c r="D1522" s="1">
        <v>0</v>
      </c>
      <c r="E1522">
        <f>D1522*C1522</f>
        <v>0</v>
      </c>
      <c r="F1522" s="1" t="s">
        <v>4390</v>
      </c>
      <c r="G1522" s="17">
        <v>85816</v>
      </c>
    </row>
    <row r="1523" spans="1:7">
      <c r="A1523" s="1" t="s">
        <v>4391</v>
      </c>
      <c r="B1523" s="1" t="s">
        <v>4392</v>
      </c>
      <c r="C1523">
        <f>(1-(B7/100))*405.96</f>
        <v>405.96</v>
      </c>
      <c r="D1523" s="1">
        <v>0</v>
      </c>
      <c r="E1523">
        <f>D1523*C1523</f>
        <v>0</v>
      </c>
      <c r="F1523" s="1" t="s">
        <v>4393</v>
      </c>
      <c r="G1523" s="17">
        <v>85817</v>
      </c>
    </row>
    <row r="1524" spans="1:7">
      <c r="A1524" s="1" t="s">
        <v>4394</v>
      </c>
      <c r="B1524" s="1" t="s">
        <v>4395</v>
      </c>
      <c r="C1524">
        <f>(1-(B7/100))*404.11</f>
        <v>404.11</v>
      </c>
      <c r="D1524" s="1">
        <v>0</v>
      </c>
      <c r="E1524">
        <f>D1524*C1524</f>
        <v>0</v>
      </c>
      <c r="F1524" s="1" t="s">
        <v>4396</v>
      </c>
      <c r="G1524" s="17">
        <v>85818</v>
      </c>
    </row>
    <row r="1525" spans="1:7">
      <c r="A1525" s="1" t="s">
        <v>4397</v>
      </c>
      <c r="B1525" s="1" t="s">
        <v>4398</v>
      </c>
      <c r="C1525">
        <f>(1-(B7/100))*389.51</f>
        <v>389.51</v>
      </c>
      <c r="D1525" s="1">
        <v>0</v>
      </c>
      <c r="E1525">
        <f>D1525*C1525</f>
        <v>0</v>
      </c>
      <c r="F1525" s="1" t="s">
        <v>4399</v>
      </c>
      <c r="G1525" s="17">
        <v>85819</v>
      </c>
    </row>
    <row r="1526" spans="1:7">
      <c r="A1526" s="1" t="s">
        <v>4400</v>
      </c>
      <c r="B1526" s="1" t="s">
        <v>4401</v>
      </c>
      <c r="C1526">
        <f>(1-(B7/100))*390.75</f>
        <v>390.75</v>
      </c>
      <c r="D1526" s="1">
        <v>0</v>
      </c>
      <c r="E1526">
        <f>D1526*C1526</f>
        <v>0</v>
      </c>
      <c r="F1526" s="1" t="s">
        <v>4402</v>
      </c>
      <c r="G1526" s="17">
        <v>85820</v>
      </c>
    </row>
    <row r="1527" spans="1:7">
      <c r="A1527" s="1" t="s">
        <v>4403</v>
      </c>
      <c r="B1527" s="1" t="s">
        <v>4404</v>
      </c>
      <c r="C1527">
        <f>(1-(B7/100))*418.12</f>
        <v>418.12</v>
      </c>
      <c r="D1527" s="1">
        <v>0</v>
      </c>
      <c r="E1527">
        <f>D1527*C1527</f>
        <v>0</v>
      </c>
      <c r="F1527" s="1" t="s">
        <v>4405</v>
      </c>
      <c r="G1527" s="17">
        <v>85821</v>
      </c>
    </row>
    <row r="1528" spans="1:7">
      <c r="A1528" s="1" t="s">
        <v>4406</v>
      </c>
      <c r="B1528" s="1" t="s">
        <v>4407</v>
      </c>
      <c r="C1528">
        <f>(1-(B7/100))*418.72</f>
        <v>418.72</v>
      </c>
      <c r="D1528" s="1">
        <v>0</v>
      </c>
      <c r="E1528">
        <f>D1528*C1528</f>
        <v>0</v>
      </c>
      <c r="F1528" s="1" t="s">
        <v>4408</v>
      </c>
      <c r="G1528" s="17">
        <v>85822</v>
      </c>
    </row>
    <row r="1529" spans="1:7">
      <c r="A1529" s="1" t="s">
        <v>4409</v>
      </c>
      <c r="B1529" s="1" t="s">
        <v>4410</v>
      </c>
      <c r="C1529">
        <f>(1-(B7/100))*417.49</f>
        <v>417.49</v>
      </c>
      <c r="D1529" s="1">
        <v>0</v>
      </c>
      <c r="E1529">
        <f>D1529*C1529</f>
        <v>0</v>
      </c>
      <c r="F1529" s="1" t="s">
        <v>4411</v>
      </c>
      <c r="G1529" s="17">
        <v>85823</v>
      </c>
    </row>
    <row r="1530" spans="1:7">
      <c r="A1530" s="1" t="s">
        <v>4412</v>
      </c>
      <c r="B1530" s="1" t="s">
        <v>4413</v>
      </c>
      <c r="C1530">
        <f>(1-(B7/100))*417.49</f>
        <v>417.49</v>
      </c>
      <c r="D1530" s="1">
        <v>0</v>
      </c>
      <c r="E1530">
        <f>D1530*C1530</f>
        <v>0</v>
      </c>
      <c r="F1530" s="1" t="s">
        <v>4414</v>
      </c>
      <c r="G1530" s="17">
        <v>85824</v>
      </c>
    </row>
    <row r="1531" spans="1:7">
      <c r="A1531" s="1" t="s">
        <v>4415</v>
      </c>
      <c r="B1531" s="1" t="s">
        <v>4416</v>
      </c>
      <c r="C1531">
        <f>(1-(B7/100))*415.67</f>
        <v>415.67</v>
      </c>
      <c r="D1531" s="1">
        <v>0</v>
      </c>
      <c r="E1531">
        <f>D1531*C1531</f>
        <v>0</v>
      </c>
      <c r="F1531" s="1" t="s">
        <v>4417</v>
      </c>
      <c r="G1531" s="17">
        <v>85825</v>
      </c>
    </row>
    <row r="1532" spans="1:7">
      <c r="A1532" s="1" t="s">
        <v>4418</v>
      </c>
      <c r="B1532" s="1" t="s">
        <v>4419</v>
      </c>
      <c r="C1532">
        <f>(1-(B7/100))*425.39</f>
        <v>425.39</v>
      </c>
      <c r="D1532" s="1">
        <v>0</v>
      </c>
      <c r="E1532">
        <f>D1532*C1532</f>
        <v>0</v>
      </c>
      <c r="F1532" s="1" t="s">
        <v>4420</v>
      </c>
      <c r="G1532" s="17">
        <v>85826</v>
      </c>
    </row>
    <row r="1533" spans="1:7">
      <c r="A1533" s="1" t="s">
        <v>4421</v>
      </c>
      <c r="B1533" s="1" t="s">
        <v>4422</v>
      </c>
      <c r="C1533">
        <f>(1-(B7/100))*467.19</f>
        <v>467.19</v>
      </c>
      <c r="D1533" s="1">
        <v>0</v>
      </c>
      <c r="E1533">
        <f>D1533*C1533</f>
        <v>0</v>
      </c>
      <c r="F1533" s="1" t="s">
        <v>4423</v>
      </c>
      <c r="G1533" s="17">
        <v>85828</v>
      </c>
    </row>
    <row r="1534" spans="1:7">
      <c r="A1534" s="1" t="s">
        <v>4424</v>
      </c>
      <c r="B1534" s="1" t="s">
        <v>4425</v>
      </c>
      <c r="C1534">
        <f>(1-(B7/100))*469.04</f>
        <v>469.04</v>
      </c>
      <c r="D1534" s="1">
        <v>0</v>
      </c>
      <c r="E1534">
        <f>D1534*C1534</f>
        <v>0</v>
      </c>
      <c r="F1534" s="1" t="s">
        <v>4426</v>
      </c>
      <c r="G1534" s="17">
        <v>85829</v>
      </c>
    </row>
    <row r="1535" spans="1:7">
      <c r="A1535" s="1" t="s">
        <v>4427</v>
      </c>
      <c r="B1535" s="1" t="s">
        <v>4428</v>
      </c>
      <c r="C1535">
        <f>(1-(B7/100))*472.09</f>
        <v>472.09</v>
      </c>
      <c r="D1535" s="1">
        <v>0</v>
      </c>
      <c r="E1535">
        <f>D1535*C1535</f>
        <v>0</v>
      </c>
      <c r="F1535" s="1" t="s">
        <v>4429</v>
      </c>
      <c r="G1535" s="17">
        <v>85830</v>
      </c>
    </row>
    <row r="1536" spans="1:7">
      <c r="A1536" s="1" t="s">
        <v>4430</v>
      </c>
      <c r="B1536" s="1" t="s">
        <v>4431</v>
      </c>
      <c r="C1536">
        <f>(1-(B7/100))*465.96</f>
        <v>465.96</v>
      </c>
      <c r="D1536" s="1">
        <v>0</v>
      </c>
      <c r="E1536">
        <f>D1536*C1536</f>
        <v>0</v>
      </c>
      <c r="F1536" s="1" t="s">
        <v>4432</v>
      </c>
      <c r="G1536" s="17">
        <v>85831</v>
      </c>
    </row>
    <row r="1537" spans="1:7">
      <c r="A1537" s="1" t="s">
        <v>4433</v>
      </c>
      <c r="B1537" s="1" t="s">
        <v>4434</v>
      </c>
      <c r="C1537">
        <f>(1-(B7/100))*465.96</f>
        <v>465.96</v>
      </c>
      <c r="D1537" s="1">
        <v>0</v>
      </c>
      <c r="E1537">
        <f>D1537*C1537</f>
        <v>0</v>
      </c>
      <c r="F1537" s="1" t="s">
        <v>4435</v>
      </c>
      <c r="G1537" s="17">
        <v>85832</v>
      </c>
    </row>
    <row r="1538" spans="1:7">
      <c r="A1538" s="1" t="s">
        <v>4436</v>
      </c>
      <c r="B1538" s="1" t="s">
        <v>4437</v>
      </c>
      <c r="C1538">
        <f>(1-(B7/100))*390.75</f>
        <v>390.75</v>
      </c>
      <c r="D1538" s="1">
        <v>0</v>
      </c>
      <c r="E1538">
        <f>D1538*C1538</f>
        <v>0</v>
      </c>
      <c r="F1538" s="1" t="s">
        <v>4438</v>
      </c>
      <c r="G1538" s="17">
        <v>85833</v>
      </c>
    </row>
    <row r="1539" spans="1:7">
      <c r="A1539" s="1" t="s">
        <v>4439</v>
      </c>
      <c r="B1539" s="1" t="s">
        <v>4440</v>
      </c>
      <c r="C1539">
        <f>(1-(B7/100))*92.84</f>
        <v>92.84</v>
      </c>
      <c r="D1539" s="1">
        <v>0</v>
      </c>
      <c r="E1539">
        <f>D1539*C1539</f>
        <v>0</v>
      </c>
      <c r="F1539" s="1" t="s">
        <v>4441</v>
      </c>
      <c r="G1539" s="17">
        <v>86046</v>
      </c>
    </row>
    <row r="1540" spans="1:7">
      <c r="A1540" s="1" t="s">
        <v>4442</v>
      </c>
      <c r="B1540" s="1" t="s">
        <v>4443</v>
      </c>
      <c r="C1540">
        <f>(1-(B7/100))*2213.77</f>
        <v>2213.77</v>
      </c>
      <c r="D1540" s="1">
        <v>0</v>
      </c>
      <c r="E1540">
        <f>D1540*C1540</f>
        <v>0</v>
      </c>
      <c r="F1540" s="1" t="s">
        <v>4444</v>
      </c>
      <c r="G1540" s="17">
        <v>86107</v>
      </c>
    </row>
    <row r="1541" spans="1:7">
      <c r="A1541" s="1" t="s">
        <v>4445</v>
      </c>
      <c r="B1541" s="1" t="s">
        <v>4446</v>
      </c>
      <c r="C1541">
        <f>(1-(B7/100))*1290.5</f>
        <v>1290.5</v>
      </c>
      <c r="D1541" s="1">
        <v>0</v>
      </c>
      <c r="E1541">
        <f>D1541*C1541</f>
        <v>0</v>
      </c>
      <c r="F1541" s="1" t="s">
        <v>4447</v>
      </c>
      <c r="G1541" s="17">
        <v>86108</v>
      </c>
    </row>
    <row r="1542" spans="1:7">
      <c r="A1542" s="1" t="s">
        <v>4448</v>
      </c>
      <c r="B1542" s="1" t="s">
        <v>4449</v>
      </c>
      <c r="C1542">
        <f>(1-(B7/100))*1365.38</f>
        <v>1365.38</v>
      </c>
      <c r="D1542" s="1">
        <v>0</v>
      </c>
      <c r="E1542">
        <f>D1542*C1542</f>
        <v>0</v>
      </c>
      <c r="F1542" s="1" t="s">
        <v>4450</v>
      </c>
      <c r="G1542" s="17">
        <v>86109</v>
      </c>
    </row>
    <row r="1543" spans="1:7">
      <c r="A1543" s="1" t="s">
        <v>4451</v>
      </c>
      <c r="B1543" s="1" t="s">
        <v>4452</v>
      </c>
      <c r="C1543">
        <f>(1-(B7/100))*268.97</f>
        <v>268.97</v>
      </c>
      <c r="D1543" s="1">
        <v>0</v>
      </c>
      <c r="E1543">
        <f>D1543*C1543</f>
        <v>0</v>
      </c>
      <c r="F1543" s="1" t="s">
        <v>4453</v>
      </c>
      <c r="G1543" s="17">
        <v>86179</v>
      </c>
    </row>
    <row r="1544" spans="1:7">
      <c r="A1544" s="1" t="s">
        <v>4454</v>
      </c>
      <c r="B1544" s="1" t="s">
        <v>4455</v>
      </c>
      <c r="C1544">
        <f>(1-(B7/100))*159.57</f>
        <v>159.57</v>
      </c>
      <c r="D1544" s="1">
        <v>0</v>
      </c>
      <c r="E1544">
        <f>D1544*C1544</f>
        <v>0</v>
      </c>
      <c r="F1544" s="1" t="s">
        <v>4456</v>
      </c>
      <c r="G1544" s="17">
        <v>86657</v>
      </c>
    </row>
    <row r="1545" spans="1:7">
      <c r="A1545" s="1" t="s">
        <v>4457</v>
      </c>
      <c r="B1545" s="1" t="s">
        <v>4458</v>
      </c>
      <c r="C1545">
        <f>(1-(B7/100))*287.22</f>
        <v>287.22</v>
      </c>
      <c r="D1545" s="1">
        <v>0</v>
      </c>
      <c r="E1545">
        <f>D1545*C1545</f>
        <v>0</v>
      </c>
      <c r="F1545" s="1" t="s">
        <v>4459</v>
      </c>
      <c r="G1545" s="17">
        <v>86659</v>
      </c>
    </row>
    <row r="1546" spans="1:7">
      <c r="A1546" s="1" t="s">
        <v>4460</v>
      </c>
      <c r="B1546" s="1" t="s">
        <v>4461</v>
      </c>
      <c r="C1546">
        <f>(1-(B7/100))*163.13</f>
        <v>163.13</v>
      </c>
      <c r="D1546" s="1">
        <v>0</v>
      </c>
      <c r="E1546">
        <f>D1546*C1546</f>
        <v>0</v>
      </c>
      <c r="F1546" s="1" t="s">
        <v>4462</v>
      </c>
      <c r="G1546" s="17">
        <v>86685</v>
      </c>
    </row>
    <row r="1547" spans="1:7">
      <c r="A1547" s="1" t="s">
        <v>4463</v>
      </c>
      <c r="B1547" s="1" t="s">
        <v>4464</v>
      </c>
      <c r="C1547">
        <f>(1-(B7/100))*204.56</f>
        <v>204.56</v>
      </c>
      <c r="D1547" s="1">
        <v>0</v>
      </c>
      <c r="E1547">
        <f>D1547*C1547</f>
        <v>0</v>
      </c>
      <c r="F1547" s="1" t="s">
        <v>4465</v>
      </c>
      <c r="G1547" s="17">
        <v>86699</v>
      </c>
    </row>
    <row r="1548" spans="1:7">
      <c r="A1548" s="1" t="s">
        <v>4466</v>
      </c>
      <c r="B1548" s="1" t="s">
        <v>4467</v>
      </c>
      <c r="C1548">
        <f>(1-(B7/100))*204.56</f>
        <v>204.56</v>
      </c>
      <c r="D1548" s="1">
        <v>0</v>
      </c>
      <c r="E1548">
        <f>D1548*C1548</f>
        <v>0</v>
      </c>
      <c r="F1548" s="1" t="s">
        <v>4468</v>
      </c>
      <c r="G1548" s="17">
        <v>86705</v>
      </c>
    </row>
    <row r="1549" spans="1:7">
      <c r="A1549" s="1" t="s">
        <v>4469</v>
      </c>
      <c r="B1549" s="1" t="s">
        <v>4470</v>
      </c>
      <c r="C1549">
        <f>(1-(B7/100))*115.44</f>
        <v>115.44</v>
      </c>
      <c r="D1549" s="1">
        <v>0</v>
      </c>
      <c r="E1549">
        <f>D1549*C1549</f>
        <v>0</v>
      </c>
      <c r="F1549" s="1" t="s">
        <v>4471</v>
      </c>
      <c r="G1549" s="17">
        <v>86706</v>
      </c>
    </row>
    <row r="1550" spans="1:7">
      <c r="A1550" s="1" t="s">
        <v>4472</v>
      </c>
      <c r="B1550" s="1" t="s">
        <v>4473</v>
      </c>
      <c r="C1550">
        <f>(1-(B7/100))*420.83</f>
        <v>420.83</v>
      </c>
      <c r="D1550" s="1">
        <v>0</v>
      </c>
      <c r="E1550">
        <f>D1550*C1550</f>
        <v>0</v>
      </c>
      <c r="F1550" s="1" t="s">
        <v>4474</v>
      </c>
      <c r="G1550" s="17">
        <v>86717</v>
      </c>
    </row>
    <row r="1551" spans="1:7">
      <c r="A1551" s="1" t="s">
        <v>4475</v>
      </c>
      <c r="B1551" s="1" t="s">
        <v>4476</v>
      </c>
      <c r="C1551">
        <f>(1-(B7/100))*272.46</f>
        <v>272.46</v>
      </c>
      <c r="D1551" s="1">
        <v>0</v>
      </c>
      <c r="E1551">
        <f>D1551*C1551</f>
        <v>0</v>
      </c>
      <c r="F1551" s="1" t="s">
        <v>4477</v>
      </c>
      <c r="G1551" s="17">
        <v>86735</v>
      </c>
    </row>
    <row r="1552" spans="1:7">
      <c r="A1552" s="1" t="s">
        <v>4478</v>
      </c>
      <c r="B1552" s="1" t="s">
        <v>4479</v>
      </c>
      <c r="C1552">
        <f>(1-(B7/100))*272.6</f>
        <v>272.6</v>
      </c>
      <c r="D1552" s="1">
        <v>0</v>
      </c>
      <c r="E1552">
        <f>D1552*C1552</f>
        <v>0</v>
      </c>
      <c r="F1552" s="1" t="s">
        <v>4480</v>
      </c>
      <c r="G1552" s="17">
        <v>86736</v>
      </c>
    </row>
    <row r="1553" spans="1:7">
      <c r="A1553" s="1" t="s">
        <v>4481</v>
      </c>
      <c r="B1553" s="1" t="s">
        <v>4482</v>
      </c>
      <c r="C1553">
        <f>(1-(B7/100))*327.41</f>
        <v>327.41</v>
      </c>
      <c r="D1553" s="1">
        <v>0</v>
      </c>
      <c r="E1553">
        <f>D1553*C1553</f>
        <v>0</v>
      </c>
      <c r="F1553" s="1" t="s">
        <v>4483</v>
      </c>
      <c r="G1553" s="17">
        <v>86928</v>
      </c>
    </row>
    <row r="1554" spans="1:7">
      <c r="A1554" s="1" t="s">
        <v>4484</v>
      </c>
      <c r="B1554" s="1" t="s">
        <v>4485</v>
      </c>
      <c r="C1554">
        <f>(1-(B7/100))*327.41</f>
        <v>327.41</v>
      </c>
      <c r="D1554" s="1">
        <v>0</v>
      </c>
      <c r="E1554">
        <f>D1554*C1554</f>
        <v>0</v>
      </c>
      <c r="F1554" s="1" t="s">
        <v>4486</v>
      </c>
      <c r="G1554" s="17">
        <v>86929</v>
      </c>
    </row>
    <row r="1555" spans="1:7">
      <c r="A1555" s="1" t="s">
        <v>4487</v>
      </c>
      <c r="B1555" s="1" t="s">
        <v>4488</v>
      </c>
      <c r="C1555">
        <f>(1-(B7/100))*327.41</f>
        <v>327.41</v>
      </c>
      <c r="D1555" s="1">
        <v>0</v>
      </c>
      <c r="E1555">
        <f>D1555*C1555</f>
        <v>0</v>
      </c>
      <c r="F1555" s="1" t="s">
        <v>4489</v>
      </c>
      <c r="G1555" s="17">
        <v>86930</v>
      </c>
    </row>
    <row r="1556" spans="1:7">
      <c r="A1556" s="1" t="s">
        <v>4490</v>
      </c>
      <c r="B1556" s="1" t="s">
        <v>4491</v>
      </c>
      <c r="C1556">
        <f>(1-(B7/100))*469.01</f>
        <v>469.01</v>
      </c>
      <c r="D1556" s="1">
        <v>0</v>
      </c>
      <c r="E1556">
        <f>D1556*C1556</f>
        <v>0</v>
      </c>
      <c r="F1556" s="1" t="s">
        <v>4492</v>
      </c>
      <c r="G1556" s="17">
        <v>87319</v>
      </c>
    </row>
    <row r="1557" spans="1:7">
      <c r="A1557" s="1" t="s">
        <v>4493</v>
      </c>
      <c r="B1557" s="1" t="s">
        <v>4494</v>
      </c>
      <c r="C1557">
        <f>(1-(B7/100))*208.19</f>
        <v>208.19</v>
      </c>
      <c r="D1557" s="1">
        <v>0</v>
      </c>
      <c r="E1557">
        <f>D1557*C1557</f>
        <v>0</v>
      </c>
      <c r="F1557" s="1" t="s">
        <v>16</v>
      </c>
      <c r="G1557" s="17">
        <v>87340</v>
      </c>
    </row>
    <row r="1558" spans="1:7">
      <c r="A1558" s="1" t="s">
        <v>4495</v>
      </c>
      <c r="B1558" s="1" t="s">
        <v>4496</v>
      </c>
      <c r="C1558">
        <f>(1-(B7/100))*546.36</f>
        <v>546.36</v>
      </c>
      <c r="D1558" s="1">
        <v>0</v>
      </c>
      <c r="E1558">
        <f>D1558*C1558</f>
        <v>0</v>
      </c>
      <c r="F1558" s="1" t="s">
        <v>4497</v>
      </c>
      <c r="G1558" s="17">
        <v>87415</v>
      </c>
    </row>
    <row r="1559" spans="1:7">
      <c r="A1559" s="1" t="s">
        <v>4498</v>
      </c>
      <c r="B1559" s="1" t="s">
        <v>4499</v>
      </c>
      <c r="C1559">
        <f>(1-(B7/100))*378.35</f>
        <v>378.35</v>
      </c>
      <c r="D1559" s="1">
        <v>0</v>
      </c>
      <c r="E1559">
        <f>D1559*C1559</f>
        <v>0</v>
      </c>
      <c r="F1559" s="1" t="s">
        <v>4500</v>
      </c>
      <c r="G1559" s="17">
        <v>87429</v>
      </c>
    </row>
    <row r="1560" spans="1:7">
      <c r="A1560" s="1" t="s">
        <v>4501</v>
      </c>
      <c r="B1560" s="1" t="s">
        <v>4502</v>
      </c>
      <c r="C1560">
        <f>(1-(B7/100))*89.05</f>
        <v>89.05</v>
      </c>
      <c r="D1560" s="1">
        <v>0</v>
      </c>
      <c r="E1560">
        <f>D1560*C1560</f>
        <v>0</v>
      </c>
      <c r="F1560" s="1" t="s">
        <v>4503</v>
      </c>
      <c r="G1560" s="17">
        <v>87437</v>
      </c>
    </row>
    <row r="1561" spans="1:7">
      <c r="A1561" s="1" t="s">
        <v>4504</v>
      </c>
      <c r="B1561" s="1" t="s">
        <v>4505</v>
      </c>
      <c r="C1561">
        <f>(1-(B7/100))*146.88</f>
        <v>146.88</v>
      </c>
      <c r="D1561" s="1">
        <v>0</v>
      </c>
      <c r="E1561">
        <f>D1561*C1561</f>
        <v>0</v>
      </c>
      <c r="F1561" s="1" t="s">
        <v>4506</v>
      </c>
      <c r="G1561" s="17">
        <v>87448</v>
      </c>
    </row>
    <row r="1562" spans="1:7">
      <c r="A1562" s="16"/>
      <c r="B1562" s="16" t="s">
        <v>4507</v>
      </c>
      <c r="C1562" s="16"/>
      <c r="D1562" s="16"/>
      <c r="E1562" s="16"/>
      <c r="F1562" s="16"/>
    </row>
    <row r="1563" spans="1:7">
      <c r="A1563" s="1" t="s">
        <v>4508</v>
      </c>
      <c r="B1563" s="1" t="s">
        <v>4509</v>
      </c>
      <c r="C1563">
        <f>(1-(B7/100))*1064.86</f>
        <v>1064.86</v>
      </c>
      <c r="D1563" s="1">
        <v>0</v>
      </c>
      <c r="E1563">
        <f>D1563*C1563</f>
        <v>0</v>
      </c>
      <c r="F1563" s="1" t="s">
        <v>4510</v>
      </c>
      <c r="G1563" s="17">
        <v>88469</v>
      </c>
    </row>
    <row r="1564" spans="1:7">
      <c r="A1564" s="16"/>
      <c r="B1564" s="16" t="s">
        <v>4511</v>
      </c>
      <c r="C1564" s="16"/>
      <c r="D1564" s="16"/>
      <c r="E1564" s="16"/>
      <c r="F1564" s="16"/>
    </row>
    <row r="1565" spans="1:7">
      <c r="A1565" s="16"/>
      <c r="B1565" s="16" t="s">
        <v>4512</v>
      </c>
      <c r="C1565" s="16"/>
      <c r="D1565" s="16"/>
      <c r="E1565" s="16"/>
      <c r="F1565" s="16"/>
    </row>
    <row r="1566" spans="1:7">
      <c r="A1566" s="1" t="s">
        <v>4513</v>
      </c>
      <c r="B1566" s="1" t="s">
        <v>4514</v>
      </c>
      <c r="C1566">
        <f>(1-(B7/100))*1398.68</f>
        <v>1398.68</v>
      </c>
      <c r="D1566" s="1">
        <v>0</v>
      </c>
      <c r="E1566">
        <f>D1566*C1566</f>
        <v>0</v>
      </c>
      <c r="F1566" s="1" t="s">
        <v>4515</v>
      </c>
      <c r="G1566" s="17">
        <v>63201</v>
      </c>
    </row>
    <row r="1567" spans="1:7">
      <c r="A1567" s="1" t="s">
        <v>4516</v>
      </c>
      <c r="B1567" s="1" t="s">
        <v>4517</v>
      </c>
      <c r="C1567">
        <f>(1-(B7/100))*686.42</f>
        <v>686.42</v>
      </c>
      <c r="D1567" s="1">
        <v>0</v>
      </c>
      <c r="E1567">
        <f>D1567*C1567</f>
        <v>0</v>
      </c>
      <c r="F1567" s="1" t="s">
        <v>4518</v>
      </c>
      <c r="G1567" s="17">
        <v>63491</v>
      </c>
    </row>
    <row r="1568" spans="1:7">
      <c r="A1568" s="1" t="s">
        <v>4519</v>
      </c>
      <c r="B1568" s="1" t="s">
        <v>4520</v>
      </c>
      <c r="C1568">
        <f>(1-(B7/100))*271.65</f>
        <v>271.65</v>
      </c>
      <c r="D1568" s="1">
        <v>0</v>
      </c>
      <c r="E1568">
        <f>D1568*C1568</f>
        <v>0</v>
      </c>
      <c r="F1568" s="1" t="s">
        <v>4521</v>
      </c>
      <c r="G1568" s="17">
        <v>63505</v>
      </c>
    </row>
    <row r="1569" spans="1:7">
      <c r="A1569" s="1" t="s">
        <v>4522</v>
      </c>
      <c r="B1569" s="1" t="s">
        <v>4523</v>
      </c>
      <c r="C1569">
        <f>(1-(B7/100))*191.03</f>
        <v>191.03</v>
      </c>
      <c r="D1569" s="1">
        <v>0</v>
      </c>
      <c r="E1569">
        <f>D1569*C1569</f>
        <v>0</v>
      </c>
      <c r="F1569" s="1" t="s">
        <v>4524</v>
      </c>
      <c r="G1569" s="17">
        <v>64258</v>
      </c>
    </row>
    <row r="1570" spans="1:7">
      <c r="A1570" s="1" t="s">
        <v>4525</v>
      </c>
      <c r="B1570" s="1" t="s">
        <v>4526</v>
      </c>
      <c r="C1570">
        <f>(1-(B7/100))*473.56</f>
        <v>473.56</v>
      </c>
      <c r="D1570" s="1">
        <v>0</v>
      </c>
      <c r="E1570">
        <f>D1570*C1570</f>
        <v>0</v>
      </c>
      <c r="F1570" s="1" t="s">
        <v>4527</v>
      </c>
      <c r="G1570" s="17">
        <v>64280</v>
      </c>
    </row>
    <row r="1571" spans="1:7">
      <c r="A1571" s="1" t="s">
        <v>4528</v>
      </c>
      <c r="B1571" s="1" t="s">
        <v>4529</v>
      </c>
      <c r="C1571">
        <f>(1-(B7/100))*507.39</f>
        <v>507.39</v>
      </c>
      <c r="D1571" s="1">
        <v>0</v>
      </c>
      <c r="E1571">
        <f>D1571*C1571</f>
        <v>0</v>
      </c>
      <c r="F1571" s="1" t="s">
        <v>4530</v>
      </c>
      <c r="G1571" s="17">
        <v>64282</v>
      </c>
    </row>
    <row r="1572" spans="1:7">
      <c r="A1572" s="1" t="s">
        <v>4531</v>
      </c>
      <c r="B1572" s="1" t="s">
        <v>4532</v>
      </c>
      <c r="C1572">
        <f>(1-(B7/100))*335.07</f>
        <v>335.07</v>
      </c>
      <c r="D1572" s="1">
        <v>0</v>
      </c>
      <c r="E1572">
        <f>D1572*C1572</f>
        <v>0</v>
      </c>
      <c r="F1572" s="1" t="s">
        <v>4533</v>
      </c>
      <c r="G1572" s="17">
        <v>64961</v>
      </c>
    </row>
    <row r="1573" spans="1:7">
      <c r="A1573" s="1" t="s">
        <v>4534</v>
      </c>
      <c r="B1573" s="1" t="s">
        <v>4535</v>
      </c>
      <c r="C1573">
        <f>(1-(B7/100))*173.73</f>
        <v>173.73</v>
      </c>
      <c r="D1573" s="1">
        <v>0</v>
      </c>
      <c r="E1573">
        <f>D1573*C1573</f>
        <v>0</v>
      </c>
      <c r="F1573" s="1" t="s">
        <v>4536</v>
      </c>
      <c r="G1573" s="17">
        <v>69329</v>
      </c>
    </row>
    <row r="1574" spans="1:7">
      <c r="A1574" s="1" t="s">
        <v>4537</v>
      </c>
      <c r="B1574" s="1" t="s">
        <v>4538</v>
      </c>
      <c r="C1574">
        <f>(1-(B7/100))*2060.22</f>
        <v>2060.22</v>
      </c>
      <c r="D1574" s="1">
        <v>0</v>
      </c>
      <c r="E1574">
        <f>D1574*C1574</f>
        <v>0</v>
      </c>
      <c r="F1574" s="1" t="s">
        <v>16</v>
      </c>
      <c r="G1574" s="17">
        <v>69387</v>
      </c>
    </row>
    <row r="1575" spans="1:7">
      <c r="A1575" s="1" t="s">
        <v>4539</v>
      </c>
      <c r="B1575" s="1" t="s">
        <v>4540</v>
      </c>
      <c r="C1575">
        <f>(1-(B7/100))*81.94</f>
        <v>81.94</v>
      </c>
      <c r="D1575" s="1">
        <v>0</v>
      </c>
      <c r="E1575">
        <f>D1575*C1575</f>
        <v>0</v>
      </c>
      <c r="F1575" s="1" t="s">
        <v>4541</v>
      </c>
      <c r="G1575" s="17">
        <v>69444</v>
      </c>
    </row>
    <row r="1576" spans="1:7">
      <c r="A1576" s="1" t="s">
        <v>4542</v>
      </c>
      <c r="B1576" s="1" t="s">
        <v>4543</v>
      </c>
      <c r="C1576">
        <f>(1-(B7/100))*133.56</f>
        <v>133.56</v>
      </c>
      <c r="D1576" s="1">
        <v>0</v>
      </c>
      <c r="E1576">
        <f>D1576*C1576</f>
        <v>0</v>
      </c>
      <c r="F1576" s="1" t="s">
        <v>4544</v>
      </c>
      <c r="G1576" s="17">
        <v>69479</v>
      </c>
    </row>
    <row r="1577" spans="1:7">
      <c r="A1577" s="1" t="s">
        <v>4545</v>
      </c>
      <c r="B1577" s="1" t="s">
        <v>4546</v>
      </c>
      <c r="C1577">
        <f>(1-(B7/100))*155.54</f>
        <v>155.54</v>
      </c>
      <c r="D1577" s="1">
        <v>0</v>
      </c>
      <c r="E1577">
        <f>D1577*C1577</f>
        <v>0</v>
      </c>
      <c r="F1577" s="1" t="s">
        <v>16</v>
      </c>
      <c r="G1577" s="17">
        <v>69517</v>
      </c>
    </row>
    <row r="1578" spans="1:7">
      <c r="A1578" s="1" t="s">
        <v>4547</v>
      </c>
      <c r="B1578" s="1" t="s">
        <v>4548</v>
      </c>
      <c r="C1578">
        <f>(1-(B7/100))*265.96</f>
        <v>265.96</v>
      </c>
      <c r="D1578" s="1">
        <v>0</v>
      </c>
      <c r="E1578">
        <f>D1578*C1578</f>
        <v>0</v>
      </c>
      <c r="F1578" s="1" t="s">
        <v>4549</v>
      </c>
      <c r="G1578" s="17">
        <v>69560</v>
      </c>
    </row>
    <row r="1579" spans="1:7">
      <c r="A1579" s="1" t="s">
        <v>4550</v>
      </c>
      <c r="B1579" s="1" t="s">
        <v>4551</v>
      </c>
      <c r="C1579">
        <f>(1-(B7/100))*312.28</f>
        <v>312.28</v>
      </c>
      <c r="D1579" s="1">
        <v>0</v>
      </c>
      <c r="E1579">
        <f>D1579*C1579</f>
        <v>0</v>
      </c>
      <c r="F1579" s="1" t="s">
        <v>16</v>
      </c>
      <c r="G1579" s="17">
        <v>70492</v>
      </c>
    </row>
    <row r="1580" spans="1:7">
      <c r="A1580" s="1" t="s">
        <v>4552</v>
      </c>
      <c r="B1580" s="1" t="s">
        <v>4553</v>
      </c>
      <c r="C1580">
        <f>(1-(B7/100))*43.44</f>
        <v>43.44</v>
      </c>
      <c r="D1580" s="1">
        <v>0</v>
      </c>
      <c r="E1580">
        <f>D1580*C1580</f>
        <v>0</v>
      </c>
      <c r="F1580" s="1" t="s">
        <v>4554</v>
      </c>
      <c r="G1580" s="17">
        <v>71119</v>
      </c>
    </row>
    <row r="1581" spans="1:7">
      <c r="A1581" s="1" t="s">
        <v>4555</v>
      </c>
      <c r="B1581" s="1" t="s">
        <v>4556</v>
      </c>
      <c r="C1581">
        <f>(1-(B7/100))*322.89</f>
        <v>322.89</v>
      </c>
      <c r="D1581" s="1">
        <v>0</v>
      </c>
      <c r="E1581">
        <f>D1581*C1581</f>
        <v>0</v>
      </c>
      <c r="F1581" s="1" t="s">
        <v>16</v>
      </c>
      <c r="G1581" s="17">
        <v>71363</v>
      </c>
    </row>
    <row r="1582" spans="1:7">
      <c r="A1582" s="1" t="s">
        <v>4557</v>
      </c>
      <c r="B1582" s="1" t="s">
        <v>4558</v>
      </c>
      <c r="C1582">
        <f>(1-(B7/100))*208.19</f>
        <v>208.19</v>
      </c>
      <c r="D1582" s="1">
        <v>0</v>
      </c>
      <c r="E1582">
        <f>D1582*C1582</f>
        <v>0</v>
      </c>
      <c r="F1582" s="1" t="s">
        <v>16</v>
      </c>
      <c r="G1582" s="17">
        <v>71364</v>
      </c>
    </row>
    <row r="1583" spans="1:7">
      <c r="A1583" s="1" t="s">
        <v>4559</v>
      </c>
      <c r="B1583" s="1" t="s">
        <v>4560</v>
      </c>
      <c r="C1583">
        <f>(1-(B7/100))*130.91</f>
        <v>130.91</v>
      </c>
      <c r="D1583" s="1">
        <v>0</v>
      </c>
      <c r="E1583">
        <f>D1583*C1583</f>
        <v>0</v>
      </c>
      <c r="F1583" s="1" t="s">
        <v>4561</v>
      </c>
      <c r="G1583" s="17">
        <v>71514</v>
      </c>
    </row>
    <row r="1584" spans="1:7">
      <c r="A1584" s="1" t="s">
        <v>4562</v>
      </c>
      <c r="B1584" s="1" t="s">
        <v>4563</v>
      </c>
      <c r="C1584">
        <f>(1-(B7/100))*135.45</f>
        <v>135.45</v>
      </c>
      <c r="D1584" s="1">
        <v>0</v>
      </c>
      <c r="E1584">
        <f>D1584*C1584</f>
        <v>0</v>
      </c>
      <c r="F1584" s="1" t="s">
        <v>4564</v>
      </c>
      <c r="G1584" s="17">
        <v>71521</v>
      </c>
    </row>
    <row r="1585" spans="1:7">
      <c r="A1585" s="1" t="s">
        <v>4565</v>
      </c>
      <c r="B1585" s="1" t="s">
        <v>4566</v>
      </c>
      <c r="C1585">
        <f>(1-(B7/100))*468.42</f>
        <v>468.42</v>
      </c>
      <c r="D1585" s="1">
        <v>0</v>
      </c>
      <c r="E1585">
        <f>D1585*C1585</f>
        <v>0</v>
      </c>
      <c r="F1585" s="1" t="s">
        <v>16</v>
      </c>
      <c r="G1585" s="17">
        <v>72081</v>
      </c>
    </row>
    <row r="1586" spans="1:7">
      <c r="A1586" s="1" t="s">
        <v>4567</v>
      </c>
      <c r="B1586" s="1" t="s">
        <v>4568</v>
      </c>
      <c r="C1586">
        <f>(1-(B7/100))*101.2</f>
        <v>101.2</v>
      </c>
      <c r="D1586" s="1">
        <v>0</v>
      </c>
      <c r="E1586">
        <f>D1586*C1586</f>
        <v>0</v>
      </c>
      <c r="F1586" s="1" t="s">
        <v>4569</v>
      </c>
      <c r="G1586" s="17">
        <v>72641</v>
      </c>
    </row>
    <row r="1587" spans="1:7">
      <c r="A1587" s="1" t="s">
        <v>4570</v>
      </c>
      <c r="B1587" s="1" t="s">
        <v>4571</v>
      </c>
      <c r="C1587">
        <f>(1-(B7/100))*4094.63</f>
        <v>4094.63</v>
      </c>
      <c r="D1587" s="1">
        <v>0</v>
      </c>
      <c r="E1587">
        <f>D1587*C1587</f>
        <v>0</v>
      </c>
      <c r="F1587" s="1" t="s">
        <v>16</v>
      </c>
      <c r="G1587" s="17">
        <v>72855</v>
      </c>
    </row>
    <row r="1588" spans="1:7">
      <c r="A1588" s="1" t="s">
        <v>4572</v>
      </c>
      <c r="B1588" s="1" t="s">
        <v>4573</v>
      </c>
      <c r="C1588">
        <f>(1-(B7/100))*138.35</f>
        <v>138.35</v>
      </c>
      <c r="D1588" s="1">
        <v>0</v>
      </c>
      <c r="E1588">
        <f>D1588*C1588</f>
        <v>0</v>
      </c>
      <c r="F1588" s="1" t="s">
        <v>4574</v>
      </c>
      <c r="G1588" s="17">
        <v>72863</v>
      </c>
    </row>
    <row r="1589" spans="1:7">
      <c r="A1589" s="1" t="s">
        <v>4575</v>
      </c>
      <c r="B1589" s="1" t="s">
        <v>4576</v>
      </c>
      <c r="C1589">
        <f>(1-(B7/100))*9.86</f>
        <v>9.86</v>
      </c>
      <c r="D1589" s="1">
        <v>0</v>
      </c>
      <c r="E1589">
        <f>D1589*C1589</f>
        <v>0</v>
      </c>
      <c r="F1589" s="1" t="s">
        <v>4577</v>
      </c>
      <c r="G1589" s="17">
        <v>72999</v>
      </c>
    </row>
    <row r="1590" spans="1:7">
      <c r="A1590" s="1" t="s">
        <v>4578</v>
      </c>
      <c r="B1590" s="1" t="s">
        <v>4579</v>
      </c>
      <c r="C1590">
        <f>(1-(B7/100))*524.99</f>
        <v>524.99</v>
      </c>
      <c r="D1590" s="1">
        <v>0</v>
      </c>
      <c r="E1590">
        <f>D1590*C1590</f>
        <v>0</v>
      </c>
      <c r="F1590" s="1" t="s">
        <v>4580</v>
      </c>
      <c r="G1590" s="17">
        <v>73070</v>
      </c>
    </row>
    <row r="1591" spans="1:7">
      <c r="A1591" s="1" t="s">
        <v>4581</v>
      </c>
      <c r="B1591" s="1" t="s">
        <v>4582</v>
      </c>
      <c r="C1591">
        <f>(1-(B7/100))*664.8</f>
        <v>664.8</v>
      </c>
      <c r="D1591" s="1">
        <v>0</v>
      </c>
      <c r="E1591">
        <f>D1591*C1591</f>
        <v>0</v>
      </c>
      <c r="F1591" s="1" t="s">
        <v>4583</v>
      </c>
      <c r="G1591" s="17">
        <v>73731</v>
      </c>
    </row>
    <row r="1592" spans="1:7">
      <c r="A1592" s="1" t="s">
        <v>4584</v>
      </c>
      <c r="B1592" s="1" t="s">
        <v>4585</v>
      </c>
      <c r="C1592">
        <f>(1-(B7/100))*157.34</f>
        <v>157.34</v>
      </c>
      <c r="D1592" s="1">
        <v>0</v>
      </c>
      <c r="E1592">
        <f>D1592*C1592</f>
        <v>0</v>
      </c>
      <c r="F1592" s="1" t="s">
        <v>4586</v>
      </c>
      <c r="G1592" s="17">
        <v>73767</v>
      </c>
    </row>
    <row r="1593" spans="1:7">
      <c r="A1593" s="1" t="s">
        <v>4587</v>
      </c>
      <c r="B1593" s="1" t="s">
        <v>4588</v>
      </c>
      <c r="C1593">
        <f>(1-(B7/100))*467.71</f>
        <v>467.71</v>
      </c>
      <c r="D1593" s="1">
        <v>0</v>
      </c>
      <c r="E1593">
        <f>D1593*C1593</f>
        <v>0</v>
      </c>
      <c r="F1593" s="1" t="s">
        <v>4589</v>
      </c>
      <c r="G1593" s="17">
        <v>74213</v>
      </c>
    </row>
    <row r="1594" spans="1:7">
      <c r="A1594" s="1" t="s">
        <v>4590</v>
      </c>
      <c r="B1594" s="1" t="s">
        <v>4591</v>
      </c>
      <c r="C1594">
        <f>(1-(B7/100))*242.11</f>
        <v>242.11</v>
      </c>
      <c r="D1594" s="1">
        <v>0</v>
      </c>
      <c r="E1594">
        <f>D1594*C1594</f>
        <v>0</v>
      </c>
      <c r="F1594" s="1" t="s">
        <v>4592</v>
      </c>
      <c r="G1594" s="17">
        <v>74429</v>
      </c>
    </row>
    <row r="1595" spans="1:7">
      <c r="A1595" s="1" t="s">
        <v>4593</v>
      </c>
      <c r="B1595" s="1" t="s">
        <v>4594</v>
      </c>
      <c r="C1595">
        <f>(1-(B7/100))*98.16</f>
        <v>98.16</v>
      </c>
      <c r="D1595" s="1">
        <v>0</v>
      </c>
      <c r="E1595">
        <f>D1595*C1595</f>
        <v>0</v>
      </c>
      <c r="F1595" s="1" t="s">
        <v>4595</v>
      </c>
      <c r="G1595" s="17">
        <v>74432</v>
      </c>
    </row>
    <row r="1596" spans="1:7">
      <c r="A1596" s="1" t="s">
        <v>4596</v>
      </c>
      <c r="B1596" s="1" t="s">
        <v>4597</v>
      </c>
      <c r="C1596">
        <f>(1-(B7/100))*58.23</f>
        <v>58.23</v>
      </c>
      <c r="D1596" s="1">
        <v>0</v>
      </c>
      <c r="E1596">
        <f>D1596*C1596</f>
        <v>0</v>
      </c>
      <c r="F1596" s="1" t="s">
        <v>4598</v>
      </c>
      <c r="G1596" s="17">
        <v>74434</v>
      </c>
    </row>
    <row r="1597" spans="1:7">
      <c r="A1597" s="1" t="s">
        <v>4599</v>
      </c>
      <c r="B1597" s="1" t="s">
        <v>4600</v>
      </c>
      <c r="C1597">
        <f>(1-(B7/100))*51.08</f>
        <v>51.08</v>
      </c>
      <c r="D1597" s="1">
        <v>0</v>
      </c>
      <c r="E1597">
        <f>D1597*C1597</f>
        <v>0</v>
      </c>
      <c r="F1597" s="1" t="s">
        <v>4601</v>
      </c>
      <c r="G1597" s="17">
        <v>74442</v>
      </c>
    </row>
    <row r="1598" spans="1:7">
      <c r="A1598" s="1" t="s">
        <v>4602</v>
      </c>
      <c r="B1598" s="1" t="s">
        <v>4603</v>
      </c>
      <c r="C1598">
        <f>(1-(B7/100))*48.27</f>
        <v>48.27</v>
      </c>
      <c r="D1598" s="1">
        <v>0</v>
      </c>
      <c r="E1598">
        <f>D1598*C1598</f>
        <v>0</v>
      </c>
      <c r="F1598" s="1" t="s">
        <v>4604</v>
      </c>
      <c r="G1598" s="17">
        <v>74444</v>
      </c>
    </row>
    <row r="1599" spans="1:7">
      <c r="A1599" s="1" t="s">
        <v>4605</v>
      </c>
      <c r="B1599" s="1" t="s">
        <v>4606</v>
      </c>
      <c r="C1599">
        <f>(1-(B7/100))*32.25</f>
        <v>32.25</v>
      </c>
      <c r="D1599" s="1">
        <v>0</v>
      </c>
      <c r="E1599">
        <f>D1599*C1599</f>
        <v>0</v>
      </c>
      <c r="F1599" s="1" t="s">
        <v>4607</v>
      </c>
      <c r="G1599" s="17">
        <v>74445</v>
      </c>
    </row>
    <row r="1600" spans="1:7">
      <c r="A1600" s="1" t="s">
        <v>4608</v>
      </c>
      <c r="B1600" s="1" t="s">
        <v>4609</v>
      </c>
      <c r="C1600">
        <f>(1-(B7/100))*32.61</f>
        <v>32.61</v>
      </c>
      <c r="D1600" s="1">
        <v>0</v>
      </c>
      <c r="E1600">
        <f>D1600*C1600</f>
        <v>0</v>
      </c>
      <c r="F1600" s="1" t="s">
        <v>4610</v>
      </c>
      <c r="G1600" s="17">
        <v>74448</v>
      </c>
    </row>
    <row r="1601" spans="1:7">
      <c r="A1601" s="1" t="s">
        <v>4611</v>
      </c>
      <c r="B1601" s="1" t="s">
        <v>4612</v>
      </c>
      <c r="C1601">
        <f>(1-(B7/100))*48.93</f>
        <v>48.93</v>
      </c>
      <c r="D1601" s="1">
        <v>0</v>
      </c>
      <c r="E1601">
        <f>D1601*C1601</f>
        <v>0</v>
      </c>
      <c r="F1601" s="1" t="s">
        <v>4613</v>
      </c>
      <c r="G1601" s="17">
        <v>74449</v>
      </c>
    </row>
    <row r="1602" spans="1:7">
      <c r="A1602" s="1" t="s">
        <v>4614</v>
      </c>
      <c r="B1602" s="1" t="s">
        <v>4615</v>
      </c>
      <c r="C1602">
        <f>(1-(B7/100))*52.88</f>
        <v>52.88</v>
      </c>
      <c r="D1602" s="1">
        <v>0</v>
      </c>
      <c r="E1602">
        <f>D1602*C1602</f>
        <v>0</v>
      </c>
      <c r="F1602" s="1" t="s">
        <v>4616</v>
      </c>
      <c r="G1602" s="17">
        <v>74451</v>
      </c>
    </row>
    <row r="1603" spans="1:7">
      <c r="A1603" s="1" t="s">
        <v>4617</v>
      </c>
      <c r="B1603" s="1" t="s">
        <v>4618</v>
      </c>
      <c r="C1603">
        <f>(1-(B7/100))*100.37</f>
        <v>100.37</v>
      </c>
      <c r="D1603" s="1">
        <v>0</v>
      </c>
      <c r="E1603">
        <f>D1603*C1603</f>
        <v>0</v>
      </c>
      <c r="F1603" s="1" t="s">
        <v>4619</v>
      </c>
      <c r="G1603" s="17">
        <v>74453</v>
      </c>
    </row>
    <row r="1604" spans="1:7">
      <c r="A1604" s="1" t="s">
        <v>4620</v>
      </c>
      <c r="B1604" s="1" t="s">
        <v>4621</v>
      </c>
      <c r="C1604">
        <f>(1-(B7/100))*83.33</f>
        <v>83.33</v>
      </c>
      <c r="D1604" s="1">
        <v>0</v>
      </c>
      <c r="E1604">
        <f>D1604*C1604</f>
        <v>0</v>
      </c>
      <c r="F1604" s="1" t="s">
        <v>4622</v>
      </c>
      <c r="G1604" s="17">
        <v>74454</v>
      </c>
    </row>
    <row r="1605" spans="1:7">
      <c r="A1605" s="1" t="s">
        <v>4623</v>
      </c>
      <c r="B1605" s="1" t="s">
        <v>4624</v>
      </c>
      <c r="C1605">
        <f>(1-(B7/100))*273.3</f>
        <v>273.3</v>
      </c>
      <c r="D1605" s="1">
        <v>0</v>
      </c>
      <c r="E1605">
        <f>D1605*C1605</f>
        <v>0</v>
      </c>
      <c r="F1605" s="1" t="s">
        <v>4625</v>
      </c>
      <c r="G1605" s="17">
        <v>74455</v>
      </c>
    </row>
    <row r="1606" spans="1:7">
      <c r="A1606" s="1" t="s">
        <v>4626</v>
      </c>
      <c r="B1606" s="1" t="s">
        <v>4627</v>
      </c>
      <c r="C1606">
        <f>(1-(B7/100))*317.61</f>
        <v>317.61</v>
      </c>
      <c r="D1606" s="1">
        <v>0</v>
      </c>
      <c r="E1606">
        <f>D1606*C1606</f>
        <v>0</v>
      </c>
      <c r="F1606" s="1" t="s">
        <v>4628</v>
      </c>
      <c r="G1606" s="17">
        <v>74457</v>
      </c>
    </row>
    <row r="1607" spans="1:7">
      <c r="A1607" s="1" t="s">
        <v>4629</v>
      </c>
      <c r="B1607" s="1" t="s">
        <v>4630</v>
      </c>
      <c r="C1607">
        <f>(1-(B7/100))*322.11</f>
        <v>322.11</v>
      </c>
      <c r="D1607" s="1">
        <v>0</v>
      </c>
      <c r="E1607">
        <f>D1607*C1607</f>
        <v>0</v>
      </c>
      <c r="F1607" s="1" t="s">
        <v>4631</v>
      </c>
      <c r="G1607" s="17">
        <v>74458</v>
      </c>
    </row>
    <row r="1608" spans="1:7">
      <c r="A1608" s="1" t="s">
        <v>4632</v>
      </c>
      <c r="B1608" s="1" t="s">
        <v>4633</v>
      </c>
      <c r="C1608">
        <f>(1-(B7/100))*103.03</f>
        <v>103.03</v>
      </c>
      <c r="D1608" s="1">
        <v>0</v>
      </c>
      <c r="E1608">
        <f>D1608*C1608</f>
        <v>0</v>
      </c>
      <c r="F1608" s="1" t="s">
        <v>4634</v>
      </c>
      <c r="G1608" s="17">
        <v>74459</v>
      </c>
    </row>
    <row r="1609" spans="1:7">
      <c r="A1609" s="1" t="s">
        <v>4635</v>
      </c>
      <c r="B1609" s="1" t="s">
        <v>4636</v>
      </c>
      <c r="C1609">
        <f>(1-(B7/100))*322.11</f>
        <v>322.11</v>
      </c>
      <c r="D1609" s="1">
        <v>0</v>
      </c>
      <c r="E1609">
        <f>D1609*C1609</f>
        <v>0</v>
      </c>
      <c r="F1609" s="1" t="s">
        <v>4637</v>
      </c>
      <c r="G1609" s="17">
        <v>74460</v>
      </c>
    </row>
    <row r="1610" spans="1:7">
      <c r="A1610" s="1" t="s">
        <v>4638</v>
      </c>
      <c r="B1610" s="1" t="s">
        <v>4639</v>
      </c>
      <c r="C1610">
        <f>(1-(B7/100))*317.61</f>
        <v>317.61</v>
      </c>
      <c r="D1610" s="1">
        <v>0</v>
      </c>
      <c r="E1610">
        <f>D1610*C1610</f>
        <v>0</v>
      </c>
      <c r="F1610" s="1" t="s">
        <v>4640</v>
      </c>
      <c r="G1610" s="17">
        <v>74461</v>
      </c>
    </row>
    <row r="1611" spans="1:7">
      <c r="A1611" s="1" t="s">
        <v>4641</v>
      </c>
      <c r="B1611" s="1" t="s">
        <v>4642</v>
      </c>
      <c r="C1611">
        <f>(1-(B7/100))*317.61</f>
        <v>317.61</v>
      </c>
      <c r="D1611" s="1">
        <v>0</v>
      </c>
      <c r="E1611">
        <f>D1611*C1611</f>
        <v>0</v>
      </c>
      <c r="F1611" s="1" t="s">
        <v>4643</v>
      </c>
      <c r="G1611" s="17">
        <v>74462</v>
      </c>
    </row>
    <row r="1612" spans="1:7">
      <c r="A1612" s="1" t="s">
        <v>4644</v>
      </c>
      <c r="B1612" s="1" t="s">
        <v>4645</v>
      </c>
      <c r="C1612">
        <f>(1-(B7/100))*322.11</f>
        <v>322.11</v>
      </c>
      <c r="D1612" s="1">
        <v>0</v>
      </c>
      <c r="E1612">
        <f>D1612*C1612</f>
        <v>0</v>
      </c>
      <c r="F1612" s="1" t="s">
        <v>4646</v>
      </c>
      <c r="G1612" s="17">
        <v>74464</v>
      </c>
    </row>
    <row r="1613" spans="1:7">
      <c r="A1613" s="1" t="s">
        <v>4647</v>
      </c>
      <c r="B1613" s="1" t="s">
        <v>4648</v>
      </c>
      <c r="C1613">
        <f>(1-(B7/100))*69.79</f>
        <v>69.79</v>
      </c>
      <c r="D1613" s="1">
        <v>0</v>
      </c>
      <c r="E1613">
        <f>D1613*C1613</f>
        <v>0</v>
      </c>
      <c r="F1613" s="1" t="s">
        <v>4649</v>
      </c>
      <c r="G1613" s="17">
        <v>74468</v>
      </c>
    </row>
    <row r="1614" spans="1:7">
      <c r="A1614" s="1" t="s">
        <v>4650</v>
      </c>
      <c r="B1614" s="1" t="s">
        <v>4651</v>
      </c>
      <c r="C1614">
        <f>(1-(B7/100))*46.61</f>
        <v>46.61</v>
      </c>
      <c r="D1614" s="1">
        <v>0</v>
      </c>
      <c r="E1614">
        <f>D1614*C1614</f>
        <v>0</v>
      </c>
      <c r="F1614" s="1" t="s">
        <v>4652</v>
      </c>
      <c r="G1614" s="17">
        <v>74504</v>
      </c>
    </row>
    <row r="1615" spans="1:7">
      <c r="A1615" s="1" t="s">
        <v>4653</v>
      </c>
      <c r="B1615" s="1" t="s">
        <v>4654</v>
      </c>
      <c r="C1615">
        <f>(1-(B7/100))*1497.35</f>
        <v>1497.35</v>
      </c>
      <c r="D1615" s="1">
        <v>0</v>
      </c>
      <c r="E1615">
        <f>D1615*C1615</f>
        <v>0</v>
      </c>
      <c r="F1615" s="1" t="s">
        <v>4655</v>
      </c>
      <c r="G1615" s="17">
        <v>74506</v>
      </c>
    </row>
    <row r="1616" spans="1:7">
      <c r="A1616" s="1" t="s">
        <v>4656</v>
      </c>
      <c r="B1616" s="1" t="s">
        <v>4657</v>
      </c>
      <c r="C1616">
        <f>(1-(B7/100))*356.6</f>
        <v>356.6</v>
      </c>
      <c r="D1616" s="1">
        <v>0</v>
      </c>
      <c r="E1616">
        <f>D1616*C1616</f>
        <v>0</v>
      </c>
      <c r="F1616" s="1" t="s">
        <v>4658</v>
      </c>
      <c r="G1616" s="17">
        <v>74508</v>
      </c>
    </row>
    <row r="1617" spans="1:7">
      <c r="A1617" s="1" t="s">
        <v>4659</v>
      </c>
      <c r="B1617" s="1" t="s">
        <v>4660</v>
      </c>
      <c r="C1617">
        <f>(1-(B7/100))*676.81</f>
        <v>676.81</v>
      </c>
      <c r="D1617" s="1">
        <v>0</v>
      </c>
      <c r="E1617">
        <f>D1617*C1617</f>
        <v>0</v>
      </c>
      <c r="F1617" s="1" t="s">
        <v>4661</v>
      </c>
      <c r="G1617" s="17">
        <v>74509</v>
      </c>
    </row>
    <row r="1618" spans="1:7">
      <c r="A1618" s="1" t="s">
        <v>4662</v>
      </c>
      <c r="B1618" s="1" t="s">
        <v>4663</v>
      </c>
      <c r="C1618">
        <f>(1-(B7/100))*676.81</f>
        <v>676.81</v>
      </c>
      <c r="D1618" s="1">
        <v>0</v>
      </c>
      <c r="E1618">
        <f>D1618*C1618</f>
        <v>0</v>
      </c>
      <c r="F1618" s="1" t="s">
        <v>4664</v>
      </c>
      <c r="G1618" s="17">
        <v>74510</v>
      </c>
    </row>
    <row r="1619" spans="1:7">
      <c r="A1619" s="1" t="s">
        <v>4665</v>
      </c>
      <c r="B1619" s="1" t="s">
        <v>4666</v>
      </c>
      <c r="C1619">
        <f>(1-(B7/100))*417.55</f>
        <v>417.55</v>
      </c>
      <c r="D1619" s="1">
        <v>0</v>
      </c>
      <c r="E1619">
        <f>D1619*C1619</f>
        <v>0</v>
      </c>
      <c r="F1619" s="1" t="s">
        <v>4667</v>
      </c>
      <c r="G1619" s="17">
        <v>74512</v>
      </c>
    </row>
    <row r="1620" spans="1:7">
      <c r="A1620" s="1" t="s">
        <v>4668</v>
      </c>
      <c r="B1620" s="1" t="s">
        <v>4669</v>
      </c>
      <c r="C1620">
        <f>(1-(B7/100))*417.55</f>
        <v>417.55</v>
      </c>
      <c r="D1620" s="1">
        <v>0</v>
      </c>
      <c r="E1620">
        <f>D1620*C1620</f>
        <v>0</v>
      </c>
      <c r="F1620" s="1" t="s">
        <v>4670</v>
      </c>
      <c r="G1620" s="17">
        <v>74513</v>
      </c>
    </row>
    <row r="1621" spans="1:7">
      <c r="A1621" s="1" t="s">
        <v>4671</v>
      </c>
      <c r="B1621" s="1" t="s">
        <v>4672</v>
      </c>
      <c r="C1621">
        <f>(1-(B7/100))*87.36</f>
        <v>87.36</v>
      </c>
      <c r="D1621" s="1">
        <v>0</v>
      </c>
      <c r="E1621">
        <f>D1621*C1621</f>
        <v>0</v>
      </c>
      <c r="F1621" s="1" t="s">
        <v>4673</v>
      </c>
      <c r="G1621" s="17">
        <v>74515</v>
      </c>
    </row>
    <row r="1622" spans="1:7">
      <c r="A1622" s="1" t="s">
        <v>4674</v>
      </c>
      <c r="B1622" s="1" t="s">
        <v>4675</v>
      </c>
      <c r="C1622">
        <f>(1-(B7/100))*154.97</f>
        <v>154.97</v>
      </c>
      <c r="D1622" s="1">
        <v>0</v>
      </c>
      <c r="E1622">
        <f>D1622*C1622</f>
        <v>0</v>
      </c>
      <c r="F1622" s="1" t="s">
        <v>4676</v>
      </c>
      <c r="G1622" s="17">
        <v>74517</v>
      </c>
    </row>
    <row r="1623" spans="1:7">
      <c r="A1623" s="1" t="s">
        <v>4677</v>
      </c>
      <c r="B1623" s="1" t="s">
        <v>4678</v>
      </c>
      <c r="C1623">
        <f>(1-(B7/100))*1417.92</f>
        <v>1417.92</v>
      </c>
      <c r="D1623" s="1">
        <v>0</v>
      </c>
      <c r="E1623">
        <f>D1623*C1623</f>
        <v>0</v>
      </c>
      <c r="F1623" s="1" t="s">
        <v>4679</v>
      </c>
      <c r="G1623" s="17">
        <v>74520</v>
      </c>
    </row>
    <row r="1624" spans="1:7">
      <c r="A1624" s="1" t="s">
        <v>4680</v>
      </c>
      <c r="B1624" s="1" t="s">
        <v>4681</v>
      </c>
      <c r="C1624">
        <f>(1-(B7/100))*70.73</f>
        <v>70.73</v>
      </c>
      <c r="D1624" s="1">
        <v>0</v>
      </c>
      <c r="E1624">
        <f>D1624*C1624</f>
        <v>0</v>
      </c>
      <c r="F1624" s="1" t="s">
        <v>4682</v>
      </c>
      <c r="G1624" s="17">
        <v>74524</v>
      </c>
    </row>
    <row r="1625" spans="1:7">
      <c r="A1625" s="1" t="s">
        <v>4683</v>
      </c>
      <c r="B1625" s="1" t="s">
        <v>4684</v>
      </c>
      <c r="C1625">
        <f>(1-(B7/100))*930.59</f>
        <v>930.59</v>
      </c>
      <c r="D1625" s="1">
        <v>0</v>
      </c>
      <c r="E1625">
        <f>D1625*C1625</f>
        <v>0</v>
      </c>
      <c r="F1625" s="1" t="s">
        <v>4685</v>
      </c>
      <c r="G1625" s="17">
        <v>74531</v>
      </c>
    </row>
    <row r="1626" spans="1:7">
      <c r="A1626" s="1" t="s">
        <v>4686</v>
      </c>
      <c r="B1626" s="1" t="s">
        <v>4687</v>
      </c>
      <c r="C1626">
        <f>(1-(B7/100))*94.63</f>
        <v>94.63</v>
      </c>
      <c r="D1626" s="1">
        <v>0</v>
      </c>
      <c r="E1626">
        <f>D1626*C1626</f>
        <v>0</v>
      </c>
      <c r="F1626" s="1" t="s">
        <v>4688</v>
      </c>
      <c r="G1626" s="17">
        <v>74532</v>
      </c>
    </row>
    <row r="1627" spans="1:7">
      <c r="A1627" s="1" t="s">
        <v>4689</v>
      </c>
      <c r="B1627" s="1" t="s">
        <v>4690</v>
      </c>
      <c r="C1627">
        <f>(1-(B7/100))*326.12</f>
        <v>326.12</v>
      </c>
      <c r="D1627" s="1">
        <v>0</v>
      </c>
      <c r="E1627">
        <f>D1627*C1627</f>
        <v>0</v>
      </c>
      <c r="F1627" s="1" t="s">
        <v>4691</v>
      </c>
      <c r="G1627" s="17">
        <v>74533</v>
      </c>
    </row>
    <row r="1628" spans="1:7">
      <c r="A1628" s="1" t="s">
        <v>4692</v>
      </c>
      <c r="B1628" s="1" t="s">
        <v>4693</v>
      </c>
      <c r="C1628">
        <f>(1-(B7/100))*58.43</f>
        <v>58.43</v>
      </c>
      <c r="D1628" s="1">
        <v>0</v>
      </c>
      <c r="E1628">
        <f>D1628*C1628</f>
        <v>0</v>
      </c>
      <c r="F1628" s="1" t="s">
        <v>4694</v>
      </c>
      <c r="G1628" s="17">
        <v>74535</v>
      </c>
    </row>
    <row r="1629" spans="1:7">
      <c r="A1629" s="1" t="s">
        <v>4695</v>
      </c>
      <c r="B1629" s="1" t="s">
        <v>4696</v>
      </c>
      <c r="C1629">
        <f>(1-(B7/100))*802.34</f>
        <v>802.34</v>
      </c>
      <c r="D1629" s="1">
        <v>0</v>
      </c>
      <c r="E1629">
        <f>D1629*C1629</f>
        <v>0</v>
      </c>
      <c r="F1629" s="1" t="s">
        <v>4697</v>
      </c>
      <c r="G1629" s="17">
        <v>74536</v>
      </c>
    </row>
    <row r="1630" spans="1:7">
      <c r="A1630" s="1" t="s">
        <v>4698</v>
      </c>
      <c r="B1630" s="1" t="s">
        <v>4699</v>
      </c>
      <c r="C1630">
        <f>(1-(B7/100))*179.17</f>
        <v>179.17</v>
      </c>
      <c r="D1630" s="1">
        <v>0</v>
      </c>
      <c r="E1630">
        <f>D1630*C1630</f>
        <v>0</v>
      </c>
      <c r="F1630" s="1" t="s">
        <v>4700</v>
      </c>
      <c r="G1630" s="17">
        <v>74537</v>
      </c>
    </row>
    <row r="1631" spans="1:7">
      <c r="A1631" s="1" t="s">
        <v>4701</v>
      </c>
      <c r="B1631" s="1" t="s">
        <v>4702</v>
      </c>
      <c r="C1631">
        <f>(1-(B7/100))*74.15</f>
        <v>74.15</v>
      </c>
      <c r="D1631" s="1">
        <v>0</v>
      </c>
      <c r="E1631">
        <f>D1631*C1631</f>
        <v>0</v>
      </c>
      <c r="F1631" s="1" t="s">
        <v>4703</v>
      </c>
      <c r="G1631" s="17">
        <v>74538</v>
      </c>
    </row>
    <row r="1632" spans="1:7">
      <c r="A1632" s="1" t="s">
        <v>4704</v>
      </c>
      <c r="B1632" s="1" t="s">
        <v>4705</v>
      </c>
      <c r="C1632">
        <f>(1-(B7/100))*392.83</f>
        <v>392.83</v>
      </c>
      <c r="D1632" s="1">
        <v>0</v>
      </c>
      <c r="E1632">
        <f>D1632*C1632</f>
        <v>0</v>
      </c>
      <c r="F1632" s="1" t="s">
        <v>4706</v>
      </c>
      <c r="G1632" s="17">
        <v>74541</v>
      </c>
    </row>
    <row r="1633" spans="1:7">
      <c r="A1633" s="1" t="s">
        <v>4707</v>
      </c>
      <c r="B1633" s="1" t="s">
        <v>4708</v>
      </c>
      <c r="C1633">
        <f>(1-(B7/100))*416.52</f>
        <v>416.52</v>
      </c>
      <c r="D1633" s="1">
        <v>0</v>
      </c>
      <c r="E1633">
        <f>D1633*C1633</f>
        <v>0</v>
      </c>
      <c r="F1633" s="1" t="s">
        <v>4709</v>
      </c>
      <c r="G1633" s="17">
        <v>74542</v>
      </c>
    </row>
    <row r="1634" spans="1:7">
      <c r="A1634" s="1" t="s">
        <v>4710</v>
      </c>
      <c r="B1634" s="1" t="s">
        <v>4711</v>
      </c>
      <c r="C1634">
        <f>(1-(B7/100))*360.44</f>
        <v>360.44</v>
      </c>
      <c r="D1634" s="1">
        <v>0</v>
      </c>
      <c r="E1634">
        <f>D1634*C1634</f>
        <v>0</v>
      </c>
      <c r="F1634" s="1" t="s">
        <v>4712</v>
      </c>
      <c r="G1634" s="17">
        <v>74544</v>
      </c>
    </row>
    <row r="1635" spans="1:7">
      <c r="A1635" s="1" t="s">
        <v>4713</v>
      </c>
      <c r="B1635" s="1" t="s">
        <v>4714</v>
      </c>
      <c r="C1635">
        <f>(1-(B7/100))*4187.28</f>
        <v>4187.28</v>
      </c>
      <c r="D1635" s="1">
        <v>0</v>
      </c>
      <c r="E1635">
        <f>D1635*C1635</f>
        <v>0</v>
      </c>
      <c r="F1635" s="1" t="s">
        <v>4715</v>
      </c>
      <c r="G1635" s="17">
        <v>74545</v>
      </c>
    </row>
    <row r="1636" spans="1:7">
      <c r="A1636" s="1" t="s">
        <v>4716</v>
      </c>
      <c r="B1636" s="1" t="s">
        <v>4717</v>
      </c>
      <c r="C1636">
        <f>(1-(B7/100))*102.23</f>
        <v>102.23</v>
      </c>
      <c r="D1636" s="1">
        <v>0</v>
      </c>
      <c r="E1636">
        <f>D1636*C1636</f>
        <v>0</v>
      </c>
      <c r="F1636" s="1" t="s">
        <v>4718</v>
      </c>
      <c r="G1636" s="17">
        <v>74548</v>
      </c>
    </row>
    <row r="1637" spans="1:7">
      <c r="A1637" s="1" t="s">
        <v>4719</v>
      </c>
      <c r="B1637" s="1" t="s">
        <v>4720</v>
      </c>
      <c r="C1637">
        <f>(1-(B7/100))*163.85</f>
        <v>163.85</v>
      </c>
      <c r="D1637" s="1">
        <v>0</v>
      </c>
      <c r="E1637">
        <f>D1637*C1637</f>
        <v>0</v>
      </c>
      <c r="F1637" s="1" t="s">
        <v>4721</v>
      </c>
      <c r="G1637" s="17">
        <v>74549</v>
      </c>
    </row>
    <row r="1638" spans="1:7">
      <c r="A1638" s="1" t="s">
        <v>4722</v>
      </c>
      <c r="B1638" s="1" t="s">
        <v>4723</v>
      </c>
      <c r="C1638">
        <f>(1-(B7/100))*134.31</f>
        <v>134.31</v>
      </c>
      <c r="D1638" s="1">
        <v>0</v>
      </c>
      <c r="E1638">
        <f>D1638*C1638</f>
        <v>0</v>
      </c>
      <c r="F1638" s="1" t="s">
        <v>4724</v>
      </c>
      <c r="G1638" s="17">
        <v>74552</v>
      </c>
    </row>
    <row r="1639" spans="1:7">
      <c r="A1639" s="1" t="s">
        <v>4725</v>
      </c>
      <c r="B1639" s="1" t="s">
        <v>4726</v>
      </c>
      <c r="C1639">
        <f>(1-(B7/100))*65.04</f>
        <v>65.04</v>
      </c>
      <c r="D1639" s="1">
        <v>0</v>
      </c>
      <c r="E1639">
        <f>D1639*C1639</f>
        <v>0</v>
      </c>
      <c r="F1639" s="1" t="s">
        <v>4727</v>
      </c>
      <c r="G1639" s="17">
        <v>74556</v>
      </c>
    </row>
    <row r="1640" spans="1:7">
      <c r="A1640" s="1" t="s">
        <v>4728</v>
      </c>
      <c r="B1640" s="1" t="s">
        <v>4729</v>
      </c>
      <c r="C1640">
        <f>(1-(B7/100))*624.02</f>
        <v>624.02</v>
      </c>
      <c r="D1640" s="1">
        <v>0</v>
      </c>
      <c r="E1640">
        <f>D1640*C1640</f>
        <v>0</v>
      </c>
      <c r="F1640" s="1" t="s">
        <v>4730</v>
      </c>
      <c r="G1640" s="17">
        <v>74557</v>
      </c>
    </row>
    <row r="1641" spans="1:7">
      <c r="A1641" s="1" t="s">
        <v>4731</v>
      </c>
      <c r="B1641" s="1" t="s">
        <v>4732</v>
      </c>
      <c r="C1641">
        <f>(1-(B7/100))*47.58</f>
        <v>47.58</v>
      </c>
      <c r="D1641" s="1">
        <v>0</v>
      </c>
      <c r="E1641">
        <f>D1641*C1641</f>
        <v>0</v>
      </c>
      <c r="F1641" s="1" t="s">
        <v>4733</v>
      </c>
      <c r="G1641" s="17">
        <v>74564</v>
      </c>
    </row>
    <row r="1642" spans="1:7">
      <c r="A1642" s="1" t="s">
        <v>4734</v>
      </c>
      <c r="B1642" s="1" t="s">
        <v>4735</v>
      </c>
      <c r="C1642">
        <f>(1-(B7/100))*40.75</f>
        <v>40.75</v>
      </c>
      <c r="D1642" s="1">
        <v>0</v>
      </c>
      <c r="E1642">
        <f>D1642*C1642</f>
        <v>0</v>
      </c>
      <c r="F1642" s="1" t="s">
        <v>4736</v>
      </c>
      <c r="G1642" s="17">
        <v>74572</v>
      </c>
    </row>
    <row r="1643" spans="1:7">
      <c r="A1643" s="1" t="s">
        <v>4737</v>
      </c>
      <c r="B1643" s="1" t="s">
        <v>4738</v>
      </c>
      <c r="C1643">
        <f>(1-(B7/100))*697.82</f>
        <v>697.82</v>
      </c>
      <c r="D1643" s="1">
        <v>0</v>
      </c>
      <c r="E1643">
        <f>D1643*C1643</f>
        <v>0</v>
      </c>
      <c r="F1643" s="1" t="s">
        <v>4739</v>
      </c>
      <c r="G1643" s="17">
        <v>74579</v>
      </c>
    </row>
    <row r="1644" spans="1:7">
      <c r="A1644" s="1" t="s">
        <v>4740</v>
      </c>
      <c r="B1644" s="1" t="s">
        <v>4741</v>
      </c>
      <c r="C1644">
        <f>(1-(B7/100))*98.16</f>
        <v>98.16</v>
      </c>
      <c r="D1644" s="1">
        <v>0</v>
      </c>
      <c r="E1644">
        <f>D1644*C1644</f>
        <v>0</v>
      </c>
      <c r="F1644" s="1" t="s">
        <v>4742</v>
      </c>
      <c r="G1644" s="17">
        <v>74591</v>
      </c>
    </row>
    <row r="1645" spans="1:7">
      <c r="A1645" s="1" t="s">
        <v>4743</v>
      </c>
      <c r="B1645" s="1" t="s">
        <v>4744</v>
      </c>
      <c r="C1645">
        <f>(1-(B7/100))*98.16</f>
        <v>98.16</v>
      </c>
      <c r="D1645" s="1">
        <v>0</v>
      </c>
      <c r="E1645">
        <f>D1645*C1645</f>
        <v>0</v>
      </c>
      <c r="F1645" s="1" t="s">
        <v>4745</v>
      </c>
      <c r="G1645" s="17">
        <v>74592</v>
      </c>
    </row>
    <row r="1646" spans="1:7">
      <c r="A1646" s="1" t="s">
        <v>4746</v>
      </c>
      <c r="B1646" s="1" t="s">
        <v>4747</v>
      </c>
      <c r="C1646">
        <f>(1-(B7/100))*2226.06</f>
        <v>2226.06</v>
      </c>
      <c r="D1646" s="1">
        <v>0</v>
      </c>
      <c r="E1646">
        <f>D1646*C1646</f>
        <v>0</v>
      </c>
      <c r="F1646" s="1" t="s">
        <v>4748</v>
      </c>
      <c r="G1646" s="17">
        <v>74595</v>
      </c>
    </row>
    <row r="1647" spans="1:7">
      <c r="A1647" s="1" t="s">
        <v>4749</v>
      </c>
      <c r="B1647" s="1" t="s">
        <v>4750</v>
      </c>
      <c r="C1647">
        <f>(1-(B7/100))*2159.12</f>
        <v>2159.12</v>
      </c>
      <c r="D1647" s="1">
        <v>0</v>
      </c>
      <c r="E1647">
        <f>D1647*C1647</f>
        <v>0</v>
      </c>
      <c r="F1647" s="1" t="s">
        <v>4751</v>
      </c>
      <c r="G1647" s="17">
        <v>74597</v>
      </c>
    </row>
    <row r="1648" spans="1:7">
      <c r="A1648" s="1" t="s">
        <v>4752</v>
      </c>
      <c r="B1648" s="1" t="s">
        <v>4753</v>
      </c>
      <c r="C1648">
        <f>(1-(B7/100))*106.37</f>
        <v>106.37</v>
      </c>
      <c r="D1648" s="1">
        <v>0</v>
      </c>
      <c r="E1648">
        <f>D1648*C1648</f>
        <v>0</v>
      </c>
      <c r="F1648" s="1" t="s">
        <v>4754</v>
      </c>
      <c r="G1648" s="17">
        <v>74598</v>
      </c>
    </row>
    <row r="1649" spans="1:7">
      <c r="A1649" s="1" t="s">
        <v>4755</v>
      </c>
      <c r="B1649" s="1" t="s">
        <v>4756</v>
      </c>
      <c r="C1649">
        <f>(1-(B7/100))*71.57</f>
        <v>71.57</v>
      </c>
      <c r="D1649" s="1">
        <v>0</v>
      </c>
      <c r="E1649">
        <f>D1649*C1649</f>
        <v>0</v>
      </c>
      <c r="F1649" s="1" t="s">
        <v>4757</v>
      </c>
      <c r="G1649" s="17">
        <v>74609</v>
      </c>
    </row>
    <row r="1650" spans="1:7">
      <c r="A1650" s="1" t="s">
        <v>4758</v>
      </c>
      <c r="B1650" s="1" t="s">
        <v>4759</v>
      </c>
      <c r="C1650">
        <f>(1-(B7/100))*106.67</f>
        <v>106.67</v>
      </c>
      <c r="D1650" s="1">
        <v>0</v>
      </c>
      <c r="E1650">
        <f>D1650*C1650</f>
        <v>0</v>
      </c>
      <c r="F1650" s="1" t="s">
        <v>4760</v>
      </c>
      <c r="G1650" s="17">
        <v>74610</v>
      </c>
    </row>
    <row r="1651" spans="1:7">
      <c r="A1651" s="1" t="s">
        <v>4761</v>
      </c>
      <c r="B1651" s="1" t="s">
        <v>4762</v>
      </c>
      <c r="C1651">
        <f>(1-(B7/100))*63.6</f>
        <v>63.6</v>
      </c>
      <c r="D1651" s="1">
        <v>0</v>
      </c>
      <c r="E1651">
        <f>D1651*C1651</f>
        <v>0</v>
      </c>
      <c r="F1651" s="1" t="s">
        <v>4763</v>
      </c>
      <c r="G1651" s="17">
        <v>74614</v>
      </c>
    </row>
    <row r="1652" spans="1:7">
      <c r="A1652" s="1" t="s">
        <v>4764</v>
      </c>
      <c r="B1652" s="1" t="s">
        <v>4765</v>
      </c>
      <c r="C1652">
        <f>(1-(B7/100))*20.61</f>
        <v>20.61</v>
      </c>
      <c r="D1652" s="1">
        <v>0</v>
      </c>
      <c r="E1652">
        <f>D1652*C1652</f>
        <v>0</v>
      </c>
      <c r="F1652" s="1" t="s">
        <v>4766</v>
      </c>
      <c r="G1652" s="17">
        <v>74615</v>
      </c>
    </row>
    <row r="1653" spans="1:7">
      <c r="A1653" s="1" t="s">
        <v>4767</v>
      </c>
      <c r="B1653" s="1" t="s">
        <v>4768</v>
      </c>
      <c r="C1653">
        <f>(1-(B7/100))*402.24</f>
        <v>402.24</v>
      </c>
      <c r="D1653" s="1">
        <v>0</v>
      </c>
      <c r="E1653">
        <f>D1653*C1653</f>
        <v>0</v>
      </c>
      <c r="F1653" s="1" t="s">
        <v>4769</v>
      </c>
      <c r="G1653" s="17">
        <v>74616</v>
      </c>
    </row>
    <row r="1654" spans="1:7">
      <c r="A1654" s="1" t="s">
        <v>4770</v>
      </c>
      <c r="B1654" s="1" t="s">
        <v>4771</v>
      </c>
      <c r="C1654">
        <f>(1-(B7/100))*121.89</f>
        <v>121.89</v>
      </c>
      <c r="D1654" s="1">
        <v>0</v>
      </c>
      <c r="E1654">
        <f>D1654*C1654</f>
        <v>0</v>
      </c>
      <c r="F1654" s="1" t="s">
        <v>4772</v>
      </c>
      <c r="G1654" s="17">
        <v>74622</v>
      </c>
    </row>
    <row r="1655" spans="1:7">
      <c r="A1655" s="1" t="s">
        <v>4773</v>
      </c>
      <c r="B1655" s="1" t="s">
        <v>4774</v>
      </c>
      <c r="C1655">
        <f>(1-(B7/100))*264.41</f>
        <v>264.41</v>
      </c>
      <c r="D1655" s="1">
        <v>0</v>
      </c>
      <c r="E1655">
        <f>D1655*C1655</f>
        <v>0</v>
      </c>
      <c r="F1655" s="1" t="s">
        <v>4775</v>
      </c>
      <c r="G1655" s="17">
        <v>74623</v>
      </c>
    </row>
    <row r="1656" spans="1:7">
      <c r="A1656" s="1" t="s">
        <v>4776</v>
      </c>
      <c r="B1656" s="1" t="s">
        <v>4777</v>
      </c>
      <c r="C1656">
        <f>(1-(B7/100))*169.57</f>
        <v>169.57</v>
      </c>
      <c r="D1656" s="1">
        <v>0</v>
      </c>
      <c r="E1656">
        <f>D1656*C1656</f>
        <v>0</v>
      </c>
      <c r="F1656" s="1" t="s">
        <v>4778</v>
      </c>
      <c r="G1656" s="17">
        <v>74624</v>
      </c>
    </row>
    <row r="1657" spans="1:7">
      <c r="A1657" s="1" t="s">
        <v>4779</v>
      </c>
      <c r="B1657" s="1" t="s">
        <v>4780</v>
      </c>
      <c r="C1657">
        <f>(1-(B7/100))*1843.49</f>
        <v>1843.49</v>
      </c>
      <c r="D1657" s="1">
        <v>0</v>
      </c>
      <c r="E1657">
        <f>D1657*C1657</f>
        <v>0</v>
      </c>
      <c r="F1657" s="1" t="s">
        <v>4781</v>
      </c>
      <c r="G1657" s="17">
        <v>74625</v>
      </c>
    </row>
    <row r="1658" spans="1:7">
      <c r="A1658" s="1" t="s">
        <v>4782</v>
      </c>
      <c r="B1658" s="1" t="s">
        <v>4783</v>
      </c>
      <c r="C1658">
        <f>(1-(B7/100))*31.85</f>
        <v>31.85</v>
      </c>
      <c r="D1658" s="1">
        <v>0</v>
      </c>
      <c r="E1658">
        <f>D1658*C1658</f>
        <v>0</v>
      </c>
      <c r="F1658" s="1" t="s">
        <v>4784</v>
      </c>
      <c r="G1658" s="17">
        <v>74628</v>
      </c>
    </row>
    <row r="1659" spans="1:7">
      <c r="A1659" s="1" t="s">
        <v>4785</v>
      </c>
      <c r="B1659" s="1" t="s">
        <v>4786</v>
      </c>
      <c r="C1659">
        <f>(1-(B7/100))*141.98</f>
        <v>141.98</v>
      </c>
      <c r="D1659" s="1">
        <v>0</v>
      </c>
      <c r="E1659">
        <f>D1659*C1659</f>
        <v>0</v>
      </c>
      <c r="F1659" s="1" t="s">
        <v>4787</v>
      </c>
      <c r="G1659" s="17">
        <v>74629</v>
      </c>
    </row>
    <row r="1660" spans="1:7">
      <c r="A1660" s="1" t="s">
        <v>4788</v>
      </c>
      <c r="B1660" s="1" t="s">
        <v>4789</v>
      </c>
      <c r="C1660">
        <f>(1-(B7/100))*792.86</f>
        <v>792.86</v>
      </c>
      <c r="D1660" s="1">
        <v>0</v>
      </c>
      <c r="E1660">
        <f>D1660*C1660</f>
        <v>0</v>
      </c>
      <c r="F1660" s="1" t="s">
        <v>4790</v>
      </c>
      <c r="G1660" s="17">
        <v>74632</v>
      </c>
    </row>
    <row r="1661" spans="1:7">
      <c r="A1661" s="1" t="s">
        <v>4791</v>
      </c>
      <c r="B1661" s="1" t="s">
        <v>4792</v>
      </c>
      <c r="C1661">
        <f>(1-(B7/100))*432.24</f>
        <v>432.24</v>
      </c>
      <c r="D1661" s="1">
        <v>0</v>
      </c>
      <c r="E1661">
        <f>D1661*C1661</f>
        <v>0</v>
      </c>
      <c r="F1661" s="1" t="s">
        <v>4793</v>
      </c>
      <c r="G1661" s="17">
        <v>74633</v>
      </c>
    </row>
    <row r="1662" spans="1:7">
      <c r="A1662" s="1" t="s">
        <v>4794</v>
      </c>
      <c r="B1662" s="1" t="s">
        <v>4795</v>
      </c>
      <c r="C1662">
        <f>(1-(B7/100))*383.02</f>
        <v>383.02</v>
      </c>
      <c r="D1662" s="1">
        <v>0</v>
      </c>
      <c r="E1662">
        <f>D1662*C1662</f>
        <v>0</v>
      </c>
      <c r="F1662" s="1" t="s">
        <v>4796</v>
      </c>
      <c r="G1662" s="17">
        <v>74634</v>
      </c>
    </row>
    <row r="1663" spans="1:7">
      <c r="A1663" s="1" t="s">
        <v>4797</v>
      </c>
      <c r="B1663" s="1" t="s">
        <v>4798</v>
      </c>
      <c r="C1663">
        <f>(1-(B7/100))*159.52</f>
        <v>159.52</v>
      </c>
      <c r="D1663" s="1">
        <v>0</v>
      </c>
      <c r="E1663">
        <f>D1663*C1663</f>
        <v>0</v>
      </c>
      <c r="F1663" s="1" t="s">
        <v>4799</v>
      </c>
      <c r="G1663" s="17">
        <v>74635</v>
      </c>
    </row>
    <row r="1664" spans="1:7">
      <c r="A1664" s="1" t="s">
        <v>4800</v>
      </c>
      <c r="B1664" s="1" t="s">
        <v>4801</v>
      </c>
      <c r="C1664">
        <f>(1-(B7/100))*137.92</f>
        <v>137.92</v>
      </c>
      <c r="D1664" s="1">
        <v>0</v>
      </c>
      <c r="E1664">
        <f>D1664*C1664</f>
        <v>0</v>
      </c>
      <c r="F1664" s="1" t="s">
        <v>4802</v>
      </c>
      <c r="G1664" s="17">
        <v>74647</v>
      </c>
    </row>
    <row r="1665" spans="1:7">
      <c r="A1665" s="1" t="s">
        <v>4803</v>
      </c>
      <c r="B1665" s="1" t="s">
        <v>4804</v>
      </c>
      <c r="C1665">
        <f>(1-(B7/100))*121.44</f>
        <v>121.44</v>
      </c>
      <c r="D1665" s="1">
        <v>0</v>
      </c>
      <c r="E1665">
        <f>D1665*C1665</f>
        <v>0</v>
      </c>
      <c r="F1665" s="1" t="s">
        <v>4805</v>
      </c>
      <c r="G1665" s="17">
        <v>74654</v>
      </c>
    </row>
    <row r="1666" spans="1:7">
      <c r="A1666" s="1" t="s">
        <v>4806</v>
      </c>
      <c r="B1666" s="1" t="s">
        <v>4807</v>
      </c>
      <c r="C1666">
        <f>(1-(B7/100))*2793.16</f>
        <v>2793.16</v>
      </c>
      <c r="D1666" s="1">
        <v>0</v>
      </c>
      <c r="E1666">
        <f>D1666*C1666</f>
        <v>0</v>
      </c>
      <c r="F1666" s="1" t="s">
        <v>4808</v>
      </c>
      <c r="G1666" s="17">
        <v>74655</v>
      </c>
    </row>
    <row r="1667" spans="1:7">
      <c r="A1667" s="1" t="s">
        <v>4809</v>
      </c>
      <c r="B1667" s="1" t="s">
        <v>4810</v>
      </c>
      <c r="C1667">
        <f>(1-(B7/100))*157.72</f>
        <v>157.72</v>
      </c>
      <c r="D1667" s="1">
        <v>0</v>
      </c>
      <c r="E1667">
        <f>D1667*C1667</f>
        <v>0</v>
      </c>
      <c r="F1667" s="1" t="s">
        <v>4811</v>
      </c>
      <c r="G1667" s="17">
        <v>74656</v>
      </c>
    </row>
    <row r="1668" spans="1:7">
      <c r="A1668" s="1" t="s">
        <v>4812</v>
      </c>
      <c r="B1668" s="1" t="s">
        <v>4813</v>
      </c>
      <c r="C1668">
        <f>(1-(B7/100))*157.72</f>
        <v>157.72</v>
      </c>
      <c r="D1668" s="1">
        <v>0</v>
      </c>
      <c r="E1668">
        <f>D1668*C1668</f>
        <v>0</v>
      </c>
      <c r="F1668" s="1" t="s">
        <v>4814</v>
      </c>
      <c r="G1668" s="17">
        <v>74657</v>
      </c>
    </row>
    <row r="1669" spans="1:7">
      <c r="A1669" s="1" t="s">
        <v>4815</v>
      </c>
      <c r="B1669" s="1" t="s">
        <v>4816</v>
      </c>
      <c r="C1669">
        <f>(1-(B7/100))*8587.09</f>
        <v>8587.09</v>
      </c>
      <c r="D1669" s="1">
        <v>0</v>
      </c>
      <c r="E1669">
        <f>D1669*C1669</f>
        <v>0</v>
      </c>
      <c r="F1669" s="1" t="s">
        <v>16</v>
      </c>
      <c r="G1669" s="17">
        <v>74658</v>
      </c>
    </row>
    <row r="1670" spans="1:7">
      <c r="A1670" s="1" t="s">
        <v>4817</v>
      </c>
      <c r="B1670" s="1" t="s">
        <v>4818</v>
      </c>
      <c r="C1670">
        <f>(1-(B7/100))*754.22</f>
        <v>754.22</v>
      </c>
      <c r="D1670" s="1">
        <v>0</v>
      </c>
      <c r="E1670">
        <f>D1670*C1670</f>
        <v>0</v>
      </c>
      <c r="F1670" s="1" t="s">
        <v>4819</v>
      </c>
      <c r="G1670" s="17">
        <v>74659</v>
      </c>
    </row>
    <row r="1671" spans="1:7">
      <c r="A1671" s="1" t="s">
        <v>4820</v>
      </c>
      <c r="B1671" s="1" t="s">
        <v>4821</v>
      </c>
      <c r="C1671">
        <f>(1-(B7/100))*754.22</f>
        <v>754.22</v>
      </c>
      <c r="D1671" s="1">
        <v>0</v>
      </c>
      <c r="E1671">
        <f>D1671*C1671</f>
        <v>0</v>
      </c>
      <c r="F1671" s="1" t="s">
        <v>4822</v>
      </c>
      <c r="G1671" s="17">
        <v>74660</v>
      </c>
    </row>
    <row r="1672" spans="1:7">
      <c r="A1672" s="1" t="s">
        <v>4823</v>
      </c>
      <c r="B1672" s="1" t="s">
        <v>4824</v>
      </c>
      <c r="C1672">
        <f>(1-(B7/100))*3546.05</f>
        <v>3546.05</v>
      </c>
      <c r="D1672" s="1">
        <v>0</v>
      </c>
      <c r="E1672">
        <f>D1672*C1672</f>
        <v>0</v>
      </c>
      <c r="F1672" s="1" t="s">
        <v>4825</v>
      </c>
      <c r="G1672" s="17">
        <v>74662</v>
      </c>
    </row>
    <row r="1673" spans="1:7">
      <c r="A1673" s="1" t="s">
        <v>4826</v>
      </c>
      <c r="B1673" s="1" t="s">
        <v>4827</v>
      </c>
      <c r="C1673">
        <f>(1-(B7/100))*116.19</f>
        <v>116.19</v>
      </c>
      <c r="D1673" s="1">
        <v>0</v>
      </c>
      <c r="E1673">
        <f>D1673*C1673</f>
        <v>0</v>
      </c>
      <c r="F1673" s="1" t="s">
        <v>4828</v>
      </c>
      <c r="G1673" s="17">
        <v>74666</v>
      </c>
    </row>
    <row r="1674" spans="1:7">
      <c r="A1674" s="1" t="s">
        <v>4829</v>
      </c>
      <c r="B1674" s="1" t="s">
        <v>4830</v>
      </c>
      <c r="C1674">
        <f>(1-(B7/100))*270.7</f>
        <v>270.7</v>
      </c>
      <c r="D1674" s="1">
        <v>0</v>
      </c>
      <c r="E1674">
        <f>D1674*C1674</f>
        <v>0</v>
      </c>
      <c r="F1674" s="1" t="s">
        <v>4831</v>
      </c>
      <c r="G1674" s="17">
        <v>74667</v>
      </c>
    </row>
    <row r="1675" spans="1:7">
      <c r="A1675" s="1" t="s">
        <v>4832</v>
      </c>
      <c r="B1675" s="1" t="s">
        <v>4833</v>
      </c>
      <c r="C1675">
        <f>(1-(B7/100))*28.73</f>
        <v>28.73</v>
      </c>
      <c r="D1675" s="1">
        <v>0</v>
      </c>
      <c r="E1675">
        <f>D1675*C1675</f>
        <v>0</v>
      </c>
      <c r="F1675" s="1" t="s">
        <v>4834</v>
      </c>
      <c r="G1675" s="17">
        <v>74668</v>
      </c>
    </row>
    <row r="1676" spans="1:7">
      <c r="A1676" s="1" t="s">
        <v>4835</v>
      </c>
      <c r="B1676" s="1" t="s">
        <v>4836</v>
      </c>
      <c r="C1676">
        <f>(1-(B7/100))*12.25</f>
        <v>12.25</v>
      </c>
      <c r="D1676" s="1">
        <v>0</v>
      </c>
      <c r="E1676">
        <f>D1676*C1676</f>
        <v>0</v>
      </c>
      <c r="F1676" s="1" t="s">
        <v>4837</v>
      </c>
      <c r="G1676" s="17">
        <v>74670</v>
      </c>
    </row>
    <row r="1677" spans="1:7">
      <c r="A1677" s="1" t="s">
        <v>4838</v>
      </c>
      <c r="B1677" s="1" t="s">
        <v>4839</v>
      </c>
      <c r="C1677">
        <f>(1-(B7/100))*150.47</f>
        <v>150.47</v>
      </c>
      <c r="D1677" s="1">
        <v>0</v>
      </c>
      <c r="E1677">
        <f>D1677*C1677</f>
        <v>0</v>
      </c>
      <c r="F1677" s="1" t="s">
        <v>4840</v>
      </c>
      <c r="G1677" s="17">
        <v>74671</v>
      </c>
    </row>
    <row r="1678" spans="1:7">
      <c r="A1678" s="1" t="s">
        <v>4841</v>
      </c>
      <c r="B1678" s="1" t="s">
        <v>4842</v>
      </c>
      <c r="C1678">
        <f>(1-(B7/100))*56.52</f>
        <v>56.52</v>
      </c>
      <c r="D1678" s="1">
        <v>0</v>
      </c>
      <c r="E1678">
        <f>D1678*C1678</f>
        <v>0</v>
      </c>
      <c r="F1678" s="1" t="s">
        <v>4843</v>
      </c>
      <c r="G1678" s="17">
        <v>74672</v>
      </c>
    </row>
    <row r="1679" spans="1:7">
      <c r="A1679" s="1" t="s">
        <v>4844</v>
      </c>
      <c r="B1679" s="1" t="s">
        <v>4845</v>
      </c>
      <c r="C1679">
        <f>(1-(B7/100))*73.31</f>
        <v>73.31</v>
      </c>
      <c r="D1679" s="1">
        <v>0</v>
      </c>
      <c r="E1679">
        <f>D1679*C1679</f>
        <v>0</v>
      </c>
      <c r="F1679" s="1" t="s">
        <v>4846</v>
      </c>
      <c r="G1679" s="17">
        <v>74675</v>
      </c>
    </row>
    <row r="1680" spans="1:7">
      <c r="A1680" s="1" t="s">
        <v>4847</v>
      </c>
      <c r="B1680" s="1" t="s">
        <v>4848</v>
      </c>
      <c r="C1680">
        <f>(1-(B7/100))*19.92</f>
        <v>19.92</v>
      </c>
      <c r="D1680" s="1">
        <v>0</v>
      </c>
      <c r="E1680">
        <f>D1680*C1680</f>
        <v>0</v>
      </c>
      <c r="F1680" s="1" t="s">
        <v>4849</v>
      </c>
      <c r="G1680" s="17">
        <v>74691</v>
      </c>
    </row>
    <row r="1681" spans="1:7">
      <c r="A1681" s="1" t="s">
        <v>4850</v>
      </c>
      <c r="B1681" s="1" t="s">
        <v>4851</v>
      </c>
      <c r="C1681">
        <f>(1-(B7/100))*152.79</f>
        <v>152.79</v>
      </c>
      <c r="D1681" s="1">
        <v>0</v>
      </c>
      <c r="E1681">
        <f>D1681*C1681</f>
        <v>0</v>
      </c>
      <c r="F1681" s="1" t="s">
        <v>4852</v>
      </c>
      <c r="G1681" s="17">
        <v>74694</v>
      </c>
    </row>
    <row r="1682" spans="1:7">
      <c r="A1682" s="1" t="s">
        <v>4853</v>
      </c>
      <c r="B1682" s="1" t="s">
        <v>4854</v>
      </c>
      <c r="C1682">
        <f>(1-(B7/100))*19.46</f>
        <v>19.46</v>
      </c>
      <c r="D1682" s="1">
        <v>0</v>
      </c>
      <c r="E1682">
        <f>D1682*C1682</f>
        <v>0</v>
      </c>
      <c r="F1682" s="1" t="s">
        <v>4855</v>
      </c>
      <c r="G1682" s="17">
        <v>74695</v>
      </c>
    </row>
    <row r="1683" spans="1:7">
      <c r="A1683" s="1" t="s">
        <v>4856</v>
      </c>
      <c r="B1683" s="1" t="s">
        <v>4857</v>
      </c>
      <c r="C1683">
        <f>(1-(B7/100))*20.27</f>
        <v>20.27</v>
      </c>
      <c r="D1683" s="1">
        <v>0</v>
      </c>
      <c r="E1683">
        <f>D1683*C1683</f>
        <v>0</v>
      </c>
      <c r="F1683" s="1" t="s">
        <v>4858</v>
      </c>
      <c r="G1683" s="17">
        <v>74696</v>
      </c>
    </row>
    <row r="1684" spans="1:7">
      <c r="A1684" s="1" t="s">
        <v>4859</v>
      </c>
      <c r="B1684" s="1" t="s">
        <v>4860</v>
      </c>
      <c r="C1684">
        <f>(1-(B7/100))*27.66</f>
        <v>27.66</v>
      </c>
      <c r="D1684" s="1">
        <v>0</v>
      </c>
      <c r="E1684">
        <f>D1684*C1684</f>
        <v>0</v>
      </c>
      <c r="F1684" s="1" t="s">
        <v>4861</v>
      </c>
      <c r="G1684" s="17">
        <v>74700</v>
      </c>
    </row>
    <row r="1685" spans="1:7">
      <c r="A1685" s="1" t="s">
        <v>4862</v>
      </c>
      <c r="B1685" s="1" t="s">
        <v>4863</v>
      </c>
      <c r="C1685">
        <f>(1-(B7/100))*572.51</f>
        <v>572.51</v>
      </c>
      <c r="D1685" s="1">
        <v>0</v>
      </c>
      <c r="E1685">
        <f>D1685*C1685</f>
        <v>0</v>
      </c>
      <c r="F1685" s="1" t="s">
        <v>4864</v>
      </c>
      <c r="G1685" s="17">
        <v>74701</v>
      </c>
    </row>
    <row r="1686" spans="1:7">
      <c r="A1686" s="1" t="s">
        <v>4865</v>
      </c>
      <c r="B1686" s="1" t="s">
        <v>4866</v>
      </c>
      <c r="C1686">
        <f>(1-(B7/100))*93.29</f>
        <v>93.29</v>
      </c>
      <c r="D1686" s="1">
        <v>0</v>
      </c>
      <c r="E1686">
        <f>D1686*C1686</f>
        <v>0</v>
      </c>
      <c r="F1686" s="1" t="s">
        <v>4867</v>
      </c>
      <c r="G1686" s="17">
        <v>74702</v>
      </c>
    </row>
    <row r="1687" spans="1:7">
      <c r="A1687" s="1" t="s">
        <v>4868</v>
      </c>
      <c r="B1687" s="1" t="s">
        <v>4869</v>
      </c>
      <c r="C1687">
        <f>(1-(B7/100))*546.42</f>
        <v>546.42</v>
      </c>
      <c r="D1687" s="1">
        <v>0</v>
      </c>
      <c r="E1687">
        <f>D1687*C1687</f>
        <v>0</v>
      </c>
      <c r="F1687" s="1" t="s">
        <v>4870</v>
      </c>
      <c r="G1687" s="17">
        <v>74703</v>
      </c>
    </row>
    <row r="1688" spans="1:7">
      <c r="A1688" s="1" t="s">
        <v>4871</v>
      </c>
      <c r="B1688" s="1" t="s">
        <v>4872</v>
      </c>
      <c r="C1688">
        <f>(1-(B7/100))*187.6</f>
        <v>187.6</v>
      </c>
      <c r="D1688" s="1">
        <v>0</v>
      </c>
      <c r="E1688">
        <f>D1688*C1688</f>
        <v>0</v>
      </c>
      <c r="F1688" s="1" t="s">
        <v>4873</v>
      </c>
      <c r="G1688" s="17">
        <v>74705</v>
      </c>
    </row>
    <row r="1689" spans="1:7">
      <c r="A1689" s="1" t="s">
        <v>4874</v>
      </c>
      <c r="B1689" s="1" t="s">
        <v>4875</v>
      </c>
      <c r="C1689">
        <f>(1-(B7/100))*56.4</f>
        <v>56.4</v>
      </c>
      <c r="D1689" s="1">
        <v>0</v>
      </c>
      <c r="E1689">
        <f>D1689*C1689</f>
        <v>0</v>
      </c>
      <c r="F1689" s="1" t="s">
        <v>4876</v>
      </c>
      <c r="G1689" s="17">
        <v>74712</v>
      </c>
    </row>
    <row r="1690" spans="1:7">
      <c r="A1690" s="1" t="s">
        <v>4877</v>
      </c>
      <c r="B1690" s="1" t="s">
        <v>4878</v>
      </c>
      <c r="C1690">
        <f>(1-(B7/100))*24.45</f>
        <v>24.45</v>
      </c>
      <c r="D1690" s="1">
        <v>0</v>
      </c>
      <c r="E1690">
        <f>D1690*C1690</f>
        <v>0</v>
      </c>
      <c r="F1690" s="1" t="s">
        <v>4879</v>
      </c>
      <c r="G1690" s="17">
        <v>74720</v>
      </c>
    </row>
    <row r="1691" spans="1:7">
      <c r="A1691" s="1" t="s">
        <v>4880</v>
      </c>
      <c r="B1691" s="1" t="s">
        <v>4881</v>
      </c>
      <c r="C1691">
        <f>(1-(B7/100))*305.27</f>
        <v>305.27</v>
      </c>
      <c r="D1691" s="1">
        <v>0</v>
      </c>
      <c r="E1691">
        <f>D1691*C1691</f>
        <v>0</v>
      </c>
      <c r="F1691" s="1" t="s">
        <v>4882</v>
      </c>
      <c r="G1691" s="17">
        <v>74734</v>
      </c>
    </row>
    <row r="1692" spans="1:7">
      <c r="A1692" s="1" t="s">
        <v>4883</v>
      </c>
      <c r="B1692" s="1" t="s">
        <v>4884</v>
      </c>
      <c r="C1692">
        <f>(1-(B7/100))*272.3</f>
        <v>272.3</v>
      </c>
      <c r="D1692" s="1">
        <v>0</v>
      </c>
      <c r="E1692">
        <f>D1692*C1692</f>
        <v>0</v>
      </c>
      <c r="F1692" s="1" t="s">
        <v>4885</v>
      </c>
      <c r="G1692" s="17">
        <v>74735</v>
      </c>
    </row>
    <row r="1693" spans="1:7">
      <c r="A1693" s="1" t="s">
        <v>4886</v>
      </c>
      <c r="B1693" s="1" t="s">
        <v>4887</v>
      </c>
      <c r="C1693">
        <f>(1-(B7/100))*330.94</f>
        <v>330.94</v>
      </c>
      <c r="D1693" s="1">
        <v>0</v>
      </c>
      <c r="E1693">
        <f>D1693*C1693</f>
        <v>0</v>
      </c>
      <c r="F1693" s="1" t="s">
        <v>4888</v>
      </c>
      <c r="G1693" s="17">
        <v>74736</v>
      </c>
    </row>
    <row r="1694" spans="1:7">
      <c r="A1694" s="1" t="s">
        <v>4889</v>
      </c>
      <c r="B1694" s="1" t="s">
        <v>4890</v>
      </c>
      <c r="C1694">
        <f>(1-(B7/100))*316.44</f>
        <v>316.44</v>
      </c>
      <c r="D1694" s="1">
        <v>0</v>
      </c>
      <c r="E1694">
        <f>D1694*C1694</f>
        <v>0</v>
      </c>
      <c r="F1694" s="1" t="s">
        <v>4891</v>
      </c>
      <c r="G1694" s="17">
        <v>74738</v>
      </c>
    </row>
    <row r="1695" spans="1:7">
      <c r="A1695" s="1" t="s">
        <v>4892</v>
      </c>
      <c r="B1695" s="1" t="s">
        <v>4893</v>
      </c>
      <c r="C1695">
        <f>(1-(B7/100))*105.38</f>
        <v>105.38</v>
      </c>
      <c r="D1695" s="1">
        <v>0</v>
      </c>
      <c r="E1695">
        <f>D1695*C1695</f>
        <v>0</v>
      </c>
      <c r="F1695" s="1" t="s">
        <v>4894</v>
      </c>
      <c r="G1695" s="17">
        <v>74741</v>
      </c>
    </row>
    <row r="1696" spans="1:7">
      <c r="A1696" s="1" t="s">
        <v>4895</v>
      </c>
      <c r="B1696" s="1" t="s">
        <v>4896</v>
      </c>
      <c r="C1696">
        <f>(1-(B7/100))*83.42</f>
        <v>83.42</v>
      </c>
      <c r="D1696" s="1">
        <v>0</v>
      </c>
      <c r="E1696">
        <f>D1696*C1696</f>
        <v>0</v>
      </c>
      <c r="F1696" s="1" t="s">
        <v>4897</v>
      </c>
      <c r="G1696" s="17">
        <v>74743</v>
      </c>
    </row>
    <row r="1697" spans="1:7">
      <c r="A1697" s="1" t="s">
        <v>4898</v>
      </c>
      <c r="B1697" s="1" t="s">
        <v>4899</v>
      </c>
      <c r="C1697">
        <f>(1-(B7/100))*2284.93</f>
        <v>2284.93</v>
      </c>
      <c r="D1697" s="1">
        <v>0</v>
      </c>
      <c r="E1697">
        <f>D1697*C1697</f>
        <v>0</v>
      </c>
      <c r="F1697" s="1" t="s">
        <v>4900</v>
      </c>
      <c r="G1697" s="17">
        <v>74746</v>
      </c>
    </row>
    <row r="1698" spans="1:7">
      <c r="A1698" s="1" t="s">
        <v>4901</v>
      </c>
      <c r="B1698" s="1" t="s">
        <v>4902</v>
      </c>
      <c r="C1698">
        <f>(1-(B7/100))*171.09</f>
        <v>171.09</v>
      </c>
      <c r="D1698" s="1">
        <v>0</v>
      </c>
      <c r="E1698">
        <f>D1698*C1698</f>
        <v>0</v>
      </c>
      <c r="F1698" s="1" t="s">
        <v>4903</v>
      </c>
      <c r="G1698" s="17">
        <v>74747</v>
      </c>
    </row>
    <row r="1699" spans="1:7">
      <c r="A1699" s="1" t="s">
        <v>4904</v>
      </c>
      <c r="B1699" s="1" t="s">
        <v>4905</v>
      </c>
      <c r="C1699">
        <f>(1-(B7/100))*23.75</f>
        <v>23.75</v>
      </c>
      <c r="D1699" s="1">
        <v>0</v>
      </c>
      <c r="E1699">
        <f>D1699*C1699</f>
        <v>0</v>
      </c>
      <c r="F1699" s="1" t="s">
        <v>4906</v>
      </c>
      <c r="G1699" s="17">
        <v>74751</v>
      </c>
    </row>
    <row r="1700" spans="1:7">
      <c r="A1700" s="1" t="s">
        <v>4907</v>
      </c>
      <c r="B1700" s="1" t="s">
        <v>4908</v>
      </c>
      <c r="C1700">
        <f>(1-(B7/100))*76.04</f>
        <v>76.04</v>
      </c>
      <c r="D1700" s="1">
        <v>0</v>
      </c>
      <c r="E1700">
        <f>D1700*C1700</f>
        <v>0</v>
      </c>
      <c r="F1700" s="1" t="s">
        <v>4909</v>
      </c>
      <c r="G1700" s="17">
        <v>74753</v>
      </c>
    </row>
    <row r="1701" spans="1:7">
      <c r="A1701" s="1" t="s">
        <v>4910</v>
      </c>
      <c r="B1701" s="1" t="s">
        <v>4911</v>
      </c>
      <c r="C1701">
        <f>(1-(B7/100))*128.38</f>
        <v>128.38</v>
      </c>
      <c r="D1701" s="1">
        <v>0</v>
      </c>
      <c r="E1701">
        <f>D1701*C1701</f>
        <v>0</v>
      </c>
      <c r="F1701" s="1" t="s">
        <v>4912</v>
      </c>
      <c r="G1701" s="17">
        <v>74756</v>
      </c>
    </row>
    <row r="1702" spans="1:7">
      <c r="A1702" s="1" t="s">
        <v>4913</v>
      </c>
      <c r="B1702" s="1" t="s">
        <v>4914</v>
      </c>
      <c r="C1702">
        <f>(1-(B7/100))*74.15</f>
        <v>74.15</v>
      </c>
      <c r="D1702" s="1">
        <v>0</v>
      </c>
      <c r="E1702">
        <f>D1702*C1702</f>
        <v>0</v>
      </c>
      <c r="F1702" s="1" t="s">
        <v>4915</v>
      </c>
      <c r="G1702" s="17">
        <v>74759</v>
      </c>
    </row>
    <row r="1703" spans="1:7">
      <c r="A1703" s="1" t="s">
        <v>4916</v>
      </c>
      <c r="B1703" s="1" t="s">
        <v>4917</v>
      </c>
      <c r="C1703">
        <f>(1-(B7/100))*156.14</f>
        <v>156.14</v>
      </c>
      <c r="D1703" s="1">
        <v>0</v>
      </c>
      <c r="E1703">
        <f>D1703*C1703</f>
        <v>0</v>
      </c>
      <c r="F1703" s="1" t="s">
        <v>4918</v>
      </c>
      <c r="G1703" s="17">
        <v>74760</v>
      </c>
    </row>
    <row r="1704" spans="1:7">
      <c r="A1704" s="1" t="s">
        <v>4919</v>
      </c>
      <c r="B1704" s="1" t="s">
        <v>4920</v>
      </c>
      <c r="C1704">
        <f>(1-(B7/100))*335.24</f>
        <v>335.24</v>
      </c>
      <c r="D1704" s="1">
        <v>0</v>
      </c>
      <c r="E1704">
        <f>D1704*C1704</f>
        <v>0</v>
      </c>
      <c r="F1704" s="1" t="s">
        <v>4921</v>
      </c>
      <c r="G1704" s="17">
        <v>74762</v>
      </c>
    </row>
    <row r="1705" spans="1:7">
      <c r="A1705" s="1" t="s">
        <v>4922</v>
      </c>
      <c r="B1705" s="1" t="s">
        <v>4923</v>
      </c>
      <c r="C1705">
        <f>(1-(B7/100))*169.68</f>
        <v>169.68</v>
      </c>
      <c r="D1705" s="1">
        <v>0</v>
      </c>
      <c r="E1705">
        <f>D1705*C1705</f>
        <v>0</v>
      </c>
      <c r="F1705" s="1" t="s">
        <v>4924</v>
      </c>
      <c r="G1705" s="17">
        <v>74764</v>
      </c>
    </row>
    <row r="1706" spans="1:7">
      <c r="A1706" s="1" t="s">
        <v>4925</v>
      </c>
      <c r="B1706" s="1" t="s">
        <v>4926</v>
      </c>
      <c r="C1706">
        <f>(1-(B7/100))*63.41</f>
        <v>63.41</v>
      </c>
      <c r="D1706" s="1">
        <v>0</v>
      </c>
      <c r="E1706">
        <f>D1706*C1706</f>
        <v>0</v>
      </c>
      <c r="F1706" s="1" t="s">
        <v>4927</v>
      </c>
      <c r="G1706" s="17">
        <v>74765</v>
      </c>
    </row>
    <row r="1707" spans="1:7">
      <c r="A1707" s="1" t="s">
        <v>4928</v>
      </c>
      <c r="B1707" s="1" t="s">
        <v>4929</v>
      </c>
      <c r="C1707">
        <f>(1-(B7/100))*255.69</f>
        <v>255.69</v>
      </c>
      <c r="D1707" s="1">
        <v>0</v>
      </c>
      <c r="E1707">
        <f>D1707*C1707</f>
        <v>0</v>
      </c>
      <c r="F1707" s="1" t="s">
        <v>4930</v>
      </c>
      <c r="G1707" s="17">
        <v>74768</v>
      </c>
    </row>
    <row r="1708" spans="1:7">
      <c r="A1708" s="1" t="s">
        <v>4931</v>
      </c>
      <c r="B1708" s="1" t="s">
        <v>4932</v>
      </c>
      <c r="C1708">
        <f>(1-(B7/100))*225.93</f>
        <v>225.93</v>
      </c>
      <c r="D1708" s="1">
        <v>0</v>
      </c>
      <c r="E1708">
        <f>D1708*C1708</f>
        <v>0</v>
      </c>
      <c r="F1708" s="1" t="s">
        <v>4933</v>
      </c>
      <c r="G1708" s="17">
        <v>74769</v>
      </c>
    </row>
    <row r="1709" spans="1:7">
      <c r="A1709" s="1" t="s">
        <v>4934</v>
      </c>
      <c r="B1709" s="1" t="s">
        <v>4935</v>
      </c>
      <c r="C1709">
        <f>(1-(B7/100))*90.23</f>
        <v>90.23</v>
      </c>
      <c r="D1709" s="1">
        <v>0</v>
      </c>
      <c r="E1709">
        <f>D1709*C1709</f>
        <v>0</v>
      </c>
      <c r="F1709" s="1" t="s">
        <v>4936</v>
      </c>
      <c r="G1709" s="17">
        <v>74771</v>
      </c>
    </row>
    <row r="1710" spans="1:7">
      <c r="A1710" s="1" t="s">
        <v>4937</v>
      </c>
      <c r="B1710" s="1" t="s">
        <v>4938</v>
      </c>
      <c r="C1710">
        <f>(1-(B7/100))*285.09</f>
        <v>285.09</v>
      </c>
      <c r="D1710" s="1">
        <v>0</v>
      </c>
      <c r="E1710">
        <f>D1710*C1710</f>
        <v>0</v>
      </c>
      <c r="F1710" s="1" t="s">
        <v>4939</v>
      </c>
      <c r="G1710" s="17">
        <v>74772</v>
      </c>
    </row>
    <row r="1711" spans="1:7">
      <c r="A1711" s="1" t="s">
        <v>4940</v>
      </c>
      <c r="B1711" s="1" t="s">
        <v>4941</v>
      </c>
      <c r="C1711">
        <f>(1-(B7/100))*834.67</f>
        <v>834.67</v>
      </c>
      <c r="D1711" s="1">
        <v>0</v>
      </c>
      <c r="E1711">
        <f>D1711*C1711</f>
        <v>0</v>
      </c>
      <c r="F1711" s="1" t="s">
        <v>4942</v>
      </c>
      <c r="G1711" s="17">
        <v>74773</v>
      </c>
    </row>
    <row r="1712" spans="1:7">
      <c r="A1712" s="1" t="s">
        <v>4943</v>
      </c>
      <c r="B1712" s="1" t="s">
        <v>4944</v>
      </c>
      <c r="C1712">
        <f>(1-(B7/100))*169.28</f>
        <v>169.28</v>
      </c>
      <c r="D1712" s="1">
        <v>0</v>
      </c>
      <c r="E1712">
        <f>D1712*C1712</f>
        <v>0</v>
      </c>
      <c r="F1712" s="1" t="s">
        <v>4945</v>
      </c>
      <c r="G1712" s="17">
        <v>74774</v>
      </c>
    </row>
    <row r="1713" spans="1:7">
      <c r="A1713" s="1" t="s">
        <v>4946</v>
      </c>
      <c r="B1713" s="1" t="s">
        <v>4947</v>
      </c>
      <c r="C1713">
        <f>(1-(B7/100))*98.59</f>
        <v>98.59</v>
      </c>
      <c r="D1713" s="1">
        <v>0</v>
      </c>
      <c r="E1713">
        <f>D1713*C1713</f>
        <v>0</v>
      </c>
      <c r="F1713" s="1" t="s">
        <v>4948</v>
      </c>
      <c r="G1713" s="17">
        <v>74775</v>
      </c>
    </row>
    <row r="1714" spans="1:7">
      <c r="A1714" s="1" t="s">
        <v>4949</v>
      </c>
      <c r="B1714" s="1" t="s">
        <v>4950</v>
      </c>
      <c r="C1714">
        <f>(1-(B7/100))*53.36</f>
        <v>53.36</v>
      </c>
      <c r="D1714" s="1">
        <v>0</v>
      </c>
      <c r="E1714">
        <f>D1714*C1714</f>
        <v>0</v>
      </c>
      <c r="F1714" s="1" t="s">
        <v>4951</v>
      </c>
      <c r="G1714" s="17">
        <v>74777</v>
      </c>
    </row>
    <row r="1715" spans="1:7">
      <c r="A1715" s="1" t="s">
        <v>4952</v>
      </c>
      <c r="B1715" s="1" t="s">
        <v>4953</v>
      </c>
      <c r="C1715">
        <f>(1-(B7/100))*29.11</f>
        <v>29.11</v>
      </c>
      <c r="D1715" s="1">
        <v>0</v>
      </c>
      <c r="E1715">
        <f>D1715*C1715</f>
        <v>0</v>
      </c>
      <c r="F1715" s="1" t="s">
        <v>4954</v>
      </c>
      <c r="G1715" s="17">
        <v>74779</v>
      </c>
    </row>
    <row r="1716" spans="1:7">
      <c r="A1716" s="1" t="s">
        <v>4955</v>
      </c>
      <c r="B1716" s="1" t="s">
        <v>4956</v>
      </c>
      <c r="C1716">
        <f>(1-(B7/100))*430.01</f>
        <v>430.01</v>
      </c>
      <c r="D1716" s="1">
        <v>0</v>
      </c>
      <c r="E1716">
        <f>D1716*C1716</f>
        <v>0</v>
      </c>
      <c r="F1716" s="1" t="s">
        <v>4957</v>
      </c>
      <c r="G1716" s="17">
        <v>74788</v>
      </c>
    </row>
    <row r="1717" spans="1:7">
      <c r="A1717" s="1" t="s">
        <v>4958</v>
      </c>
      <c r="B1717" s="1" t="s">
        <v>4959</v>
      </c>
      <c r="C1717">
        <f>(1-(B7/100))*636.97</f>
        <v>636.97</v>
      </c>
      <c r="D1717" s="1">
        <v>0</v>
      </c>
      <c r="E1717">
        <f>D1717*C1717</f>
        <v>0</v>
      </c>
      <c r="F1717" s="1" t="s">
        <v>4960</v>
      </c>
      <c r="G1717" s="17">
        <v>74789</v>
      </c>
    </row>
    <row r="1718" spans="1:7">
      <c r="A1718" s="1" t="s">
        <v>4961</v>
      </c>
      <c r="B1718" s="1" t="s">
        <v>4962</v>
      </c>
      <c r="C1718">
        <f>(1-(B7/100))*229.46</f>
        <v>229.46</v>
      </c>
      <c r="D1718" s="1">
        <v>0</v>
      </c>
      <c r="E1718">
        <f>D1718*C1718</f>
        <v>0</v>
      </c>
      <c r="F1718" s="1" t="s">
        <v>4963</v>
      </c>
      <c r="G1718" s="17">
        <v>74793</v>
      </c>
    </row>
    <row r="1719" spans="1:7">
      <c r="A1719" s="1" t="s">
        <v>4964</v>
      </c>
      <c r="B1719" s="1" t="s">
        <v>4965</v>
      </c>
      <c r="C1719">
        <f>(1-(B7/100))*1063.77</f>
        <v>1063.77</v>
      </c>
      <c r="D1719" s="1">
        <v>0</v>
      </c>
      <c r="E1719">
        <f>D1719*C1719</f>
        <v>0</v>
      </c>
      <c r="F1719" s="1" t="s">
        <v>4966</v>
      </c>
      <c r="G1719" s="17">
        <v>74797</v>
      </c>
    </row>
    <row r="1720" spans="1:7">
      <c r="A1720" s="1" t="s">
        <v>4967</v>
      </c>
      <c r="B1720" s="1" t="s">
        <v>4968</v>
      </c>
      <c r="C1720">
        <f>(1-(B7/100))*97.91</f>
        <v>97.91</v>
      </c>
      <c r="D1720" s="1">
        <v>0</v>
      </c>
      <c r="E1720">
        <f>D1720*C1720</f>
        <v>0</v>
      </c>
      <c r="F1720" s="1" t="s">
        <v>4969</v>
      </c>
      <c r="G1720" s="17">
        <v>74798</v>
      </c>
    </row>
    <row r="1721" spans="1:7">
      <c r="A1721" s="1" t="s">
        <v>4970</v>
      </c>
      <c r="B1721" s="1" t="s">
        <v>4971</v>
      </c>
      <c r="C1721">
        <f>(1-(B7/100))*97.91</f>
        <v>97.91</v>
      </c>
      <c r="D1721" s="1">
        <v>0</v>
      </c>
      <c r="E1721">
        <f>D1721*C1721</f>
        <v>0</v>
      </c>
      <c r="F1721" s="1" t="s">
        <v>4972</v>
      </c>
      <c r="G1721" s="17">
        <v>74799</v>
      </c>
    </row>
    <row r="1722" spans="1:7">
      <c r="A1722" s="1" t="s">
        <v>4973</v>
      </c>
      <c r="B1722" s="1" t="s">
        <v>4974</v>
      </c>
      <c r="C1722">
        <f>(1-(B7/100))*68.14</f>
        <v>68.14</v>
      </c>
      <c r="D1722" s="1">
        <v>0</v>
      </c>
      <c r="E1722">
        <f>D1722*C1722</f>
        <v>0</v>
      </c>
      <c r="F1722" s="1" t="s">
        <v>4975</v>
      </c>
      <c r="G1722" s="17">
        <v>74800</v>
      </c>
    </row>
    <row r="1723" spans="1:7">
      <c r="A1723" s="1" t="s">
        <v>4976</v>
      </c>
      <c r="B1723" s="1" t="s">
        <v>4977</v>
      </c>
      <c r="C1723">
        <f>(1-(B7/100))*692.51</f>
        <v>692.51</v>
      </c>
      <c r="D1723" s="1">
        <v>0</v>
      </c>
      <c r="E1723">
        <f>D1723*C1723</f>
        <v>0</v>
      </c>
      <c r="F1723" s="1" t="s">
        <v>4978</v>
      </c>
      <c r="G1723" s="17">
        <v>74801</v>
      </c>
    </row>
    <row r="1724" spans="1:7">
      <c r="A1724" s="1" t="s">
        <v>4979</v>
      </c>
      <c r="B1724" s="1" t="s">
        <v>4980</v>
      </c>
      <c r="C1724">
        <f>(1-(B7/100))*83.73</f>
        <v>83.73</v>
      </c>
      <c r="D1724" s="1">
        <v>0</v>
      </c>
      <c r="E1724">
        <f>D1724*C1724</f>
        <v>0</v>
      </c>
      <c r="F1724" s="1" t="s">
        <v>4981</v>
      </c>
      <c r="G1724" s="17">
        <v>74802</v>
      </c>
    </row>
    <row r="1725" spans="1:7">
      <c r="A1725" s="1" t="s">
        <v>4982</v>
      </c>
      <c r="B1725" s="1" t="s">
        <v>4983</v>
      </c>
      <c r="C1725">
        <f>(1-(B7/100))*914.82</f>
        <v>914.82</v>
      </c>
      <c r="D1725" s="1">
        <v>0</v>
      </c>
      <c r="E1725">
        <f>D1725*C1725</f>
        <v>0</v>
      </c>
      <c r="F1725" s="1" t="s">
        <v>4984</v>
      </c>
      <c r="G1725" s="17">
        <v>74803</v>
      </c>
    </row>
    <row r="1726" spans="1:7">
      <c r="A1726" s="1" t="s">
        <v>4985</v>
      </c>
      <c r="B1726" s="1" t="s">
        <v>4986</v>
      </c>
      <c r="C1726">
        <f>(1-(B7/100))*326.42</f>
        <v>326.42</v>
      </c>
      <c r="D1726" s="1">
        <v>0</v>
      </c>
      <c r="E1726">
        <f>D1726*C1726</f>
        <v>0</v>
      </c>
      <c r="F1726" s="1" t="s">
        <v>4987</v>
      </c>
      <c r="G1726" s="17">
        <v>74805</v>
      </c>
    </row>
    <row r="1727" spans="1:7">
      <c r="A1727" s="1" t="s">
        <v>4988</v>
      </c>
      <c r="B1727" s="1" t="s">
        <v>4989</v>
      </c>
      <c r="C1727">
        <f>(1-(B7/100))*573.78</f>
        <v>573.78</v>
      </c>
      <c r="D1727" s="1">
        <v>0</v>
      </c>
      <c r="E1727">
        <f>D1727*C1727</f>
        <v>0</v>
      </c>
      <c r="F1727" s="1" t="s">
        <v>4990</v>
      </c>
      <c r="G1727" s="17">
        <v>74807</v>
      </c>
    </row>
    <row r="1728" spans="1:7">
      <c r="A1728" s="1" t="s">
        <v>4991</v>
      </c>
      <c r="B1728" s="1" t="s">
        <v>4992</v>
      </c>
      <c r="C1728">
        <f>(1-(B7/100))*727.72</f>
        <v>727.72</v>
      </c>
      <c r="D1728" s="1">
        <v>0</v>
      </c>
      <c r="E1728">
        <f>D1728*C1728</f>
        <v>0</v>
      </c>
      <c r="F1728" s="1" t="s">
        <v>4993</v>
      </c>
      <c r="G1728" s="17">
        <v>74808</v>
      </c>
    </row>
    <row r="1729" spans="1:7">
      <c r="A1729" s="1" t="s">
        <v>4994</v>
      </c>
      <c r="B1729" s="1" t="s">
        <v>4995</v>
      </c>
      <c r="C1729">
        <f>(1-(B7/100))*664.16</f>
        <v>664.16</v>
      </c>
      <c r="D1729" s="1">
        <v>0</v>
      </c>
      <c r="E1729">
        <f>D1729*C1729</f>
        <v>0</v>
      </c>
      <c r="F1729" s="1" t="s">
        <v>4996</v>
      </c>
      <c r="G1729" s="17">
        <v>74810</v>
      </c>
    </row>
    <row r="1730" spans="1:7">
      <c r="A1730" s="1" t="s">
        <v>4997</v>
      </c>
      <c r="B1730" s="1" t="s">
        <v>4998</v>
      </c>
      <c r="C1730">
        <f>(1-(B7/100))*158.27</f>
        <v>158.27</v>
      </c>
      <c r="D1730" s="1">
        <v>0</v>
      </c>
      <c r="E1730">
        <f>D1730*C1730</f>
        <v>0</v>
      </c>
      <c r="F1730" s="1" t="s">
        <v>4999</v>
      </c>
      <c r="G1730" s="17">
        <v>74813</v>
      </c>
    </row>
    <row r="1731" spans="1:7">
      <c r="A1731" s="1" t="s">
        <v>5000</v>
      </c>
      <c r="B1731" s="1" t="s">
        <v>5001</v>
      </c>
      <c r="C1731">
        <f>(1-(B7/100))*102.23</f>
        <v>102.23</v>
      </c>
      <c r="D1731" s="1">
        <v>0</v>
      </c>
      <c r="E1731">
        <f>D1731*C1731</f>
        <v>0</v>
      </c>
      <c r="F1731" s="1" t="s">
        <v>5002</v>
      </c>
      <c r="G1731" s="17">
        <v>74815</v>
      </c>
    </row>
    <row r="1732" spans="1:7">
      <c r="A1732" s="1" t="s">
        <v>5003</v>
      </c>
      <c r="B1732" s="1" t="s">
        <v>5004</v>
      </c>
      <c r="C1732">
        <f>(1-(B7/100))*118.39</f>
        <v>118.39</v>
      </c>
      <c r="D1732" s="1">
        <v>0</v>
      </c>
      <c r="E1732">
        <f>D1732*C1732</f>
        <v>0</v>
      </c>
      <c r="F1732" s="1" t="s">
        <v>5005</v>
      </c>
      <c r="G1732" s="17">
        <v>74819</v>
      </c>
    </row>
    <row r="1733" spans="1:7">
      <c r="A1733" s="1" t="s">
        <v>5006</v>
      </c>
      <c r="B1733" s="1" t="s">
        <v>5007</v>
      </c>
      <c r="C1733">
        <f>(1-(B7/100))*241.24</f>
        <v>241.24</v>
      </c>
      <c r="D1733" s="1">
        <v>0</v>
      </c>
      <c r="E1733">
        <f>D1733*C1733</f>
        <v>0</v>
      </c>
      <c r="F1733" s="1" t="s">
        <v>5008</v>
      </c>
      <c r="G1733" s="17">
        <v>74820</v>
      </c>
    </row>
    <row r="1734" spans="1:7">
      <c r="A1734" s="1" t="s">
        <v>5009</v>
      </c>
      <c r="B1734" s="1" t="s">
        <v>5010</v>
      </c>
      <c r="C1734">
        <f>(1-(B7/100))*189.14</f>
        <v>189.14</v>
      </c>
      <c r="D1734" s="1">
        <v>0</v>
      </c>
      <c r="E1734">
        <f>D1734*C1734</f>
        <v>0</v>
      </c>
      <c r="F1734" s="1" t="s">
        <v>5011</v>
      </c>
      <c r="G1734" s="17">
        <v>74821</v>
      </c>
    </row>
    <row r="1735" spans="1:7">
      <c r="A1735" s="1" t="s">
        <v>5012</v>
      </c>
      <c r="B1735" s="1" t="s">
        <v>5013</v>
      </c>
      <c r="C1735">
        <f>(1-(B7/100))*148.73</f>
        <v>148.73</v>
      </c>
      <c r="D1735" s="1">
        <v>0</v>
      </c>
      <c r="E1735">
        <f>D1735*C1735</f>
        <v>0</v>
      </c>
      <c r="F1735" s="1" t="s">
        <v>5014</v>
      </c>
      <c r="G1735" s="17">
        <v>74824</v>
      </c>
    </row>
    <row r="1736" spans="1:7">
      <c r="A1736" s="1" t="s">
        <v>5015</v>
      </c>
      <c r="B1736" s="1" t="s">
        <v>5016</v>
      </c>
      <c r="C1736">
        <f>(1-(B7/100))*154.97</f>
        <v>154.97</v>
      </c>
      <c r="D1736" s="1">
        <v>0</v>
      </c>
      <c r="E1736">
        <f>D1736*C1736</f>
        <v>0</v>
      </c>
      <c r="F1736" s="1" t="s">
        <v>5017</v>
      </c>
      <c r="G1736" s="17">
        <v>74825</v>
      </c>
    </row>
    <row r="1737" spans="1:7">
      <c r="A1737" s="1" t="s">
        <v>5018</v>
      </c>
      <c r="B1737" s="1" t="s">
        <v>5019</v>
      </c>
      <c r="C1737">
        <f>(1-(B7/100))*316.28</f>
        <v>316.28</v>
      </c>
      <c r="D1737" s="1">
        <v>0</v>
      </c>
      <c r="E1737">
        <f>D1737*C1737</f>
        <v>0</v>
      </c>
      <c r="F1737" s="1" t="s">
        <v>5020</v>
      </c>
      <c r="G1737" s="17">
        <v>74826</v>
      </c>
    </row>
    <row r="1738" spans="1:7">
      <c r="A1738" s="1" t="s">
        <v>5021</v>
      </c>
      <c r="B1738" s="1" t="s">
        <v>5022</v>
      </c>
      <c r="C1738">
        <f>(1-(B7/100))*68.74</f>
        <v>68.74</v>
      </c>
      <c r="D1738" s="1">
        <v>0</v>
      </c>
      <c r="E1738">
        <f>D1738*C1738</f>
        <v>0</v>
      </c>
      <c r="F1738" s="1" t="s">
        <v>5023</v>
      </c>
      <c r="G1738" s="17">
        <v>74827</v>
      </c>
    </row>
    <row r="1739" spans="1:7">
      <c r="A1739" s="1" t="s">
        <v>5024</v>
      </c>
      <c r="B1739" s="1" t="s">
        <v>5025</v>
      </c>
      <c r="C1739">
        <f>(1-(B7/100))*542.22</f>
        <v>542.22</v>
      </c>
      <c r="D1739" s="1">
        <v>0</v>
      </c>
      <c r="E1739">
        <f>D1739*C1739</f>
        <v>0</v>
      </c>
      <c r="F1739" s="1" t="s">
        <v>5026</v>
      </c>
      <c r="G1739" s="17">
        <v>74829</v>
      </c>
    </row>
    <row r="1740" spans="1:7">
      <c r="A1740" s="1" t="s">
        <v>5027</v>
      </c>
      <c r="B1740" s="1" t="s">
        <v>5028</v>
      </c>
      <c r="C1740">
        <f>(1-(B7/100))*214.23</f>
        <v>214.23</v>
      </c>
      <c r="D1740" s="1">
        <v>0</v>
      </c>
      <c r="E1740">
        <f>D1740*C1740</f>
        <v>0</v>
      </c>
      <c r="F1740" s="1" t="s">
        <v>5029</v>
      </c>
      <c r="G1740" s="17">
        <v>74831</v>
      </c>
    </row>
    <row r="1741" spans="1:7">
      <c r="A1741" s="1" t="s">
        <v>5030</v>
      </c>
      <c r="B1741" s="1" t="s">
        <v>5031</v>
      </c>
      <c r="C1741">
        <f>(1-(B7/100))*754.22</f>
        <v>754.22</v>
      </c>
      <c r="D1741" s="1">
        <v>0</v>
      </c>
      <c r="E1741">
        <f>D1741*C1741</f>
        <v>0</v>
      </c>
      <c r="F1741" s="1" t="s">
        <v>5032</v>
      </c>
      <c r="G1741" s="17">
        <v>74832</v>
      </c>
    </row>
    <row r="1742" spans="1:7">
      <c r="A1742" s="1" t="s">
        <v>5033</v>
      </c>
      <c r="B1742" s="1" t="s">
        <v>5034</v>
      </c>
      <c r="C1742">
        <f>(1-(B7/100))*210.77</f>
        <v>210.77</v>
      </c>
      <c r="D1742" s="1">
        <v>0</v>
      </c>
      <c r="E1742">
        <f>D1742*C1742</f>
        <v>0</v>
      </c>
      <c r="F1742" s="1" t="s">
        <v>5035</v>
      </c>
      <c r="G1742" s="17">
        <v>74835</v>
      </c>
    </row>
    <row r="1743" spans="1:7">
      <c r="A1743" s="1" t="s">
        <v>5036</v>
      </c>
      <c r="B1743" s="1" t="s">
        <v>5037</v>
      </c>
      <c r="C1743">
        <f>(1-(B7/100))*1220.94</f>
        <v>1220.94</v>
      </c>
      <c r="D1743" s="1">
        <v>0</v>
      </c>
      <c r="E1743">
        <f>D1743*C1743</f>
        <v>0</v>
      </c>
      <c r="F1743" s="1" t="s">
        <v>5038</v>
      </c>
      <c r="G1743" s="17">
        <v>74837</v>
      </c>
    </row>
    <row r="1744" spans="1:7">
      <c r="A1744" s="1" t="s">
        <v>5039</v>
      </c>
      <c r="B1744" s="1" t="s">
        <v>5040</v>
      </c>
      <c r="C1744">
        <f>(1-(B7/100))*295.73</f>
        <v>295.73</v>
      </c>
      <c r="D1744" s="1">
        <v>0</v>
      </c>
      <c r="E1744">
        <f>D1744*C1744</f>
        <v>0</v>
      </c>
      <c r="F1744" s="1" t="s">
        <v>5041</v>
      </c>
      <c r="G1744" s="17">
        <v>74839</v>
      </c>
    </row>
    <row r="1745" spans="1:7">
      <c r="A1745" s="1" t="s">
        <v>5042</v>
      </c>
      <c r="B1745" s="1" t="s">
        <v>5043</v>
      </c>
      <c r="C1745">
        <f>(1-(B7/100))*588.1</f>
        <v>588.1</v>
      </c>
      <c r="D1745" s="1">
        <v>0</v>
      </c>
      <c r="E1745">
        <f>D1745*C1745</f>
        <v>0</v>
      </c>
      <c r="F1745" s="1" t="s">
        <v>5044</v>
      </c>
      <c r="G1745" s="17">
        <v>74840</v>
      </c>
    </row>
    <row r="1746" spans="1:7">
      <c r="A1746" s="1" t="s">
        <v>5045</v>
      </c>
      <c r="B1746" s="1" t="s">
        <v>5046</v>
      </c>
      <c r="C1746">
        <f>(1-(B7/100))*233.87</f>
        <v>233.87</v>
      </c>
      <c r="D1746" s="1">
        <v>0</v>
      </c>
      <c r="E1746">
        <f>D1746*C1746</f>
        <v>0</v>
      </c>
      <c r="F1746" s="1" t="s">
        <v>5047</v>
      </c>
      <c r="G1746" s="17">
        <v>74843</v>
      </c>
    </row>
    <row r="1747" spans="1:7">
      <c r="A1747" s="1" t="s">
        <v>5048</v>
      </c>
      <c r="B1747" s="1" t="s">
        <v>5049</v>
      </c>
      <c r="C1747">
        <f>(1-(B7/100))*2080.5</f>
        <v>2080.5</v>
      </c>
      <c r="D1747" s="1">
        <v>0</v>
      </c>
      <c r="E1747">
        <f>D1747*C1747</f>
        <v>0</v>
      </c>
      <c r="F1747" s="1" t="s">
        <v>5050</v>
      </c>
      <c r="G1747" s="17">
        <v>74846</v>
      </c>
    </row>
    <row r="1748" spans="1:7">
      <c r="A1748" s="1" t="s">
        <v>5051</v>
      </c>
      <c r="B1748" s="1" t="s">
        <v>5052</v>
      </c>
      <c r="C1748">
        <f>(1-(B7/100))*2080.5</f>
        <v>2080.5</v>
      </c>
      <c r="D1748" s="1">
        <v>0</v>
      </c>
      <c r="E1748">
        <f>D1748*C1748</f>
        <v>0</v>
      </c>
      <c r="F1748" s="1" t="s">
        <v>5053</v>
      </c>
      <c r="G1748" s="17">
        <v>74847</v>
      </c>
    </row>
    <row r="1749" spans="1:7">
      <c r="A1749" s="1" t="s">
        <v>5054</v>
      </c>
      <c r="B1749" s="1" t="s">
        <v>5055</v>
      </c>
      <c r="C1749">
        <f>(1-(B7/100))*432.55</f>
        <v>432.55</v>
      </c>
      <c r="D1749" s="1">
        <v>0</v>
      </c>
      <c r="E1749">
        <f>D1749*C1749</f>
        <v>0</v>
      </c>
      <c r="F1749" s="1" t="s">
        <v>5056</v>
      </c>
      <c r="G1749" s="17">
        <v>74848</v>
      </c>
    </row>
    <row r="1750" spans="1:7">
      <c r="A1750" s="1" t="s">
        <v>5057</v>
      </c>
      <c r="B1750" s="1" t="s">
        <v>5058</v>
      </c>
      <c r="C1750">
        <f>(1-(B7/100))*64.78</f>
        <v>64.78</v>
      </c>
      <c r="D1750" s="1">
        <v>0</v>
      </c>
      <c r="E1750">
        <f>D1750*C1750</f>
        <v>0</v>
      </c>
      <c r="F1750" s="1" t="s">
        <v>5059</v>
      </c>
      <c r="G1750" s="17">
        <v>74849</v>
      </c>
    </row>
    <row r="1751" spans="1:7">
      <c r="A1751" s="1" t="s">
        <v>5060</v>
      </c>
      <c r="B1751" s="1" t="s">
        <v>5061</v>
      </c>
      <c r="C1751">
        <f>(1-(B7/100))*164.12</f>
        <v>164.12</v>
      </c>
      <c r="D1751" s="1">
        <v>0</v>
      </c>
      <c r="E1751">
        <f>D1751*C1751</f>
        <v>0</v>
      </c>
      <c r="F1751" s="1" t="s">
        <v>5062</v>
      </c>
      <c r="G1751" s="17">
        <v>74851</v>
      </c>
    </row>
    <row r="1752" spans="1:7">
      <c r="A1752" s="1" t="s">
        <v>5063</v>
      </c>
      <c r="B1752" s="1" t="s">
        <v>5064</v>
      </c>
      <c r="C1752">
        <f>(1-(B7/100))*494.69</f>
        <v>494.69</v>
      </c>
      <c r="D1752" s="1">
        <v>0</v>
      </c>
      <c r="E1752">
        <f>D1752*C1752</f>
        <v>0</v>
      </c>
      <c r="F1752" s="1" t="s">
        <v>5065</v>
      </c>
      <c r="G1752" s="17">
        <v>74852</v>
      </c>
    </row>
    <row r="1753" spans="1:7">
      <c r="A1753" s="1" t="s">
        <v>5066</v>
      </c>
      <c r="B1753" s="1" t="s">
        <v>5067</v>
      </c>
      <c r="C1753">
        <f>(1-(B7/100))*342.32</f>
        <v>342.32</v>
      </c>
      <c r="D1753" s="1">
        <v>0</v>
      </c>
      <c r="E1753">
        <f>D1753*C1753</f>
        <v>0</v>
      </c>
      <c r="F1753" s="1" t="s">
        <v>5068</v>
      </c>
      <c r="G1753" s="17">
        <v>74853</v>
      </c>
    </row>
    <row r="1754" spans="1:7">
      <c r="A1754" s="1" t="s">
        <v>5069</v>
      </c>
      <c r="B1754" s="1" t="s">
        <v>5070</v>
      </c>
      <c r="C1754">
        <f>(1-(B7/100))*1491.75</f>
        <v>1491.75</v>
      </c>
      <c r="D1754" s="1">
        <v>0</v>
      </c>
      <c r="E1754">
        <f>D1754*C1754</f>
        <v>0</v>
      </c>
      <c r="F1754" s="1" t="s">
        <v>5071</v>
      </c>
      <c r="G1754" s="17">
        <v>74854</v>
      </c>
    </row>
    <row r="1755" spans="1:7">
      <c r="A1755" s="1" t="s">
        <v>5072</v>
      </c>
      <c r="B1755" s="1" t="s">
        <v>5073</v>
      </c>
      <c r="C1755">
        <f>(1-(B7/100))*78.04</f>
        <v>78.04</v>
      </c>
      <c r="D1755" s="1">
        <v>0</v>
      </c>
      <c r="E1755">
        <f>D1755*C1755</f>
        <v>0</v>
      </c>
      <c r="F1755" s="1" t="s">
        <v>5074</v>
      </c>
      <c r="G1755" s="17">
        <v>74856</v>
      </c>
    </row>
    <row r="1756" spans="1:7">
      <c r="A1756" s="1" t="s">
        <v>5075</v>
      </c>
      <c r="B1756" s="1" t="s">
        <v>5076</v>
      </c>
      <c r="C1756">
        <f>(1-(B7/100))*260.8</f>
        <v>260.8</v>
      </c>
      <c r="D1756" s="1">
        <v>0</v>
      </c>
      <c r="E1756">
        <f>D1756*C1756</f>
        <v>0</v>
      </c>
      <c r="F1756" s="1" t="s">
        <v>5077</v>
      </c>
      <c r="G1756" s="17">
        <v>74860</v>
      </c>
    </row>
    <row r="1757" spans="1:7">
      <c r="A1757" s="1" t="s">
        <v>5078</v>
      </c>
      <c r="B1757" s="1" t="s">
        <v>5079</v>
      </c>
      <c r="C1757">
        <f>(1-(B7/100))*236.67</f>
        <v>236.67</v>
      </c>
      <c r="D1757" s="1">
        <v>0</v>
      </c>
      <c r="E1757">
        <f>D1757*C1757</f>
        <v>0</v>
      </c>
      <c r="F1757" s="1" t="s">
        <v>5080</v>
      </c>
      <c r="G1757" s="17">
        <v>74863</v>
      </c>
    </row>
    <row r="1758" spans="1:7">
      <c r="A1758" s="1" t="s">
        <v>5081</v>
      </c>
      <c r="B1758" s="1" t="s">
        <v>5082</v>
      </c>
      <c r="C1758">
        <f>(1-(B7/100))*196.22</f>
        <v>196.22</v>
      </c>
      <c r="D1758" s="1">
        <v>0</v>
      </c>
      <c r="E1758">
        <f>D1758*C1758</f>
        <v>0</v>
      </c>
      <c r="F1758" s="1" t="s">
        <v>5083</v>
      </c>
      <c r="G1758" s="17">
        <v>74864</v>
      </c>
    </row>
    <row r="1759" spans="1:7">
      <c r="A1759" s="1" t="s">
        <v>5084</v>
      </c>
      <c r="B1759" s="1" t="s">
        <v>5085</v>
      </c>
      <c r="C1759">
        <f>(1-(B7/100))*166.72</f>
        <v>166.72</v>
      </c>
      <c r="D1759" s="1">
        <v>0</v>
      </c>
      <c r="E1759">
        <f>D1759*C1759</f>
        <v>0</v>
      </c>
      <c r="F1759" s="1" t="s">
        <v>5086</v>
      </c>
      <c r="G1759" s="17">
        <v>74868</v>
      </c>
    </row>
    <row r="1760" spans="1:7">
      <c r="A1760" s="1" t="s">
        <v>5087</v>
      </c>
      <c r="B1760" s="1" t="s">
        <v>5088</v>
      </c>
      <c r="C1760">
        <f>(1-(B7/100))*343.45</f>
        <v>343.45</v>
      </c>
      <c r="D1760" s="1">
        <v>0</v>
      </c>
      <c r="E1760">
        <f>D1760*C1760</f>
        <v>0</v>
      </c>
      <c r="F1760" s="1" t="s">
        <v>5089</v>
      </c>
      <c r="G1760" s="17">
        <v>74871</v>
      </c>
    </row>
    <row r="1761" spans="1:7">
      <c r="A1761" s="1" t="s">
        <v>5090</v>
      </c>
      <c r="B1761" s="1" t="s">
        <v>5091</v>
      </c>
      <c r="C1761">
        <f>(1-(B7/100))*34.83</f>
        <v>34.83</v>
      </c>
      <c r="D1761" s="1">
        <v>0</v>
      </c>
      <c r="E1761">
        <f>D1761*C1761</f>
        <v>0</v>
      </c>
      <c r="F1761" s="1" t="s">
        <v>5092</v>
      </c>
      <c r="G1761" s="17">
        <v>74872</v>
      </c>
    </row>
    <row r="1762" spans="1:7">
      <c r="A1762" s="1" t="s">
        <v>5093</v>
      </c>
      <c r="B1762" s="1" t="s">
        <v>5094</v>
      </c>
      <c r="C1762">
        <f>(1-(B7/100))*1116.62</f>
        <v>1116.62</v>
      </c>
      <c r="D1762" s="1">
        <v>0</v>
      </c>
      <c r="E1762">
        <f>D1762*C1762</f>
        <v>0</v>
      </c>
      <c r="F1762" s="1" t="s">
        <v>5095</v>
      </c>
      <c r="G1762" s="17">
        <v>74873</v>
      </c>
    </row>
    <row r="1763" spans="1:7">
      <c r="A1763" s="1" t="s">
        <v>5096</v>
      </c>
      <c r="B1763" s="1" t="s">
        <v>5097</v>
      </c>
      <c r="C1763">
        <f>(1-(B7/100))*606.87</f>
        <v>606.87</v>
      </c>
      <c r="D1763" s="1">
        <v>0</v>
      </c>
      <c r="E1763">
        <f>D1763*C1763</f>
        <v>0</v>
      </c>
      <c r="F1763" s="1" t="s">
        <v>5098</v>
      </c>
      <c r="G1763" s="17">
        <v>74874</v>
      </c>
    </row>
    <row r="1764" spans="1:7">
      <c r="A1764" s="1" t="s">
        <v>5099</v>
      </c>
      <c r="B1764" s="1" t="s">
        <v>5100</v>
      </c>
      <c r="C1764">
        <f>(1-(B7/100))*59.72</f>
        <v>59.72</v>
      </c>
      <c r="D1764" s="1">
        <v>0</v>
      </c>
      <c r="E1764">
        <f>D1764*C1764</f>
        <v>0</v>
      </c>
      <c r="F1764" s="1" t="s">
        <v>5101</v>
      </c>
      <c r="G1764" s="17">
        <v>74876</v>
      </c>
    </row>
    <row r="1765" spans="1:7">
      <c r="A1765" s="1" t="s">
        <v>5102</v>
      </c>
      <c r="B1765" s="1" t="s">
        <v>5103</v>
      </c>
      <c r="C1765">
        <f>(1-(B7/100))*362.97</f>
        <v>362.97</v>
      </c>
      <c r="D1765" s="1">
        <v>0</v>
      </c>
      <c r="E1765">
        <f>D1765*C1765</f>
        <v>0</v>
      </c>
      <c r="F1765" s="1" t="s">
        <v>5104</v>
      </c>
      <c r="G1765" s="17">
        <v>74878</v>
      </c>
    </row>
    <row r="1766" spans="1:7">
      <c r="A1766" s="1" t="s">
        <v>5105</v>
      </c>
      <c r="B1766" s="1" t="s">
        <v>5106</v>
      </c>
      <c r="C1766">
        <f>(1-(B7/100))*362.07</f>
        <v>362.07</v>
      </c>
      <c r="D1766" s="1">
        <v>0</v>
      </c>
      <c r="E1766">
        <f>D1766*C1766</f>
        <v>0</v>
      </c>
      <c r="F1766" s="1" t="s">
        <v>5107</v>
      </c>
      <c r="G1766" s="17">
        <v>74879</v>
      </c>
    </row>
    <row r="1767" spans="1:7">
      <c r="A1767" s="1" t="s">
        <v>5108</v>
      </c>
      <c r="B1767" s="1" t="s">
        <v>5109</v>
      </c>
      <c r="C1767">
        <f>(1-(B7/100))*379.35</f>
        <v>379.35</v>
      </c>
      <c r="D1767" s="1">
        <v>0</v>
      </c>
      <c r="E1767">
        <f>D1767*C1767</f>
        <v>0</v>
      </c>
      <c r="F1767" s="1" t="s">
        <v>5110</v>
      </c>
      <c r="G1767" s="17">
        <v>74881</v>
      </c>
    </row>
    <row r="1768" spans="1:7">
      <c r="A1768" s="1" t="s">
        <v>5111</v>
      </c>
      <c r="B1768" s="1" t="s">
        <v>5112</v>
      </c>
      <c r="C1768">
        <f>(1-(B7/100))*156.03</f>
        <v>156.03</v>
      </c>
      <c r="D1768" s="1">
        <v>0</v>
      </c>
      <c r="E1768">
        <f>D1768*C1768</f>
        <v>0</v>
      </c>
      <c r="F1768" s="1" t="s">
        <v>5113</v>
      </c>
      <c r="G1768" s="17">
        <v>74882</v>
      </c>
    </row>
    <row r="1769" spans="1:7">
      <c r="A1769" s="1" t="s">
        <v>5114</v>
      </c>
      <c r="B1769" s="1" t="s">
        <v>5115</v>
      </c>
      <c r="C1769">
        <f>(1-(B7/100))*110.25</f>
        <v>110.25</v>
      </c>
      <c r="D1769" s="1">
        <v>0</v>
      </c>
      <c r="E1769">
        <f>D1769*C1769</f>
        <v>0</v>
      </c>
      <c r="F1769" s="1" t="s">
        <v>5116</v>
      </c>
      <c r="G1769" s="17">
        <v>74883</v>
      </c>
    </row>
    <row r="1770" spans="1:7">
      <c r="A1770" s="1" t="s">
        <v>5117</v>
      </c>
      <c r="B1770" s="1" t="s">
        <v>5118</v>
      </c>
      <c r="C1770">
        <f>(1-(B7/100))*152.79</f>
        <v>152.79</v>
      </c>
      <c r="D1770" s="1">
        <v>0</v>
      </c>
      <c r="E1770">
        <f>D1770*C1770</f>
        <v>0</v>
      </c>
      <c r="F1770" s="1" t="s">
        <v>5119</v>
      </c>
      <c r="G1770" s="17">
        <v>74884</v>
      </c>
    </row>
    <row r="1771" spans="1:7">
      <c r="A1771" s="1" t="s">
        <v>5120</v>
      </c>
      <c r="B1771" s="1" t="s">
        <v>5121</v>
      </c>
      <c r="C1771">
        <f>(1-(B7/100))*403.37</f>
        <v>403.37</v>
      </c>
      <c r="D1771" s="1">
        <v>0</v>
      </c>
      <c r="E1771">
        <f>D1771*C1771</f>
        <v>0</v>
      </c>
      <c r="F1771" s="1" t="s">
        <v>5122</v>
      </c>
      <c r="G1771" s="17">
        <v>74888</v>
      </c>
    </row>
    <row r="1772" spans="1:7">
      <c r="A1772" s="1" t="s">
        <v>5123</v>
      </c>
      <c r="B1772" s="1" t="s">
        <v>5124</v>
      </c>
      <c r="C1772">
        <f>(1-(B7/100))*417.35</f>
        <v>417.35</v>
      </c>
      <c r="D1772" s="1">
        <v>0</v>
      </c>
      <c r="E1772">
        <f>D1772*C1772</f>
        <v>0</v>
      </c>
      <c r="F1772" s="1" t="s">
        <v>5125</v>
      </c>
      <c r="G1772" s="17">
        <v>74890</v>
      </c>
    </row>
    <row r="1773" spans="1:7">
      <c r="A1773" s="1" t="s">
        <v>5126</v>
      </c>
      <c r="B1773" s="1" t="s">
        <v>5127</v>
      </c>
      <c r="C1773">
        <f>(1-(B7/100))*932.17</f>
        <v>932.17</v>
      </c>
      <c r="D1773" s="1">
        <v>0</v>
      </c>
      <c r="E1773">
        <f>D1773*C1773</f>
        <v>0</v>
      </c>
      <c r="F1773" s="1" t="s">
        <v>5128</v>
      </c>
      <c r="G1773" s="17">
        <v>74894</v>
      </c>
    </row>
    <row r="1774" spans="1:7">
      <c r="A1774" s="1" t="s">
        <v>5129</v>
      </c>
      <c r="B1774" s="1" t="s">
        <v>5130</v>
      </c>
      <c r="C1774">
        <f>(1-(B7/100))*64.49</f>
        <v>64.49</v>
      </c>
      <c r="D1774" s="1">
        <v>0</v>
      </c>
      <c r="E1774">
        <f>D1774*C1774</f>
        <v>0</v>
      </c>
      <c r="F1774" s="1" t="s">
        <v>5131</v>
      </c>
      <c r="G1774" s="17">
        <v>74895</v>
      </c>
    </row>
    <row r="1775" spans="1:7">
      <c r="A1775" s="1" t="s">
        <v>5132</v>
      </c>
      <c r="B1775" s="1" t="s">
        <v>5133</v>
      </c>
      <c r="C1775">
        <f>(1-(B7/100))*91.9</f>
        <v>91.9</v>
      </c>
      <c r="D1775" s="1">
        <v>0</v>
      </c>
      <c r="E1775">
        <f>D1775*C1775</f>
        <v>0</v>
      </c>
      <c r="F1775" s="1" t="s">
        <v>5134</v>
      </c>
      <c r="G1775" s="17">
        <v>74898</v>
      </c>
    </row>
    <row r="1776" spans="1:7">
      <c r="A1776" s="1" t="s">
        <v>5135</v>
      </c>
      <c r="B1776" s="1" t="s">
        <v>5136</v>
      </c>
      <c r="C1776">
        <f>(1-(B7/100))*516.21</f>
        <v>516.21</v>
      </c>
      <c r="D1776" s="1">
        <v>0</v>
      </c>
      <c r="E1776">
        <f>D1776*C1776</f>
        <v>0</v>
      </c>
      <c r="F1776" s="1" t="s">
        <v>5137</v>
      </c>
      <c r="G1776" s="17">
        <v>74899</v>
      </c>
    </row>
    <row r="1777" spans="1:7">
      <c r="A1777" s="1" t="s">
        <v>5138</v>
      </c>
      <c r="B1777" s="1" t="s">
        <v>5139</v>
      </c>
      <c r="C1777">
        <f>(1-(B7/100))*679.94</f>
        <v>679.94</v>
      </c>
      <c r="D1777" s="1">
        <v>0</v>
      </c>
      <c r="E1777">
        <f>D1777*C1777</f>
        <v>0</v>
      </c>
      <c r="F1777" s="1" t="s">
        <v>5140</v>
      </c>
      <c r="G1777" s="17">
        <v>74901</v>
      </c>
    </row>
    <row r="1778" spans="1:7">
      <c r="A1778" s="1" t="s">
        <v>5141</v>
      </c>
      <c r="B1778" s="1" t="s">
        <v>5142</v>
      </c>
      <c r="C1778">
        <f>(1-(B7/100))*47.86</f>
        <v>47.86</v>
      </c>
      <c r="D1778" s="1">
        <v>0</v>
      </c>
      <c r="E1778">
        <f>D1778*C1778</f>
        <v>0</v>
      </c>
      <c r="F1778" s="1" t="s">
        <v>5143</v>
      </c>
      <c r="G1778" s="17">
        <v>74903</v>
      </c>
    </row>
    <row r="1779" spans="1:7">
      <c r="A1779" s="1" t="s">
        <v>5144</v>
      </c>
      <c r="B1779" s="1" t="s">
        <v>5145</v>
      </c>
      <c r="C1779">
        <f>(1-(B7/100))*77.23</f>
        <v>77.23</v>
      </c>
      <c r="D1779" s="1">
        <v>0</v>
      </c>
      <c r="E1779">
        <f>D1779*C1779</f>
        <v>0</v>
      </c>
      <c r="F1779" s="1" t="s">
        <v>5146</v>
      </c>
      <c r="G1779" s="17">
        <v>74904</v>
      </c>
    </row>
    <row r="1780" spans="1:7">
      <c r="A1780" s="1" t="s">
        <v>5147</v>
      </c>
      <c r="B1780" s="1" t="s">
        <v>5148</v>
      </c>
      <c r="C1780">
        <f>(1-(B7/100))*114.06</f>
        <v>114.06</v>
      </c>
      <c r="D1780" s="1">
        <v>0</v>
      </c>
      <c r="E1780">
        <f>D1780*C1780</f>
        <v>0</v>
      </c>
      <c r="F1780" s="1" t="s">
        <v>5149</v>
      </c>
      <c r="G1780" s="17">
        <v>74911</v>
      </c>
    </row>
    <row r="1781" spans="1:7">
      <c r="A1781" s="1" t="s">
        <v>5150</v>
      </c>
      <c r="B1781" s="1" t="s">
        <v>5151</v>
      </c>
      <c r="C1781">
        <f>(1-(B7/100))*240.36</f>
        <v>240.36</v>
      </c>
      <c r="D1781" s="1">
        <v>0</v>
      </c>
      <c r="E1781">
        <f>D1781*C1781</f>
        <v>0</v>
      </c>
      <c r="F1781" s="1" t="s">
        <v>5152</v>
      </c>
      <c r="G1781" s="17">
        <v>74912</v>
      </c>
    </row>
    <row r="1782" spans="1:7">
      <c r="A1782" s="1" t="s">
        <v>5153</v>
      </c>
      <c r="B1782" s="1" t="s">
        <v>5154</v>
      </c>
      <c r="C1782">
        <f>(1-(B7/100))*231.11</f>
        <v>231.11</v>
      </c>
      <c r="D1782" s="1">
        <v>0</v>
      </c>
      <c r="E1782">
        <f>D1782*C1782</f>
        <v>0</v>
      </c>
      <c r="F1782" s="1" t="s">
        <v>5155</v>
      </c>
      <c r="G1782" s="17">
        <v>74914</v>
      </c>
    </row>
    <row r="1783" spans="1:7">
      <c r="A1783" s="1" t="s">
        <v>5156</v>
      </c>
      <c r="B1783" s="1" t="s">
        <v>5157</v>
      </c>
      <c r="C1783">
        <f>(1-(B7/100))*212.33</f>
        <v>212.33</v>
      </c>
      <c r="D1783" s="1">
        <v>0</v>
      </c>
      <c r="E1783">
        <f>D1783*C1783</f>
        <v>0</v>
      </c>
      <c r="F1783" s="1" t="s">
        <v>5158</v>
      </c>
      <c r="G1783" s="17">
        <v>74916</v>
      </c>
    </row>
    <row r="1784" spans="1:7">
      <c r="A1784" s="1" t="s">
        <v>5159</v>
      </c>
      <c r="B1784" s="1" t="s">
        <v>5160</v>
      </c>
      <c r="C1784">
        <f>(1-(B7/100))*237.37</f>
        <v>237.37</v>
      </c>
      <c r="D1784" s="1">
        <v>0</v>
      </c>
      <c r="E1784">
        <f>D1784*C1784</f>
        <v>0</v>
      </c>
      <c r="F1784" s="1" t="s">
        <v>5161</v>
      </c>
      <c r="G1784" s="17">
        <v>74917</v>
      </c>
    </row>
    <row r="1785" spans="1:7">
      <c r="A1785" s="1" t="s">
        <v>5162</v>
      </c>
      <c r="B1785" s="1" t="s">
        <v>5163</v>
      </c>
      <c r="C1785">
        <f>(1-(B7/100))*70.73</f>
        <v>70.73</v>
      </c>
      <c r="D1785" s="1">
        <v>0</v>
      </c>
      <c r="E1785">
        <f>D1785*C1785</f>
        <v>0</v>
      </c>
      <c r="F1785" s="1" t="s">
        <v>5164</v>
      </c>
      <c r="G1785" s="17">
        <v>74919</v>
      </c>
    </row>
    <row r="1786" spans="1:7">
      <c r="A1786" s="1" t="s">
        <v>5165</v>
      </c>
      <c r="B1786" s="1" t="s">
        <v>5166</v>
      </c>
      <c r="C1786">
        <f>(1-(B7/100))*56.4</f>
        <v>56.4</v>
      </c>
      <c r="D1786" s="1">
        <v>0</v>
      </c>
      <c r="E1786">
        <f>D1786*C1786</f>
        <v>0</v>
      </c>
      <c r="F1786" s="1" t="s">
        <v>5167</v>
      </c>
      <c r="G1786" s="17">
        <v>74923</v>
      </c>
    </row>
    <row r="1787" spans="1:7">
      <c r="A1787" s="1" t="s">
        <v>5168</v>
      </c>
      <c r="B1787" s="1" t="s">
        <v>5169</v>
      </c>
      <c r="C1787">
        <f>(1-(B7/100))*114.06</f>
        <v>114.06</v>
      </c>
      <c r="D1787" s="1">
        <v>0</v>
      </c>
      <c r="E1787">
        <f>D1787*C1787</f>
        <v>0</v>
      </c>
      <c r="F1787" s="1" t="s">
        <v>5170</v>
      </c>
      <c r="G1787" s="17">
        <v>74926</v>
      </c>
    </row>
    <row r="1788" spans="1:7">
      <c r="A1788" s="1" t="s">
        <v>5171</v>
      </c>
      <c r="B1788" s="1" t="s">
        <v>5172</v>
      </c>
      <c r="C1788">
        <f>(1-(B7/100))*112</f>
        <v>112</v>
      </c>
      <c r="D1788" s="1">
        <v>0</v>
      </c>
      <c r="E1788">
        <f>D1788*C1788</f>
        <v>0</v>
      </c>
      <c r="F1788" s="1" t="s">
        <v>5173</v>
      </c>
      <c r="G1788" s="17">
        <v>74932</v>
      </c>
    </row>
    <row r="1789" spans="1:7">
      <c r="A1789" s="1" t="s">
        <v>5174</v>
      </c>
      <c r="B1789" s="1" t="s">
        <v>5175</v>
      </c>
      <c r="C1789">
        <f>(1-(B7/100))*118.24</f>
        <v>118.24</v>
      </c>
      <c r="D1789" s="1">
        <v>0</v>
      </c>
      <c r="E1789">
        <f>D1789*C1789</f>
        <v>0</v>
      </c>
      <c r="F1789" s="1" t="s">
        <v>5176</v>
      </c>
      <c r="G1789" s="17">
        <v>74934</v>
      </c>
    </row>
    <row r="1790" spans="1:7">
      <c r="A1790" s="1" t="s">
        <v>5177</v>
      </c>
      <c r="B1790" s="1" t="s">
        <v>5178</v>
      </c>
      <c r="C1790">
        <f>(1-(B7/100))*114.54</f>
        <v>114.54</v>
      </c>
      <c r="D1790" s="1">
        <v>0</v>
      </c>
      <c r="E1790">
        <f>D1790*C1790</f>
        <v>0</v>
      </c>
      <c r="F1790" s="1" t="s">
        <v>5179</v>
      </c>
      <c r="G1790" s="17">
        <v>74936</v>
      </c>
    </row>
    <row r="1791" spans="1:7">
      <c r="A1791" s="1" t="s">
        <v>5180</v>
      </c>
      <c r="B1791" s="1" t="s">
        <v>5181</v>
      </c>
      <c r="C1791">
        <f>(1-(B7/100))*128.22</f>
        <v>128.22</v>
      </c>
      <c r="D1791" s="1">
        <v>0</v>
      </c>
      <c r="E1791">
        <f>D1791*C1791</f>
        <v>0</v>
      </c>
      <c r="F1791" s="1" t="s">
        <v>5182</v>
      </c>
      <c r="G1791" s="17">
        <v>74938</v>
      </c>
    </row>
    <row r="1792" spans="1:7">
      <c r="A1792" s="1" t="s">
        <v>5183</v>
      </c>
      <c r="B1792" s="1" t="s">
        <v>5184</v>
      </c>
      <c r="C1792">
        <f>(1-(B7/100))*140.82</f>
        <v>140.82</v>
      </c>
      <c r="D1792" s="1">
        <v>0</v>
      </c>
      <c r="E1792">
        <f>D1792*C1792</f>
        <v>0</v>
      </c>
      <c r="F1792" s="1" t="s">
        <v>5185</v>
      </c>
      <c r="G1792" s="17">
        <v>74940</v>
      </c>
    </row>
    <row r="1793" spans="1:7">
      <c r="A1793" s="1" t="s">
        <v>5186</v>
      </c>
      <c r="B1793" s="1" t="s">
        <v>5187</v>
      </c>
      <c r="C1793">
        <f>(1-(B7/100))*206.53</f>
        <v>206.53</v>
      </c>
      <c r="D1793" s="1">
        <v>0</v>
      </c>
      <c r="E1793">
        <f>D1793*C1793</f>
        <v>0</v>
      </c>
      <c r="F1793" s="1" t="s">
        <v>5188</v>
      </c>
      <c r="G1793" s="17">
        <v>74942</v>
      </c>
    </row>
    <row r="1794" spans="1:7">
      <c r="A1794" s="1" t="s">
        <v>5189</v>
      </c>
      <c r="B1794" s="1" t="s">
        <v>5190</v>
      </c>
      <c r="C1794">
        <f>(1-(B7/100))*218.59</f>
        <v>218.59</v>
      </c>
      <c r="D1794" s="1">
        <v>0</v>
      </c>
      <c r="E1794">
        <f>D1794*C1794</f>
        <v>0</v>
      </c>
      <c r="F1794" s="1" t="s">
        <v>5191</v>
      </c>
      <c r="G1794" s="17">
        <v>74943</v>
      </c>
    </row>
    <row r="1795" spans="1:7">
      <c r="A1795" s="1" t="s">
        <v>5192</v>
      </c>
      <c r="B1795" s="1" t="s">
        <v>5193</v>
      </c>
      <c r="C1795">
        <f>(1-(B7/100))*129.37</f>
        <v>129.37</v>
      </c>
      <c r="D1795" s="1">
        <v>0</v>
      </c>
      <c r="E1795">
        <f>D1795*C1795</f>
        <v>0</v>
      </c>
      <c r="F1795" s="1" t="s">
        <v>5194</v>
      </c>
      <c r="G1795" s="17">
        <v>74944</v>
      </c>
    </row>
    <row r="1796" spans="1:7">
      <c r="A1796" s="1" t="s">
        <v>5195</v>
      </c>
      <c r="B1796" s="1" t="s">
        <v>5196</v>
      </c>
      <c r="C1796">
        <f>(1-(B7/100))*79.01</f>
        <v>79.01</v>
      </c>
      <c r="D1796" s="1">
        <v>0</v>
      </c>
      <c r="E1796">
        <f>D1796*C1796</f>
        <v>0</v>
      </c>
      <c r="F1796" s="1" t="s">
        <v>5197</v>
      </c>
      <c r="G1796" s="17">
        <v>74945</v>
      </c>
    </row>
    <row r="1797" spans="1:7">
      <c r="A1797" s="1" t="s">
        <v>5198</v>
      </c>
      <c r="B1797" s="1" t="s">
        <v>5199</v>
      </c>
      <c r="C1797">
        <f>(1-(B7/100))*136.63</f>
        <v>136.63</v>
      </c>
      <c r="D1797" s="1">
        <v>0</v>
      </c>
      <c r="E1797">
        <f>D1797*C1797</f>
        <v>0</v>
      </c>
      <c r="F1797" s="1" t="s">
        <v>5200</v>
      </c>
      <c r="G1797" s="17">
        <v>74946</v>
      </c>
    </row>
    <row r="1798" spans="1:7">
      <c r="A1798" s="1" t="s">
        <v>5201</v>
      </c>
      <c r="B1798" s="1" t="s">
        <v>5202</v>
      </c>
      <c r="C1798">
        <f>(1-(B7/100))*172.01</f>
        <v>172.01</v>
      </c>
      <c r="D1798" s="1">
        <v>0</v>
      </c>
      <c r="E1798">
        <f>D1798*C1798</f>
        <v>0</v>
      </c>
      <c r="F1798" s="1" t="s">
        <v>5203</v>
      </c>
      <c r="G1798" s="17">
        <v>74977</v>
      </c>
    </row>
    <row r="1799" spans="1:7">
      <c r="A1799" s="1" t="s">
        <v>5204</v>
      </c>
      <c r="B1799" s="1" t="s">
        <v>5205</v>
      </c>
      <c r="C1799">
        <f>(1-(B7/100))*65.39</f>
        <v>65.39</v>
      </c>
      <c r="D1799" s="1">
        <v>0</v>
      </c>
      <c r="E1799">
        <f>D1799*C1799</f>
        <v>0</v>
      </c>
      <c r="F1799" s="1" t="s">
        <v>5206</v>
      </c>
      <c r="G1799" s="17">
        <v>74978</v>
      </c>
    </row>
    <row r="1800" spans="1:7">
      <c r="A1800" s="1" t="s">
        <v>5207</v>
      </c>
      <c r="B1800" s="1" t="s">
        <v>5208</v>
      </c>
      <c r="C1800">
        <f>(1-(B7/100))*12.43</f>
        <v>12.43</v>
      </c>
      <c r="D1800" s="1">
        <v>0</v>
      </c>
      <c r="E1800">
        <f>D1800*C1800</f>
        <v>0</v>
      </c>
      <c r="F1800" s="1" t="s">
        <v>5209</v>
      </c>
      <c r="G1800" s="17">
        <v>74983</v>
      </c>
    </row>
    <row r="1801" spans="1:7">
      <c r="A1801" s="1" t="s">
        <v>5210</v>
      </c>
      <c r="B1801" s="1" t="s">
        <v>5211</v>
      </c>
      <c r="C1801">
        <f>(1-(B7/100))*186.66</f>
        <v>186.66</v>
      </c>
      <c r="D1801" s="1">
        <v>0</v>
      </c>
      <c r="E1801">
        <f>D1801*C1801</f>
        <v>0</v>
      </c>
      <c r="F1801" s="1" t="s">
        <v>5212</v>
      </c>
      <c r="G1801" s="17">
        <v>74985</v>
      </c>
    </row>
    <row r="1802" spans="1:7">
      <c r="A1802" s="1" t="s">
        <v>5213</v>
      </c>
      <c r="B1802" s="1" t="s">
        <v>5214</v>
      </c>
      <c r="C1802">
        <f>(1-(B7/100))*19.19</f>
        <v>19.19</v>
      </c>
      <c r="D1802" s="1">
        <v>0</v>
      </c>
      <c r="E1802">
        <f>D1802*C1802</f>
        <v>0</v>
      </c>
      <c r="F1802" s="1" t="s">
        <v>5215</v>
      </c>
      <c r="G1802" s="17">
        <v>74986</v>
      </c>
    </row>
    <row r="1803" spans="1:7">
      <c r="A1803" s="1" t="s">
        <v>5216</v>
      </c>
      <c r="B1803" s="1" t="s">
        <v>4986</v>
      </c>
      <c r="C1803">
        <f>(1-(B7/100))*326.42</f>
        <v>326.42</v>
      </c>
      <c r="D1803" s="1">
        <v>0</v>
      </c>
      <c r="E1803">
        <f>D1803*C1803</f>
        <v>0</v>
      </c>
      <c r="F1803" s="1" t="s">
        <v>5217</v>
      </c>
      <c r="G1803" s="17">
        <v>74987</v>
      </c>
    </row>
    <row r="1804" spans="1:7">
      <c r="A1804" s="1" t="s">
        <v>5218</v>
      </c>
      <c r="B1804" s="1" t="s">
        <v>5219</v>
      </c>
      <c r="C1804">
        <f>(1-(B7/100))*1273.74</f>
        <v>1273.74</v>
      </c>
      <c r="D1804" s="1">
        <v>0</v>
      </c>
      <c r="E1804">
        <f>D1804*C1804</f>
        <v>0</v>
      </c>
      <c r="F1804" s="1" t="s">
        <v>5220</v>
      </c>
      <c r="G1804" s="17">
        <v>74989</v>
      </c>
    </row>
    <row r="1805" spans="1:7">
      <c r="A1805" s="1" t="s">
        <v>5221</v>
      </c>
      <c r="B1805" s="1" t="s">
        <v>5222</v>
      </c>
      <c r="C1805">
        <f>(1-(B7/100))*1635.6</f>
        <v>1635.6</v>
      </c>
      <c r="D1805" s="1">
        <v>0</v>
      </c>
      <c r="E1805">
        <f>D1805*C1805</f>
        <v>0</v>
      </c>
      <c r="F1805" s="1" t="s">
        <v>5223</v>
      </c>
      <c r="G1805" s="17">
        <v>74991</v>
      </c>
    </row>
    <row r="1806" spans="1:7">
      <c r="A1806" s="1" t="s">
        <v>5224</v>
      </c>
      <c r="B1806" s="1" t="s">
        <v>5225</v>
      </c>
      <c r="C1806">
        <f>(1-(B7/100))*145.92</f>
        <v>145.92</v>
      </c>
      <c r="D1806" s="1">
        <v>0</v>
      </c>
      <c r="E1806">
        <f>D1806*C1806</f>
        <v>0</v>
      </c>
      <c r="F1806" s="1" t="s">
        <v>5226</v>
      </c>
      <c r="G1806" s="17">
        <v>74992</v>
      </c>
    </row>
    <row r="1807" spans="1:7">
      <c r="A1807" s="1" t="s">
        <v>5227</v>
      </c>
      <c r="B1807" s="1" t="s">
        <v>5228</v>
      </c>
      <c r="C1807">
        <f>(1-(B7/100))*158.27</f>
        <v>158.27</v>
      </c>
      <c r="D1807" s="1">
        <v>0</v>
      </c>
      <c r="E1807">
        <f>D1807*C1807</f>
        <v>0</v>
      </c>
      <c r="F1807" s="1" t="s">
        <v>5229</v>
      </c>
      <c r="G1807" s="17">
        <v>74993</v>
      </c>
    </row>
    <row r="1808" spans="1:7">
      <c r="A1808" s="1" t="s">
        <v>5230</v>
      </c>
      <c r="B1808" s="1" t="s">
        <v>5231</v>
      </c>
      <c r="C1808">
        <f>(1-(B7/100))*231.13</f>
        <v>231.13</v>
      </c>
      <c r="D1808" s="1">
        <v>0</v>
      </c>
      <c r="E1808">
        <f>D1808*C1808</f>
        <v>0</v>
      </c>
      <c r="F1808" s="1" t="s">
        <v>5232</v>
      </c>
      <c r="G1808" s="17">
        <v>74995</v>
      </c>
    </row>
    <row r="1809" spans="1:7">
      <c r="A1809" s="1" t="s">
        <v>5233</v>
      </c>
      <c r="B1809" s="1" t="s">
        <v>5234</v>
      </c>
      <c r="C1809">
        <f>(1-(B7/100))*19.7</f>
        <v>19.7</v>
      </c>
      <c r="D1809" s="1">
        <v>0</v>
      </c>
      <c r="E1809">
        <f>D1809*C1809</f>
        <v>0</v>
      </c>
      <c r="F1809" s="1" t="s">
        <v>5235</v>
      </c>
      <c r="G1809" s="17">
        <v>74996</v>
      </c>
    </row>
    <row r="1810" spans="1:7">
      <c r="A1810" s="1" t="s">
        <v>5236</v>
      </c>
      <c r="B1810" s="1" t="s">
        <v>5237</v>
      </c>
      <c r="C1810">
        <f>(1-(B7/100))*861.57</f>
        <v>861.57</v>
      </c>
      <c r="D1810" s="1">
        <v>0</v>
      </c>
      <c r="E1810">
        <f>D1810*C1810</f>
        <v>0</v>
      </c>
      <c r="F1810" s="1" t="s">
        <v>5238</v>
      </c>
      <c r="G1810" s="17">
        <v>74997</v>
      </c>
    </row>
    <row r="1811" spans="1:7">
      <c r="A1811" s="1" t="s">
        <v>5239</v>
      </c>
      <c r="B1811" s="1" t="s">
        <v>5240</v>
      </c>
      <c r="C1811">
        <f>(1-(B7/100))*81.86</f>
        <v>81.86</v>
      </c>
      <c r="D1811" s="1">
        <v>0</v>
      </c>
      <c r="E1811">
        <f>D1811*C1811</f>
        <v>0</v>
      </c>
      <c r="F1811" s="1" t="s">
        <v>5241</v>
      </c>
      <c r="G1811" s="17">
        <v>74999</v>
      </c>
    </row>
    <row r="1812" spans="1:7">
      <c r="A1812" s="1" t="s">
        <v>5242</v>
      </c>
      <c r="B1812" s="1" t="s">
        <v>5243</v>
      </c>
      <c r="C1812">
        <f>(1-(B7/100))*220.14</f>
        <v>220.14</v>
      </c>
      <c r="D1812" s="1">
        <v>0</v>
      </c>
      <c r="E1812">
        <f>D1812*C1812</f>
        <v>0</v>
      </c>
      <c r="F1812" s="1" t="s">
        <v>5244</v>
      </c>
      <c r="G1812" s="17">
        <v>75000</v>
      </c>
    </row>
    <row r="1813" spans="1:7">
      <c r="A1813" s="1" t="s">
        <v>5245</v>
      </c>
      <c r="B1813" s="1" t="s">
        <v>5246</v>
      </c>
      <c r="C1813">
        <f>(1-(B7/100))*46.85</f>
        <v>46.85</v>
      </c>
      <c r="D1813" s="1">
        <v>0</v>
      </c>
      <c r="E1813">
        <f>D1813*C1813</f>
        <v>0</v>
      </c>
      <c r="F1813" s="1" t="s">
        <v>5247</v>
      </c>
      <c r="G1813" s="17">
        <v>75003</v>
      </c>
    </row>
    <row r="1814" spans="1:7">
      <c r="A1814" s="1" t="s">
        <v>5248</v>
      </c>
      <c r="B1814" s="1" t="s">
        <v>5249</v>
      </c>
      <c r="C1814">
        <f>(1-(B7/100))*65.39</f>
        <v>65.39</v>
      </c>
      <c r="D1814" s="1">
        <v>0</v>
      </c>
      <c r="E1814">
        <f>D1814*C1814</f>
        <v>0</v>
      </c>
      <c r="F1814" s="1" t="s">
        <v>5250</v>
      </c>
      <c r="G1814" s="17">
        <v>75005</v>
      </c>
    </row>
    <row r="1815" spans="1:7">
      <c r="A1815" s="1" t="s">
        <v>5251</v>
      </c>
      <c r="B1815" s="1" t="s">
        <v>5252</v>
      </c>
      <c r="C1815">
        <f>(1-(B7/100))*65.39</f>
        <v>65.39</v>
      </c>
      <c r="D1815" s="1">
        <v>0</v>
      </c>
      <c r="E1815">
        <f>D1815*C1815</f>
        <v>0</v>
      </c>
      <c r="F1815" s="1" t="s">
        <v>5253</v>
      </c>
      <c r="G1815" s="17">
        <v>75006</v>
      </c>
    </row>
    <row r="1816" spans="1:7">
      <c r="A1816" s="1" t="s">
        <v>5254</v>
      </c>
      <c r="B1816" s="1" t="s">
        <v>5255</v>
      </c>
      <c r="C1816">
        <f>(1-(B7/100))*72.59</f>
        <v>72.59</v>
      </c>
      <c r="D1816" s="1">
        <v>0</v>
      </c>
      <c r="E1816">
        <f>D1816*C1816</f>
        <v>0</v>
      </c>
      <c r="F1816" s="1" t="s">
        <v>5256</v>
      </c>
      <c r="G1816" s="17">
        <v>75007</v>
      </c>
    </row>
    <row r="1817" spans="1:7">
      <c r="A1817" s="1" t="s">
        <v>5257</v>
      </c>
      <c r="B1817" s="1" t="s">
        <v>5258</v>
      </c>
      <c r="C1817">
        <f>(1-(B7/100))*57.08</f>
        <v>57.08</v>
      </c>
      <c r="D1817" s="1">
        <v>0</v>
      </c>
      <c r="E1817">
        <f>D1817*C1817</f>
        <v>0</v>
      </c>
      <c r="F1817" s="1" t="s">
        <v>5259</v>
      </c>
      <c r="G1817" s="17">
        <v>75008</v>
      </c>
    </row>
    <row r="1818" spans="1:7">
      <c r="A1818" s="1" t="s">
        <v>5260</v>
      </c>
      <c r="B1818" s="1" t="s">
        <v>5261</v>
      </c>
      <c r="C1818">
        <f>(1-(B7/100))*343.05</f>
        <v>343.05</v>
      </c>
      <c r="D1818" s="1">
        <v>0</v>
      </c>
      <c r="E1818">
        <f>D1818*C1818</f>
        <v>0</v>
      </c>
      <c r="F1818" s="1" t="s">
        <v>5262</v>
      </c>
      <c r="G1818" s="17">
        <v>75009</v>
      </c>
    </row>
    <row r="1819" spans="1:7">
      <c r="A1819" s="1" t="s">
        <v>5263</v>
      </c>
      <c r="B1819" s="1" t="s">
        <v>5264</v>
      </c>
      <c r="C1819">
        <f>(1-(B7/100))*109.32</f>
        <v>109.32</v>
      </c>
      <c r="D1819" s="1">
        <v>0</v>
      </c>
      <c r="E1819">
        <f>D1819*C1819</f>
        <v>0</v>
      </c>
      <c r="F1819" s="1" t="s">
        <v>5265</v>
      </c>
      <c r="G1819" s="17">
        <v>75010</v>
      </c>
    </row>
    <row r="1820" spans="1:7">
      <c r="A1820" s="1" t="s">
        <v>5266</v>
      </c>
      <c r="B1820" s="1" t="s">
        <v>5267</v>
      </c>
      <c r="C1820">
        <f>(1-(B7/100))*734.1</f>
        <v>734.1</v>
      </c>
      <c r="D1820" s="1">
        <v>0</v>
      </c>
      <c r="E1820">
        <f>D1820*C1820</f>
        <v>0</v>
      </c>
      <c r="F1820" s="1" t="s">
        <v>5268</v>
      </c>
      <c r="G1820" s="17">
        <v>75011</v>
      </c>
    </row>
    <row r="1821" spans="1:7">
      <c r="A1821" s="1" t="s">
        <v>5269</v>
      </c>
      <c r="B1821" s="1" t="s">
        <v>5270</v>
      </c>
      <c r="C1821">
        <f>(1-(B7/100))*508.28</f>
        <v>508.28</v>
      </c>
      <c r="D1821" s="1">
        <v>0</v>
      </c>
      <c r="E1821">
        <f>D1821*C1821</f>
        <v>0</v>
      </c>
      <c r="F1821" s="1" t="s">
        <v>5271</v>
      </c>
      <c r="G1821" s="17">
        <v>75012</v>
      </c>
    </row>
    <row r="1822" spans="1:7">
      <c r="A1822" s="1" t="s">
        <v>5272</v>
      </c>
      <c r="B1822" s="1" t="s">
        <v>5273</v>
      </c>
      <c r="C1822">
        <f>(1-(B7/100))*16.51</f>
        <v>16.51</v>
      </c>
      <c r="D1822" s="1">
        <v>0</v>
      </c>
      <c r="E1822">
        <f>D1822*C1822</f>
        <v>0</v>
      </c>
      <c r="F1822" s="1" t="s">
        <v>5274</v>
      </c>
      <c r="G1822" s="17">
        <v>75014</v>
      </c>
    </row>
    <row r="1823" spans="1:7">
      <c r="A1823" s="1" t="s">
        <v>5275</v>
      </c>
      <c r="B1823" s="1" t="s">
        <v>5276</v>
      </c>
      <c r="C1823">
        <f>(1-(B7/100))*330</f>
        <v>330</v>
      </c>
      <c r="D1823" s="1">
        <v>0</v>
      </c>
      <c r="E1823">
        <f>D1823*C1823</f>
        <v>0</v>
      </c>
      <c r="F1823" s="1" t="s">
        <v>5277</v>
      </c>
      <c r="G1823" s="17">
        <v>75016</v>
      </c>
    </row>
    <row r="1824" spans="1:7">
      <c r="A1824" s="1" t="s">
        <v>5278</v>
      </c>
      <c r="B1824" s="1" t="s">
        <v>5279</v>
      </c>
      <c r="C1824">
        <f>(1-(B7/100))*19.19</f>
        <v>19.19</v>
      </c>
      <c r="D1824" s="1">
        <v>0</v>
      </c>
      <c r="E1824">
        <f>D1824*C1824</f>
        <v>0</v>
      </c>
      <c r="F1824" s="1" t="s">
        <v>5280</v>
      </c>
      <c r="G1824" s="17">
        <v>75018</v>
      </c>
    </row>
    <row r="1825" spans="1:7">
      <c r="A1825" s="1" t="s">
        <v>5281</v>
      </c>
      <c r="B1825" s="1" t="s">
        <v>5282</v>
      </c>
      <c r="C1825">
        <f>(1-(B7/100))*851.06</f>
        <v>851.06</v>
      </c>
      <c r="D1825" s="1">
        <v>0</v>
      </c>
      <c r="E1825">
        <f>D1825*C1825</f>
        <v>0</v>
      </c>
      <c r="F1825" s="1" t="s">
        <v>5283</v>
      </c>
      <c r="G1825" s="17">
        <v>75022</v>
      </c>
    </row>
    <row r="1826" spans="1:7">
      <c r="A1826" s="1" t="s">
        <v>5284</v>
      </c>
      <c r="B1826" s="1" t="s">
        <v>5285</v>
      </c>
      <c r="C1826">
        <f>(1-(B7/100))*182.87</f>
        <v>182.87</v>
      </c>
      <c r="D1826" s="1">
        <v>0</v>
      </c>
      <c r="E1826">
        <f>D1826*C1826</f>
        <v>0</v>
      </c>
      <c r="F1826" s="1" t="s">
        <v>5286</v>
      </c>
      <c r="G1826" s="17">
        <v>75024</v>
      </c>
    </row>
    <row r="1827" spans="1:7">
      <c r="A1827" s="1" t="s">
        <v>5287</v>
      </c>
      <c r="B1827" s="1" t="s">
        <v>5288</v>
      </c>
      <c r="C1827">
        <f>(1-(B7/100))*80.67</f>
        <v>80.67</v>
      </c>
      <c r="D1827" s="1">
        <v>0</v>
      </c>
      <c r="E1827">
        <f>D1827*C1827</f>
        <v>0</v>
      </c>
      <c r="F1827" s="1" t="s">
        <v>5289</v>
      </c>
      <c r="G1827" s="17">
        <v>75025</v>
      </c>
    </row>
    <row r="1828" spans="1:7">
      <c r="A1828" s="1" t="s">
        <v>5290</v>
      </c>
      <c r="B1828" s="1" t="s">
        <v>5291</v>
      </c>
      <c r="C1828">
        <f>(1-(B7/100))*15.78</f>
        <v>15.78</v>
      </c>
      <c r="D1828" s="1">
        <v>0</v>
      </c>
      <c r="E1828">
        <f>D1828*C1828</f>
        <v>0</v>
      </c>
      <c r="F1828" s="1" t="s">
        <v>5292</v>
      </c>
      <c r="G1828" s="17">
        <v>75026</v>
      </c>
    </row>
    <row r="1829" spans="1:7">
      <c r="A1829" s="1" t="s">
        <v>5293</v>
      </c>
      <c r="B1829" s="1" t="s">
        <v>5294</v>
      </c>
      <c r="C1829">
        <f>(1-(B7/100))*83.73</f>
        <v>83.73</v>
      </c>
      <c r="D1829" s="1">
        <v>0</v>
      </c>
      <c r="E1829">
        <f>D1829*C1829</f>
        <v>0</v>
      </c>
      <c r="F1829" s="1" t="s">
        <v>5295</v>
      </c>
      <c r="G1829" s="17">
        <v>75028</v>
      </c>
    </row>
    <row r="1830" spans="1:7">
      <c r="A1830" s="1" t="s">
        <v>5296</v>
      </c>
      <c r="B1830" s="1" t="s">
        <v>5297</v>
      </c>
      <c r="C1830">
        <f>(1-(B7/100))*19.19</f>
        <v>19.19</v>
      </c>
      <c r="D1830" s="1">
        <v>0</v>
      </c>
      <c r="E1830">
        <f>D1830*C1830</f>
        <v>0</v>
      </c>
      <c r="F1830" s="1" t="s">
        <v>5298</v>
      </c>
      <c r="G1830" s="17">
        <v>75029</v>
      </c>
    </row>
    <row r="1831" spans="1:7">
      <c r="A1831" s="1" t="s">
        <v>5299</v>
      </c>
      <c r="B1831" s="1" t="s">
        <v>5300</v>
      </c>
      <c r="C1831">
        <f>(1-(B7/100))*104.02</f>
        <v>104.02</v>
      </c>
      <c r="D1831" s="1">
        <v>0</v>
      </c>
      <c r="E1831">
        <f>D1831*C1831</f>
        <v>0</v>
      </c>
      <c r="F1831" s="1" t="s">
        <v>5301</v>
      </c>
      <c r="G1831" s="17">
        <v>75030</v>
      </c>
    </row>
    <row r="1832" spans="1:7">
      <c r="A1832" s="1" t="s">
        <v>5302</v>
      </c>
      <c r="B1832" s="1" t="s">
        <v>5303</v>
      </c>
      <c r="C1832">
        <f>(1-(B7/100))*44.79</f>
        <v>44.79</v>
      </c>
      <c r="D1832" s="1">
        <v>0</v>
      </c>
      <c r="E1832">
        <f>D1832*C1832</f>
        <v>0</v>
      </c>
      <c r="F1832" s="1" t="s">
        <v>5304</v>
      </c>
      <c r="G1832" s="17">
        <v>75031</v>
      </c>
    </row>
    <row r="1833" spans="1:7">
      <c r="A1833" s="1" t="s">
        <v>5305</v>
      </c>
      <c r="B1833" s="1" t="s">
        <v>5306</v>
      </c>
      <c r="C1833">
        <f>(1-(B7/100))*52.03</f>
        <v>52.03</v>
      </c>
      <c r="D1833" s="1">
        <v>0</v>
      </c>
      <c r="E1833">
        <f>D1833*C1833</f>
        <v>0</v>
      </c>
      <c r="F1833" s="1" t="s">
        <v>5307</v>
      </c>
      <c r="G1833" s="17">
        <v>75032</v>
      </c>
    </row>
    <row r="1834" spans="1:7">
      <c r="A1834" s="1" t="s">
        <v>5308</v>
      </c>
      <c r="B1834" s="1" t="s">
        <v>5309</v>
      </c>
      <c r="C1834">
        <f>(1-(B7/100))*33.14</f>
        <v>33.14</v>
      </c>
      <c r="D1834" s="1">
        <v>0</v>
      </c>
      <c r="E1834">
        <f>D1834*C1834</f>
        <v>0</v>
      </c>
      <c r="F1834" s="1" t="s">
        <v>5310</v>
      </c>
      <c r="G1834" s="17">
        <v>75034</v>
      </c>
    </row>
    <row r="1835" spans="1:7">
      <c r="A1835" s="1" t="s">
        <v>5311</v>
      </c>
      <c r="B1835" s="1" t="s">
        <v>5312</v>
      </c>
      <c r="C1835">
        <f>(1-(B7/100))*120.21</f>
        <v>120.21</v>
      </c>
      <c r="D1835" s="1">
        <v>0</v>
      </c>
      <c r="E1835">
        <f>D1835*C1835</f>
        <v>0</v>
      </c>
      <c r="F1835" s="1" t="s">
        <v>5313</v>
      </c>
      <c r="G1835" s="17">
        <v>75035</v>
      </c>
    </row>
    <row r="1836" spans="1:7">
      <c r="A1836" s="1" t="s">
        <v>5314</v>
      </c>
      <c r="B1836" s="1" t="s">
        <v>5315</v>
      </c>
      <c r="C1836">
        <f>(1-(B7/100))*113.03</f>
        <v>113.03</v>
      </c>
      <c r="D1836" s="1">
        <v>0</v>
      </c>
      <c r="E1836">
        <f>D1836*C1836</f>
        <v>0</v>
      </c>
      <c r="F1836" s="1" t="s">
        <v>5316</v>
      </c>
      <c r="G1836" s="17">
        <v>75036</v>
      </c>
    </row>
    <row r="1837" spans="1:7">
      <c r="A1837" s="1" t="s">
        <v>5317</v>
      </c>
      <c r="B1837" s="1" t="s">
        <v>5318</v>
      </c>
      <c r="C1837">
        <f>(1-(B7/100))*131.76</f>
        <v>131.76</v>
      </c>
      <c r="D1837" s="1">
        <v>0</v>
      </c>
      <c r="E1837">
        <f>D1837*C1837</f>
        <v>0</v>
      </c>
      <c r="F1837" s="1" t="s">
        <v>5319</v>
      </c>
      <c r="G1837" s="17">
        <v>75037</v>
      </c>
    </row>
    <row r="1838" spans="1:7">
      <c r="A1838" s="1" t="s">
        <v>5320</v>
      </c>
      <c r="B1838" s="1" t="s">
        <v>5321</v>
      </c>
      <c r="C1838">
        <f>(1-(B7/100))*1812.47</f>
        <v>1812.47</v>
      </c>
      <c r="D1838" s="1">
        <v>0</v>
      </c>
      <c r="E1838">
        <f>D1838*C1838</f>
        <v>0</v>
      </c>
      <c r="F1838" s="1" t="s">
        <v>5322</v>
      </c>
      <c r="G1838" s="17">
        <v>75038</v>
      </c>
    </row>
    <row r="1839" spans="1:7">
      <c r="A1839" s="1" t="s">
        <v>5323</v>
      </c>
      <c r="B1839" s="1" t="s">
        <v>5324</v>
      </c>
      <c r="C1839">
        <f>(1-(B7/100))*687.17</f>
        <v>687.17</v>
      </c>
      <c r="D1839" s="1">
        <v>0</v>
      </c>
      <c r="E1839">
        <f>D1839*C1839</f>
        <v>0</v>
      </c>
      <c r="F1839" s="1" t="s">
        <v>5325</v>
      </c>
      <c r="G1839" s="17">
        <v>75039</v>
      </c>
    </row>
    <row r="1840" spans="1:7">
      <c r="A1840" s="1" t="s">
        <v>5326</v>
      </c>
      <c r="B1840" s="1" t="s">
        <v>5327</v>
      </c>
      <c r="C1840">
        <f>(1-(B7/100))*561.29</f>
        <v>561.29</v>
      </c>
      <c r="D1840" s="1">
        <v>0</v>
      </c>
      <c r="E1840">
        <f>D1840*C1840</f>
        <v>0</v>
      </c>
      <c r="F1840" s="1" t="s">
        <v>5328</v>
      </c>
      <c r="G1840" s="17">
        <v>75040</v>
      </c>
    </row>
    <row r="1841" spans="1:7">
      <c r="A1841" s="1" t="s">
        <v>5329</v>
      </c>
      <c r="B1841" s="1" t="s">
        <v>5330</v>
      </c>
      <c r="C1841">
        <f>(1-(B7/100))*1476.31</f>
        <v>1476.31</v>
      </c>
      <c r="D1841" s="1">
        <v>0</v>
      </c>
      <c r="E1841">
        <f>D1841*C1841</f>
        <v>0</v>
      </c>
      <c r="F1841" s="1" t="s">
        <v>5331</v>
      </c>
      <c r="G1841" s="17">
        <v>75041</v>
      </c>
    </row>
    <row r="1842" spans="1:7">
      <c r="A1842" s="1" t="s">
        <v>5332</v>
      </c>
      <c r="B1842" s="1" t="s">
        <v>5333</v>
      </c>
      <c r="C1842">
        <f>(1-(B7/100))*330.68</f>
        <v>330.68</v>
      </c>
      <c r="D1842" s="1">
        <v>0</v>
      </c>
      <c r="E1842">
        <f>D1842*C1842</f>
        <v>0</v>
      </c>
      <c r="F1842" s="1" t="s">
        <v>5334</v>
      </c>
      <c r="G1842" s="17">
        <v>75042</v>
      </c>
    </row>
    <row r="1843" spans="1:7">
      <c r="A1843" s="1" t="s">
        <v>5335</v>
      </c>
      <c r="B1843" s="1" t="s">
        <v>5336</v>
      </c>
      <c r="C1843">
        <f>(1-(B7/100))*336.14</f>
        <v>336.14</v>
      </c>
      <c r="D1843" s="1">
        <v>0</v>
      </c>
      <c r="E1843">
        <f>D1843*C1843</f>
        <v>0</v>
      </c>
      <c r="F1843" s="1" t="s">
        <v>5337</v>
      </c>
      <c r="G1843" s="17">
        <v>75043</v>
      </c>
    </row>
    <row r="1844" spans="1:7">
      <c r="A1844" s="1" t="s">
        <v>5338</v>
      </c>
      <c r="B1844" s="1" t="s">
        <v>5339</v>
      </c>
      <c r="C1844">
        <f>(1-(B7/100))*330.68</f>
        <v>330.68</v>
      </c>
      <c r="D1844" s="1">
        <v>0</v>
      </c>
      <c r="E1844">
        <f>D1844*C1844</f>
        <v>0</v>
      </c>
      <c r="F1844" s="1" t="s">
        <v>5340</v>
      </c>
      <c r="G1844" s="17">
        <v>75045</v>
      </c>
    </row>
    <row r="1845" spans="1:7">
      <c r="A1845" s="1" t="s">
        <v>5341</v>
      </c>
      <c r="B1845" s="1" t="s">
        <v>5342</v>
      </c>
      <c r="C1845">
        <f>(1-(B7/100))*871.7</f>
        <v>871.7</v>
      </c>
      <c r="D1845" s="1">
        <v>0</v>
      </c>
      <c r="E1845">
        <f>D1845*C1845</f>
        <v>0</v>
      </c>
      <c r="F1845" s="1" t="s">
        <v>5343</v>
      </c>
      <c r="G1845" s="17">
        <v>75046</v>
      </c>
    </row>
    <row r="1846" spans="1:7">
      <c r="A1846" s="1" t="s">
        <v>5344</v>
      </c>
      <c r="B1846" s="1" t="s">
        <v>5345</v>
      </c>
      <c r="C1846">
        <f>(1-(B7/100))*395.19</f>
        <v>395.19</v>
      </c>
      <c r="D1846" s="1">
        <v>0</v>
      </c>
      <c r="E1846">
        <f>D1846*C1846</f>
        <v>0</v>
      </c>
      <c r="F1846" s="1" t="s">
        <v>5346</v>
      </c>
      <c r="G1846" s="17">
        <v>75047</v>
      </c>
    </row>
    <row r="1847" spans="1:7">
      <c r="A1847" s="1" t="s">
        <v>5347</v>
      </c>
      <c r="B1847" s="1" t="s">
        <v>5348</v>
      </c>
      <c r="C1847">
        <f>(1-(B7/100))*780.41</f>
        <v>780.41</v>
      </c>
      <c r="D1847" s="1">
        <v>0</v>
      </c>
      <c r="E1847">
        <f>D1847*C1847</f>
        <v>0</v>
      </c>
      <c r="F1847" s="1" t="s">
        <v>5349</v>
      </c>
      <c r="G1847" s="17">
        <v>75048</v>
      </c>
    </row>
    <row r="1848" spans="1:7">
      <c r="A1848" s="1" t="s">
        <v>5350</v>
      </c>
      <c r="B1848" s="1" t="s">
        <v>5351</v>
      </c>
      <c r="C1848">
        <f>(1-(B7/100))*857.39</f>
        <v>857.39</v>
      </c>
      <c r="D1848" s="1">
        <v>0</v>
      </c>
      <c r="E1848">
        <f>D1848*C1848</f>
        <v>0</v>
      </c>
      <c r="F1848" s="1" t="s">
        <v>5352</v>
      </c>
      <c r="G1848" s="17">
        <v>75049</v>
      </c>
    </row>
    <row r="1849" spans="1:7">
      <c r="A1849" s="1" t="s">
        <v>5353</v>
      </c>
      <c r="B1849" s="1" t="s">
        <v>5354</v>
      </c>
      <c r="C1849">
        <f>(1-(B7/100))*491.96</f>
        <v>491.96</v>
      </c>
      <c r="D1849" s="1">
        <v>0</v>
      </c>
      <c r="E1849">
        <f>D1849*C1849</f>
        <v>0</v>
      </c>
      <c r="F1849" s="1" t="s">
        <v>5355</v>
      </c>
      <c r="G1849" s="17">
        <v>75050</v>
      </c>
    </row>
    <row r="1850" spans="1:7">
      <c r="A1850" s="1" t="s">
        <v>5356</v>
      </c>
      <c r="B1850" s="1" t="s">
        <v>5357</v>
      </c>
      <c r="C1850">
        <f>(1-(B7/100))*135.39</f>
        <v>135.39</v>
      </c>
      <c r="D1850" s="1">
        <v>0</v>
      </c>
      <c r="E1850">
        <f>D1850*C1850</f>
        <v>0</v>
      </c>
      <c r="F1850" s="1" t="s">
        <v>5358</v>
      </c>
      <c r="G1850" s="17">
        <v>75054</v>
      </c>
    </row>
    <row r="1851" spans="1:7">
      <c r="A1851" s="1" t="s">
        <v>5359</v>
      </c>
      <c r="B1851" s="1" t="s">
        <v>5360</v>
      </c>
      <c r="C1851">
        <f>(1-(B7/100))*24.66</f>
        <v>24.66</v>
      </c>
      <c r="D1851" s="1">
        <v>0</v>
      </c>
      <c r="E1851">
        <f>D1851*C1851</f>
        <v>0</v>
      </c>
      <c r="F1851" s="1" t="s">
        <v>5361</v>
      </c>
      <c r="G1851" s="17">
        <v>75055</v>
      </c>
    </row>
    <row r="1852" spans="1:7">
      <c r="A1852" s="1" t="s">
        <v>5362</v>
      </c>
      <c r="B1852" s="1" t="s">
        <v>5363</v>
      </c>
      <c r="C1852">
        <f>(1-(B7/100))*151.46</f>
        <v>151.46</v>
      </c>
      <c r="D1852" s="1">
        <v>0</v>
      </c>
      <c r="E1852">
        <f>D1852*C1852</f>
        <v>0</v>
      </c>
      <c r="F1852" s="1" t="s">
        <v>5364</v>
      </c>
      <c r="G1852" s="17">
        <v>75056</v>
      </c>
    </row>
    <row r="1853" spans="1:7">
      <c r="A1853" s="1" t="s">
        <v>5365</v>
      </c>
      <c r="B1853" s="1" t="s">
        <v>5366</v>
      </c>
      <c r="C1853">
        <f>(1-(B7/100))*889.6</f>
        <v>889.6</v>
      </c>
      <c r="D1853" s="1">
        <v>0</v>
      </c>
      <c r="E1853">
        <f>D1853*C1853</f>
        <v>0</v>
      </c>
      <c r="F1853" s="1" t="s">
        <v>5367</v>
      </c>
      <c r="G1853" s="17">
        <v>75057</v>
      </c>
    </row>
    <row r="1854" spans="1:7">
      <c r="A1854" s="1" t="s">
        <v>5368</v>
      </c>
      <c r="B1854" s="1" t="s">
        <v>5369</v>
      </c>
      <c r="C1854">
        <f>(1-(B7/100))*889.6</f>
        <v>889.6</v>
      </c>
      <c r="D1854" s="1">
        <v>0</v>
      </c>
      <c r="E1854">
        <f>D1854*C1854</f>
        <v>0</v>
      </c>
      <c r="F1854" s="1" t="s">
        <v>5370</v>
      </c>
      <c r="G1854" s="17">
        <v>75058</v>
      </c>
    </row>
    <row r="1855" spans="1:7">
      <c r="A1855" s="1" t="s">
        <v>5371</v>
      </c>
      <c r="B1855" s="1" t="s">
        <v>5372</v>
      </c>
      <c r="C1855">
        <f>(1-(B7/100))*1003.19</f>
        <v>1003.19</v>
      </c>
      <c r="D1855" s="1">
        <v>0</v>
      </c>
      <c r="E1855">
        <f>D1855*C1855</f>
        <v>0</v>
      </c>
      <c r="F1855" s="1" t="s">
        <v>5373</v>
      </c>
      <c r="G1855" s="17">
        <v>75060</v>
      </c>
    </row>
    <row r="1856" spans="1:7">
      <c r="A1856" s="1" t="s">
        <v>5374</v>
      </c>
      <c r="B1856" s="1" t="s">
        <v>5375</v>
      </c>
      <c r="C1856">
        <f>(1-(B7/100))*425.28</f>
        <v>425.28</v>
      </c>
      <c r="D1856" s="1">
        <v>0</v>
      </c>
      <c r="E1856">
        <f>D1856*C1856</f>
        <v>0</v>
      </c>
      <c r="F1856" s="1" t="s">
        <v>5376</v>
      </c>
      <c r="G1856" s="17">
        <v>75061</v>
      </c>
    </row>
    <row r="1857" spans="1:7">
      <c r="A1857" s="1" t="s">
        <v>5377</v>
      </c>
      <c r="B1857" s="1" t="s">
        <v>5378</v>
      </c>
      <c r="C1857">
        <f>(1-(B7/100))*44.31</f>
        <v>44.31</v>
      </c>
      <c r="D1857" s="1">
        <v>0</v>
      </c>
      <c r="E1857">
        <f>D1857*C1857</f>
        <v>0</v>
      </c>
      <c r="F1857" s="1" t="s">
        <v>5379</v>
      </c>
      <c r="G1857" s="17">
        <v>75062</v>
      </c>
    </row>
    <row r="1858" spans="1:7">
      <c r="A1858" s="1" t="s">
        <v>5380</v>
      </c>
      <c r="B1858" s="1" t="s">
        <v>5381</v>
      </c>
      <c r="C1858">
        <f>(1-(B7/100))*3380.67</f>
        <v>3380.67</v>
      </c>
      <c r="D1858" s="1">
        <v>0</v>
      </c>
      <c r="E1858">
        <f>D1858*C1858</f>
        <v>0</v>
      </c>
      <c r="F1858" s="1" t="s">
        <v>5382</v>
      </c>
      <c r="G1858" s="17">
        <v>75063</v>
      </c>
    </row>
    <row r="1859" spans="1:7">
      <c r="A1859" s="1" t="s">
        <v>5383</v>
      </c>
      <c r="B1859" s="1" t="s">
        <v>5384</v>
      </c>
      <c r="C1859">
        <f>(1-(B7/100))*163.06</f>
        <v>163.06</v>
      </c>
      <c r="D1859" s="1">
        <v>0</v>
      </c>
      <c r="E1859">
        <f>D1859*C1859</f>
        <v>0</v>
      </c>
      <c r="F1859" s="1" t="s">
        <v>5385</v>
      </c>
      <c r="G1859" s="17">
        <v>75065</v>
      </c>
    </row>
    <row r="1860" spans="1:7">
      <c r="A1860" s="1" t="s">
        <v>5386</v>
      </c>
      <c r="B1860" s="1" t="s">
        <v>5387</v>
      </c>
      <c r="C1860">
        <f>(1-(B7/100))*98.59</f>
        <v>98.59</v>
      </c>
      <c r="D1860" s="1">
        <v>0</v>
      </c>
      <c r="E1860">
        <f>D1860*C1860</f>
        <v>0</v>
      </c>
      <c r="F1860" s="1" t="s">
        <v>5388</v>
      </c>
      <c r="G1860" s="17">
        <v>75067</v>
      </c>
    </row>
    <row r="1861" spans="1:7">
      <c r="A1861" s="1" t="s">
        <v>5389</v>
      </c>
      <c r="B1861" s="1" t="s">
        <v>5390</v>
      </c>
      <c r="C1861">
        <f>(1-(B7/100))*81.59</f>
        <v>81.59</v>
      </c>
      <c r="D1861" s="1">
        <v>0</v>
      </c>
      <c r="E1861">
        <f>D1861*C1861</f>
        <v>0</v>
      </c>
      <c r="F1861" s="1" t="s">
        <v>5391</v>
      </c>
      <c r="G1861" s="17">
        <v>75069</v>
      </c>
    </row>
    <row r="1862" spans="1:7">
      <c r="A1862" s="1" t="s">
        <v>5392</v>
      </c>
      <c r="B1862" s="1" t="s">
        <v>5393</v>
      </c>
      <c r="C1862">
        <f>(1-(B7/100))*305.87</f>
        <v>305.87</v>
      </c>
      <c r="D1862" s="1">
        <v>0</v>
      </c>
      <c r="E1862">
        <f>D1862*C1862</f>
        <v>0</v>
      </c>
      <c r="F1862" s="1" t="s">
        <v>5394</v>
      </c>
      <c r="G1862" s="17">
        <v>75072</v>
      </c>
    </row>
    <row r="1863" spans="1:7">
      <c r="A1863" s="1" t="s">
        <v>5395</v>
      </c>
      <c r="B1863" s="1" t="s">
        <v>5396</v>
      </c>
      <c r="C1863">
        <f>(1-(B7/100))*27.81</f>
        <v>27.81</v>
      </c>
      <c r="D1863" s="1">
        <v>0</v>
      </c>
      <c r="E1863">
        <f>D1863*C1863</f>
        <v>0</v>
      </c>
      <c r="F1863" s="1" t="s">
        <v>5397</v>
      </c>
      <c r="G1863" s="17">
        <v>75077</v>
      </c>
    </row>
    <row r="1864" spans="1:7">
      <c r="A1864" s="1" t="s">
        <v>5398</v>
      </c>
      <c r="B1864" s="1" t="s">
        <v>5399</v>
      </c>
      <c r="C1864">
        <f>(1-(B7/100))*153.55</f>
        <v>153.55</v>
      </c>
      <c r="D1864" s="1">
        <v>0</v>
      </c>
      <c r="E1864">
        <f>D1864*C1864</f>
        <v>0</v>
      </c>
      <c r="F1864" s="1" t="s">
        <v>5400</v>
      </c>
      <c r="G1864" s="17">
        <v>75090</v>
      </c>
    </row>
    <row r="1865" spans="1:7">
      <c r="A1865" s="1" t="s">
        <v>5401</v>
      </c>
      <c r="B1865" s="1" t="s">
        <v>5402</v>
      </c>
      <c r="C1865">
        <f>(1-(B7/100))*37.5</f>
        <v>37.5</v>
      </c>
      <c r="D1865" s="1">
        <v>0</v>
      </c>
      <c r="E1865">
        <f>D1865*C1865</f>
        <v>0</v>
      </c>
      <c r="F1865" s="1" t="s">
        <v>5403</v>
      </c>
      <c r="G1865" s="17">
        <v>75091</v>
      </c>
    </row>
    <row r="1866" spans="1:7">
      <c r="A1866" s="1" t="s">
        <v>5404</v>
      </c>
      <c r="B1866" s="1" t="s">
        <v>5405</v>
      </c>
      <c r="C1866">
        <f>(1-(B7/100))*7.64</f>
        <v>7.64</v>
      </c>
      <c r="D1866" s="1">
        <v>0</v>
      </c>
      <c r="E1866">
        <f>D1866*C1866</f>
        <v>0</v>
      </c>
      <c r="F1866" s="1" t="s">
        <v>5406</v>
      </c>
      <c r="G1866" s="17">
        <v>75092</v>
      </c>
    </row>
    <row r="1867" spans="1:7">
      <c r="A1867" s="1" t="s">
        <v>5407</v>
      </c>
      <c r="B1867" s="1" t="s">
        <v>5408</v>
      </c>
      <c r="C1867">
        <f>(1-(B7/100))*13.44</f>
        <v>13.44</v>
      </c>
      <c r="D1867" s="1">
        <v>0</v>
      </c>
      <c r="E1867">
        <f>D1867*C1867</f>
        <v>0</v>
      </c>
      <c r="F1867" s="1" t="s">
        <v>5409</v>
      </c>
      <c r="G1867" s="17">
        <v>75096</v>
      </c>
    </row>
    <row r="1868" spans="1:7">
      <c r="A1868" s="1" t="s">
        <v>5410</v>
      </c>
      <c r="B1868" s="1" t="s">
        <v>5411</v>
      </c>
      <c r="C1868">
        <f>(1-(B7/100))*46.61</f>
        <v>46.61</v>
      </c>
      <c r="D1868" s="1">
        <v>0</v>
      </c>
      <c r="E1868">
        <f>D1868*C1868</f>
        <v>0</v>
      </c>
      <c r="F1868" s="1" t="s">
        <v>5412</v>
      </c>
      <c r="G1868" s="17">
        <v>75100</v>
      </c>
    </row>
    <row r="1869" spans="1:7">
      <c r="A1869" s="1" t="s">
        <v>5413</v>
      </c>
      <c r="B1869" s="1" t="s">
        <v>5414</v>
      </c>
      <c r="C1869">
        <f>(1-(B7/100))*14.48</f>
        <v>14.48</v>
      </c>
      <c r="D1869" s="1">
        <v>0</v>
      </c>
      <c r="E1869">
        <f>D1869*C1869</f>
        <v>0</v>
      </c>
      <c r="F1869" s="1" t="s">
        <v>5415</v>
      </c>
      <c r="G1869" s="17">
        <v>75101</v>
      </c>
    </row>
    <row r="1870" spans="1:7">
      <c r="A1870" s="1" t="s">
        <v>5416</v>
      </c>
      <c r="B1870" s="1" t="s">
        <v>5417</v>
      </c>
      <c r="C1870">
        <f>(1-(B7/100))*480.18</f>
        <v>480.18</v>
      </c>
      <c r="D1870" s="1">
        <v>0</v>
      </c>
      <c r="E1870">
        <f>D1870*C1870</f>
        <v>0</v>
      </c>
      <c r="F1870" s="1" t="s">
        <v>5418</v>
      </c>
      <c r="G1870" s="17">
        <v>75102</v>
      </c>
    </row>
    <row r="1871" spans="1:7">
      <c r="A1871" s="1" t="s">
        <v>5419</v>
      </c>
      <c r="B1871" s="1" t="s">
        <v>5420</v>
      </c>
      <c r="C1871">
        <f>(1-(B7/100))*263.13</f>
        <v>263.13</v>
      </c>
      <c r="D1871" s="1">
        <v>0</v>
      </c>
      <c r="E1871">
        <f>D1871*C1871</f>
        <v>0</v>
      </c>
      <c r="F1871" s="1" t="s">
        <v>5421</v>
      </c>
      <c r="G1871" s="17">
        <v>75105</v>
      </c>
    </row>
    <row r="1872" spans="1:7">
      <c r="A1872" s="1" t="s">
        <v>5422</v>
      </c>
      <c r="B1872" s="1" t="s">
        <v>5423</v>
      </c>
      <c r="C1872">
        <f>(1-(B7/100))*108.93</f>
        <v>108.93</v>
      </c>
      <c r="D1872" s="1">
        <v>0</v>
      </c>
      <c r="E1872">
        <f>D1872*C1872</f>
        <v>0</v>
      </c>
      <c r="F1872" s="1" t="s">
        <v>5424</v>
      </c>
      <c r="G1872" s="17">
        <v>75107</v>
      </c>
    </row>
    <row r="1873" spans="1:7">
      <c r="A1873" s="1" t="s">
        <v>5425</v>
      </c>
      <c r="B1873" s="1" t="s">
        <v>5426</v>
      </c>
      <c r="C1873">
        <f>(1-(B7/100))*95.63</f>
        <v>95.63</v>
      </c>
      <c r="D1873" s="1">
        <v>0</v>
      </c>
      <c r="E1873">
        <f>D1873*C1873</f>
        <v>0</v>
      </c>
      <c r="F1873" s="1" t="s">
        <v>5427</v>
      </c>
      <c r="G1873" s="17">
        <v>75113</v>
      </c>
    </row>
    <row r="1874" spans="1:7">
      <c r="A1874" s="1" t="s">
        <v>5428</v>
      </c>
      <c r="B1874" s="1" t="s">
        <v>5429</v>
      </c>
      <c r="C1874">
        <f>(1-(B7/100))*1119.26</f>
        <v>1119.26</v>
      </c>
      <c r="D1874" s="1">
        <v>0</v>
      </c>
      <c r="E1874">
        <f>D1874*C1874</f>
        <v>0</v>
      </c>
      <c r="F1874" s="1" t="s">
        <v>5430</v>
      </c>
      <c r="G1874" s="17">
        <v>75114</v>
      </c>
    </row>
    <row r="1875" spans="1:7">
      <c r="A1875" s="1" t="s">
        <v>5431</v>
      </c>
      <c r="B1875" s="1" t="s">
        <v>5432</v>
      </c>
      <c r="C1875">
        <f>(1-(B7/100))*152.46</f>
        <v>152.46</v>
      </c>
      <c r="D1875" s="1">
        <v>0</v>
      </c>
      <c r="E1875">
        <f>D1875*C1875</f>
        <v>0</v>
      </c>
      <c r="F1875" s="1" t="s">
        <v>5433</v>
      </c>
      <c r="G1875" s="17">
        <v>75118</v>
      </c>
    </row>
    <row r="1876" spans="1:7">
      <c r="A1876" s="1" t="s">
        <v>5434</v>
      </c>
      <c r="B1876" s="1" t="s">
        <v>5435</v>
      </c>
      <c r="C1876">
        <f>(1-(B7/100))*137.22</f>
        <v>137.22</v>
      </c>
      <c r="D1876" s="1">
        <v>0</v>
      </c>
      <c r="E1876">
        <f>D1876*C1876</f>
        <v>0</v>
      </c>
      <c r="F1876" s="1" t="s">
        <v>5436</v>
      </c>
      <c r="G1876" s="17">
        <v>75119</v>
      </c>
    </row>
    <row r="1877" spans="1:7">
      <c r="A1877" s="1" t="s">
        <v>5437</v>
      </c>
      <c r="B1877" s="1" t="s">
        <v>5438</v>
      </c>
      <c r="C1877">
        <f>(1-(B7/100))*67.21</f>
        <v>67.21</v>
      </c>
      <c r="D1877" s="1">
        <v>0</v>
      </c>
      <c r="E1877">
        <f>D1877*C1877</f>
        <v>0</v>
      </c>
      <c r="F1877" s="1" t="s">
        <v>5439</v>
      </c>
      <c r="G1877" s="17">
        <v>75125</v>
      </c>
    </row>
    <row r="1878" spans="1:7">
      <c r="A1878" s="1" t="s">
        <v>5440</v>
      </c>
      <c r="B1878" s="1" t="s">
        <v>5441</v>
      </c>
      <c r="C1878">
        <f>(1-(B7/100))*429.07</f>
        <v>429.07</v>
      </c>
      <c r="D1878" s="1">
        <v>0</v>
      </c>
      <c r="E1878">
        <f>D1878*C1878</f>
        <v>0</v>
      </c>
      <c r="F1878" s="1" t="s">
        <v>5442</v>
      </c>
      <c r="G1878" s="17">
        <v>75127</v>
      </c>
    </row>
    <row r="1879" spans="1:7">
      <c r="A1879" s="1" t="s">
        <v>5443</v>
      </c>
      <c r="B1879" s="1" t="s">
        <v>5444</v>
      </c>
      <c r="C1879">
        <f>(1-(B7/100))*2666.87</f>
        <v>2666.87</v>
      </c>
      <c r="D1879" s="1">
        <v>0</v>
      </c>
      <c r="E1879">
        <f>D1879*C1879</f>
        <v>0</v>
      </c>
      <c r="F1879" s="1" t="s">
        <v>5445</v>
      </c>
      <c r="G1879" s="17">
        <v>75128</v>
      </c>
    </row>
    <row r="1880" spans="1:7">
      <c r="A1880" s="1" t="s">
        <v>5446</v>
      </c>
      <c r="B1880" s="1" t="s">
        <v>5447</v>
      </c>
      <c r="C1880">
        <f>(1-(B7/100))*668.67</f>
        <v>668.67</v>
      </c>
      <c r="D1880" s="1">
        <v>0</v>
      </c>
      <c r="E1880">
        <f>D1880*C1880</f>
        <v>0</v>
      </c>
      <c r="F1880" s="1" t="s">
        <v>5448</v>
      </c>
      <c r="G1880" s="17">
        <v>75129</v>
      </c>
    </row>
    <row r="1881" spans="1:7">
      <c r="A1881" s="1" t="s">
        <v>5449</v>
      </c>
      <c r="B1881" s="1" t="s">
        <v>5450</v>
      </c>
      <c r="C1881">
        <f>(1-(B7/100))*512.6</f>
        <v>512.6</v>
      </c>
      <c r="D1881" s="1">
        <v>0</v>
      </c>
      <c r="E1881">
        <f>D1881*C1881</f>
        <v>0</v>
      </c>
      <c r="F1881" s="1" t="s">
        <v>5451</v>
      </c>
      <c r="G1881" s="17">
        <v>75130</v>
      </c>
    </row>
    <row r="1882" spans="1:7">
      <c r="A1882" s="1" t="s">
        <v>5452</v>
      </c>
      <c r="B1882" s="1" t="s">
        <v>5453</v>
      </c>
      <c r="C1882">
        <f>(1-(B7/100))*512.6</f>
        <v>512.6</v>
      </c>
      <c r="D1882" s="1">
        <v>0</v>
      </c>
      <c r="E1882">
        <f>D1882*C1882</f>
        <v>0</v>
      </c>
      <c r="F1882" s="1" t="s">
        <v>5454</v>
      </c>
      <c r="G1882" s="17">
        <v>75131</v>
      </c>
    </row>
    <row r="1883" spans="1:7">
      <c r="A1883" s="1" t="s">
        <v>5455</v>
      </c>
      <c r="B1883" s="1" t="s">
        <v>5456</v>
      </c>
      <c r="C1883">
        <f>(1-(B7/100))*528.01</f>
        <v>528.01</v>
      </c>
      <c r="D1883" s="1">
        <v>0</v>
      </c>
      <c r="E1883">
        <f>D1883*C1883</f>
        <v>0</v>
      </c>
      <c r="F1883" s="1" t="s">
        <v>5457</v>
      </c>
      <c r="G1883" s="17">
        <v>75132</v>
      </c>
    </row>
    <row r="1884" spans="1:7">
      <c r="A1884" s="1" t="s">
        <v>5458</v>
      </c>
      <c r="B1884" s="1" t="s">
        <v>5459</v>
      </c>
      <c r="C1884">
        <f>(1-(B7/100))*512.6</f>
        <v>512.6</v>
      </c>
      <c r="D1884" s="1">
        <v>0</v>
      </c>
      <c r="E1884">
        <f>D1884*C1884</f>
        <v>0</v>
      </c>
      <c r="F1884" s="1" t="s">
        <v>5460</v>
      </c>
      <c r="G1884" s="17">
        <v>75133</v>
      </c>
    </row>
    <row r="1885" spans="1:7">
      <c r="A1885" s="1" t="s">
        <v>5461</v>
      </c>
      <c r="B1885" s="1" t="s">
        <v>5462</v>
      </c>
      <c r="C1885">
        <f>(1-(B7/100))*2874.2</f>
        <v>2874.2</v>
      </c>
      <c r="D1885" s="1">
        <v>0</v>
      </c>
      <c r="E1885">
        <f>D1885*C1885</f>
        <v>0</v>
      </c>
      <c r="F1885" s="1" t="s">
        <v>5463</v>
      </c>
      <c r="G1885" s="17">
        <v>75134</v>
      </c>
    </row>
    <row r="1886" spans="1:7">
      <c r="A1886" s="1" t="s">
        <v>5464</v>
      </c>
      <c r="B1886" s="1" t="s">
        <v>5465</v>
      </c>
      <c r="C1886">
        <f>(1-(B7/100))*157.72</f>
        <v>157.72</v>
      </c>
      <c r="D1886" s="1">
        <v>0</v>
      </c>
      <c r="E1886">
        <f>D1886*C1886</f>
        <v>0</v>
      </c>
      <c r="F1886" s="1" t="s">
        <v>5466</v>
      </c>
      <c r="G1886" s="17">
        <v>75135</v>
      </c>
    </row>
    <row r="1887" spans="1:7">
      <c r="A1887" s="1" t="s">
        <v>5467</v>
      </c>
      <c r="B1887" s="1" t="s">
        <v>5468</v>
      </c>
      <c r="C1887">
        <f>(1-(B7/100))*157.72</f>
        <v>157.72</v>
      </c>
      <c r="D1887" s="1">
        <v>0</v>
      </c>
      <c r="E1887">
        <f>D1887*C1887</f>
        <v>0</v>
      </c>
      <c r="F1887" s="1" t="s">
        <v>5469</v>
      </c>
      <c r="G1887" s="17">
        <v>75136</v>
      </c>
    </row>
    <row r="1888" spans="1:7">
      <c r="A1888" s="1" t="s">
        <v>5470</v>
      </c>
      <c r="B1888" s="1" t="s">
        <v>5471</v>
      </c>
      <c r="C1888">
        <f>(1-(B7/100))*153.53</f>
        <v>153.53</v>
      </c>
      <c r="D1888" s="1">
        <v>0</v>
      </c>
      <c r="E1888">
        <f>D1888*C1888</f>
        <v>0</v>
      </c>
      <c r="F1888" s="1" t="s">
        <v>5472</v>
      </c>
      <c r="G1888" s="17">
        <v>75137</v>
      </c>
    </row>
    <row r="1889" spans="1:7">
      <c r="A1889" s="1" t="s">
        <v>5473</v>
      </c>
      <c r="B1889" s="1" t="s">
        <v>5474</v>
      </c>
      <c r="C1889">
        <f>(1-(B7/100))*157.72</f>
        <v>157.72</v>
      </c>
      <c r="D1889" s="1">
        <v>0</v>
      </c>
      <c r="E1889">
        <f>D1889*C1889</f>
        <v>0</v>
      </c>
      <c r="F1889" s="1" t="s">
        <v>5475</v>
      </c>
      <c r="G1889" s="17">
        <v>75139</v>
      </c>
    </row>
    <row r="1890" spans="1:7">
      <c r="A1890" s="1" t="s">
        <v>5476</v>
      </c>
      <c r="B1890" s="1" t="s">
        <v>5477</v>
      </c>
      <c r="C1890">
        <f>(1-(B7/100))*157.72</f>
        <v>157.72</v>
      </c>
      <c r="D1890" s="1">
        <v>0</v>
      </c>
      <c r="E1890">
        <f>D1890*C1890</f>
        <v>0</v>
      </c>
      <c r="F1890" s="1" t="s">
        <v>5478</v>
      </c>
      <c r="G1890" s="17">
        <v>75140</v>
      </c>
    </row>
    <row r="1891" spans="1:7">
      <c r="A1891" s="1" t="s">
        <v>5479</v>
      </c>
      <c r="B1891" s="1" t="s">
        <v>5480</v>
      </c>
      <c r="C1891">
        <f>(1-(B7/100))*21.55</f>
        <v>21.55</v>
      </c>
      <c r="D1891" s="1">
        <v>0</v>
      </c>
      <c r="E1891">
        <f>D1891*C1891</f>
        <v>0</v>
      </c>
      <c r="F1891" s="1" t="s">
        <v>5481</v>
      </c>
      <c r="G1891" s="17">
        <v>75141</v>
      </c>
    </row>
    <row r="1892" spans="1:7">
      <c r="A1892" s="1" t="s">
        <v>5482</v>
      </c>
      <c r="B1892" s="1" t="s">
        <v>5483</v>
      </c>
      <c r="C1892">
        <f>(1-(B7/100))*12.74</f>
        <v>12.74</v>
      </c>
      <c r="D1892" s="1">
        <v>0</v>
      </c>
      <c r="E1892">
        <f>D1892*C1892</f>
        <v>0</v>
      </c>
      <c r="F1892" s="1" t="s">
        <v>5484</v>
      </c>
      <c r="G1892" s="17">
        <v>75142</v>
      </c>
    </row>
    <row r="1893" spans="1:7">
      <c r="A1893" s="1" t="s">
        <v>5485</v>
      </c>
      <c r="B1893" s="1" t="s">
        <v>5486</v>
      </c>
      <c r="C1893">
        <f>(1-(B7/100))*143.18</f>
        <v>143.18</v>
      </c>
      <c r="D1893" s="1">
        <v>0</v>
      </c>
      <c r="E1893">
        <f>D1893*C1893</f>
        <v>0</v>
      </c>
      <c r="F1893" s="1" t="s">
        <v>5487</v>
      </c>
      <c r="G1893" s="17">
        <v>75143</v>
      </c>
    </row>
    <row r="1894" spans="1:7">
      <c r="A1894" s="1" t="s">
        <v>5488</v>
      </c>
      <c r="B1894" s="1" t="s">
        <v>5489</v>
      </c>
      <c r="C1894">
        <f>(1-(B7/100))*372.33</f>
        <v>372.33</v>
      </c>
      <c r="D1894" s="1">
        <v>0</v>
      </c>
      <c r="E1894">
        <f>D1894*C1894</f>
        <v>0</v>
      </c>
      <c r="F1894" s="1" t="s">
        <v>5490</v>
      </c>
      <c r="G1894" s="17">
        <v>75144</v>
      </c>
    </row>
    <row r="1895" spans="1:7">
      <c r="A1895" s="1" t="s">
        <v>5491</v>
      </c>
      <c r="B1895" s="1" t="s">
        <v>5492</v>
      </c>
      <c r="C1895">
        <f>(1-(B7/100))*46.85</f>
        <v>46.85</v>
      </c>
      <c r="D1895" s="1">
        <v>0</v>
      </c>
      <c r="E1895">
        <f>D1895*C1895</f>
        <v>0</v>
      </c>
      <c r="F1895" s="1" t="s">
        <v>5493</v>
      </c>
      <c r="G1895" s="17">
        <v>75145</v>
      </c>
    </row>
    <row r="1896" spans="1:7">
      <c r="A1896" s="1" t="s">
        <v>5494</v>
      </c>
      <c r="B1896" s="1" t="s">
        <v>5495</v>
      </c>
      <c r="C1896">
        <f>(1-(B7/100))*270.23</f>
        <v>270.23</v>
      </c>
      <c r="D1896" s="1">
        <v>0</v>
      </c>
      <c r="E1896">
        <f>D1896*C1896</f>
        <v>0</v>
      </c>
      <c r="F1896" s="1" t="s">
        <v>5496</v>
      </c>
      <c r="G1896" s="17">
        <v>75146</v>
      </c>
    </row>
    <row r="1897" spans="1:7">
      <c r="A1897" s="1" t="s">
        <v>5497</v>
      </c>
      <c r="B1897" s="1" t="s">
        <v>5498</v>
      </c>
      <c r="C1897">
        <f>(1-(B7/100))*744.57</f>
        <v>744.57</v>
      </c>
      <c r="D1897" s="1">
        <v>0</v>
      </c>
      <c r="E1897">
        <f>D1897*C1897</f>
        <v>0</v>
      </c>
      <c r="F1897" s="1" t="s">
        <v>5499</v>
      </c>
      <c r="G1897" s="17">
        <v>75147</v>
      </c>
    </row>
    <row r="1898" spans="1:7">
      <c r="A1898" s="1" t="s">
        <v>5500</v>
      </c>
      <c r="B1898" s="1" t="s">
        <v>5501</v>
      </c>
      <c r="C1898">
        <f>(1-(B7/100))*718.37</f>
        <v>718.37</v>
      </c>
      <c r="D1898" s="1">
        <v>0</v>
      </c>
      <c r="E1898">
        <f>D1898*C1898</f>
        <v>0</v>
      </c>
      <c r="F1898" s="1" t="s">
        <v>5502</v>
      </c>
      <c r="G1898" s="17">
        <v>75148</v>
      </c>
    </row>
    <row r="1899" spans="1:7">
      <c r="A1899" s="1" t="s">
        <v>5503</v>
      </c>
      <c r="B1899" s="1" t="s">
        <v>5504</v>
      </c>
      <c r="C1899">
        <f>(1-(B7/100))*3462.08</f>
        <v>3462.08</v>
      </c>
      <c r="D1899" s="1">
        <v>0</v>
      </c>
      <c r="E1899">
        <f>D1899*C1899</f>
        <v>0</v>
      </c>
      <c r="F1899" s="1" t="s">
        <v>5505</v>
      </c>
      <c r="G1899" s="17">
        <v>75149</v>
      </c>
    </row>
    <row r="1900" spans="1:7">
      <c r="A1900" s="1" t="s">
        <v>5506</v>
      </c>
      <c r="B1900" s="1" t="s">
        <v>5507</v>
      </c>
      <c r="C1900">
        <f>(1-(B7/100))*1302.81</f>
        <v>1302.81</v>
      </c>
      <c r="D1900" s="1">
        <v>0</v>
      </c>
      <c r="E1900">
        <f>D1900*C1900</f>
        <v>0</v>
      </c>
      <c r="F1900" s="1" t="s">
        <v>5508</v>
      </c>
      <c r="G1900" s="17">
        <v>75150</v>
      </c>
    </row>
    <row r="1901" spans="1:7">
      <c r="A1901" s="1" t="s">
        <v>5509</v>
      </c>
      <c r="B1901" s="1" t="s">
        <v>5510</v>
      </c>
      <c r="C1901">
        <f>(1-(B7/100))*244.63</f>
        <v>244.63</v>
      </c>
      <c r="D1901" s="1">
        <v>0</v>
      </c>
      <c r="E1901">
        <f>D1901*C1901</f>
        <v>0</v>
      </c>
      <c r="F1901" s="1" t="s">
        <v>5511</v>
      </c>
      <c r="G1901" s="17">
        <v>75151</v>
      </c>
    </row>
    <row r="1902" spans="1:7">
      <c r="A1902" s="1" t="s">
        <v>5512</v>
      </c>
      <c r="B1902" s="1" t="s">
        <v>5513</v>
      </c>
      <c r="C1902">
        <f>(1-(B7/100))*16.65</f>
        <v>16.65</v>
      </c>
      <c r="D1902" s="1">
        <v>0</v>
      </c>
      <c r="E1902">
        <f>D1902*C1902</f>
        <v>0</v>
      </c>
      <c r="F1902" s="1" t="s">
        <v>5514</v>
      </c>
      <c r="G1902" s="17">
        <v>75152</v>
      </c>
    </row>
    <row r="1903" spans="1:7">
      <c r="A1903" s="1" t="s">
        <v>5515</v>
      </c>
      <c r="B1903" s="1" t="s">
        <v>5516</v>
      </c>
      <c r="C1903">
        <f>(1-(B7/100))*54.7</f>
        <v>54.7</v>
      </c>
      <c r="D1903" s="1">
        <v>0</v>
      </c>
      <c r="E1903">
        <f>D1903*C1903</f>
        <v>0</v>
      </c>
      <c r="F1903" s="1" t="s">
        <v>5517</v>
      </c>
      <c r="G1903" s="17">
        <v>75153</v>
      </c>
    </row>
    <row r="1904" spans="1:7">
      <c r="A1904" s="1" t="s">
        <v>5518</v>
      </c>
      <c r="B1904" s="1" t="s">
        <v>5519</v>
      </c>
      <c r="C1904">
        <f>(1-(B7/100))*114.66</f>
        <v>114.66</v>
      </c>
      <c r="D1904" s="1">
        <v>0</v>
      </c>
      <c r="E1904">
        <f>D1904*C1904</f>
        <v>0</v>
      </c>
      <c r="F1904" s="1" t="s">
        <v>5520</v>
      </c>
      <c r="G1904" s="17">
        <v>75155</v>
      </c>
    </row>
    <row r="1905" spans="1:7">
      <c r="A1905" s="1" t="s">
        <v>5521</v>
      </c>
      <c r="B1905" s="1" t="s">
        <v>5522</v>
      </c>
      <c r="C1905">
        <f>(1-(B7/100))*118.39</f>
        <v>118.39</v>
      </c>
      <c r="D1905" s="1">
        <v>0</v>
      </c>
      <c r="E1905">
        <f>D1905*C1905</f>
        <v>0</v>
      </c>
      <c r="F1905" s="1" t="s">
        <v>5523</v>
      </c>
      <c r="G1905" s="17">
        <v>75156</v>
      </c>
    </row>
    <row r="1906" spans="1:7">
      <c r="A1906" s="1" t="s">
        <v>5524</v>
      </c>
      <c r="B1906" s="1" t="s">
        <v>5525</v>
      </c>
      <c r="C1906">
        <f>(1-(B7/100))*155.96</f>
        <v>155.96</v>
      </c>
      <c r="D1906" s="1">
        <v>0</v>
      </c>
      <c r="E1906">
        <f>D1906*C1906</f>
        <v>0</v>
      </c>
      <c r="F1906" s="1" t="s">
        <v>5526</v>
      </c>
      <c r="G1906" s="17">
        <v>75157</v>
      </c>
    </row>
    <row r="1907" spans="1:7">
      <c r="A1907" s="1" t="s">
        <v>5527</v>
      </c>
      <c r="B1907" s="1" t="s">
        <v>5528</v>
      </c>
      <c r="C1907">
        <f>(1-(B7/100))*109.46</f>
        <v>109.46</v>
      </c>
      <c r="D1907" s="1">
        <v>0</v>
      </c>
      <c r="E1907">
        <f>D1907*C1907</f>
        <v>0</v>
      </c>
      <c r="F1907" s="1" t="s">
        <v>5529</v>
      </c>
      <c r="G1907" s="17">
        <v>75158</v>
      </c>
    </row>
    <row r="1908" spans="1:7">
      <c r="A1908" s="1" t="s">
        <v>5530</v>
      </c>
      <c r="B1908" s="1" t="s">
        <v>5531</v>
      </c>
      <c r="C1908">
        <f>(1-(B7/100))*170.34</f>
        <v>170.34</v>
      </c>
      <c r="D1908" s="1">
        <v>0</v>
      </c>
      <c r="E1908">
        <f>D1908*C1908</f>
        <v>0</v>
      </c>
      <c r="F1908" s="1" t="s">
        <v>5532</v>
      </c>
      <c r="G1908" s="17">
        <v>75159</v>
      </c>
    </row>
    <row r="1909" spans="1:7">
      <c r="A1909" s="1" t="s">
        <v>5533</v>
      </c>
      <c r="B1909" s="1" t="s">
        <v>5534</v>
      </c>
      <c r="C1909">
        <f>(1-(B7/100))*296.79</f>
        <v>296.79</v>
      </c>
      <c r="D1909" s="1">
        <v>0</v>
      </c>
      <c r="E1909">
        <f>D1909*C1909</f>
        <v>0</v>
      </c>
      <c r="F1909" s="1" t="s">
        <v>5535</v>
      </c>
      <c r="G1909" s="17">
        <v>75160</v>
      </c>
    </row>
    <row r="1910" spans="1:7">
      <c r="A1910" s="1" t="s">
        <v>5536</v>
      </c>
      <c r="B1910" s="1" t="s">
        <v>5537</v>
      </c>
      <c r="C1910">
        <f>(1-(B7/100))*296.79</f>
        <v>296.79</v>
      </c>
      <c r="D1910" s="1">
        <v>0</v>
      </c>
      <c r="E1910">
        <f>D1910*C1910</f>
        <v>0</v>
      </c>
      <c r="F1910" s="1" t="s">
        <v>5538</v>
      </c>
      <c r="G1910" s="17">
        <v>75161</v>
      </c>
    </row>
    <row r="1911" spans="1:7">
      <c r="A1911" s="1" t="s">
        <v>5539</v>
      </c>
      <c r="B1911" s="1" t="s">
        <v>5540</v>
      </c>
      <c r="C1911">
        <f>(1-(B7/100))*13.44</f>
        <v>13.44</v>
      </c>
      <c r="D1911" s="1">
        <v>0</v>
      </c>
      <c r="E1911">
        <f>D1911*C1911</f>
        <v>0</v>
      </c>
      <c r="F1911" s="1" t="s">
        <v>5541</v>
      </c>
      <c r="G1911" s="17">
        <v>75162</v>
      </c>
    </row>
    <row r="1912" spans="1:7">
      <c r="A1912" s="1" t="s">
        <v>5542</v>
      </c>
      <c r="B1912" s="1" t="s">
        <v>5543</v>
      </c>
      <c r="C1912">
        <f>(1-(B7/100))*59.25</f>
        <v>59.25</v>
      </c>
      <c r="D1912" s="1">
        <v>0</v>
      </c>
      <c r="E1912">
        <f>D1912*C1912</f>
        <v>0</v>
      </c>
      <c r="F1912" s="1" t="s">
        <v>5544</v>
      </c>
      <c r="G1912" s="17">
        <v>75163</v>
      </c>
    </row>
    <row r="1913" spans="1:7">
      <c r="A1913" s="1" t="s">
        <v>5545</v>
      </c>
      <c r="B1913" s="1" t="s">
        <v>5546</v>
      </c>
      <c r="C1913">
        <f>(1-(B7/100))*1887.39</f>
        <v>1887.39</v>
      </c>
      <c r="D1913" s="1">
        <v>0</v>
      </c>
      <c r="E1913">
        <f>D1913*C1913</f>
        <v>0</v>
      </c>
      <c r="F1913" s="1" t="s">
        <v>5547</v>
      </c>
      <c r="G1913" s="17">
        <v>75164</v>
      </c>
    </row>
    <row r="1914" spans="1:7">
      <c r="A1914" s="1" t="s">
        <v>5548</v>
      </c>
      <c r="B1914" s="1" t="s">
        <v>5549</v>
      </c>
      <c r="C1914">
        <f>(1-(B7/100))*26.92</f>
        <v>26.92</v>
      </c>
      <c r="D1914" s="1">
        <v>0</v>
      </c>
      <c r="E1914">
        <f>D1914*C1914</f>
        <v>0</v>
      </c>
      <c r="F1914" s="1" t="s">
        <v>5550</v>
      </c>
      <c r="G1914" s="17">
        <v>75165</v>
      </c>
    </row>
    <row r="1915" spans="1:7">
      <c r="A1915" s="1" t="s">
        <v>5551</v>
      </c>
      <c r="B1915" s="1" t="s">
        <v>5552</v>
      </c>
      <c r="C1915">
        <f>(1-(B7/100))*51.08</f>
        <v>51.08</v>
      </c>
      <c r="D1915" s="1">
        <v>0</v>
      </c>
      <c r="E1915">
        <f>D1915*C1915</f>
        <v>0</v>
      </c>
      <c r="F1915" s="1" t="s">
        <v>5553</v>
      </c>
      <c r="G1915" s="17">
        <v>75166</v>
      </c>
    </row>
    <row r="1916" spans="1:7">
      <c r="A1916" s="1" t="s">
        <v>5554</v>
      </c>
      <c r="B1916" s="1" t="s">
        <v>5555</v>
      </c>
      <c r="C1916">
        <f>(1-(B7/100))*6.64</f>
        <v>6.64</v>
      </c>
      <c r="D1916" s="1">
        <v>0</v>
      </c>
      <c r="E1916">
        <f>D1916*C1916</f>
        <v>0</v>
      </c>
      <c r="F1916" s="1" t="s">
        <v>5556</v>
      </c>
      <c r="G1916" s="17">
        <v>75167</v>
      </c>
    </row>
    <row r="1917" spans="1:7">
      <c r="A1917" s="1" t="s">
        <v>5557</v>
      </c>
      <c r="B1917" s="1" t="s">
        <v>5558</v>
      </c>
      <c r="C1917">
        <f>(1-(B7/100))*18.98</f>
        <v>18.98</v>
      </c>
      <c r="D1917" s="1">
        <v>0</v>
      </c>
      <c r="E1917">
        <f>D1917*C1917</f>
        <v>0</v>
      </c>
      <c r="F1917" s="1" t="s">
        <v>5559</v>
      </c>
      <c r="G1917" s="17">
        <v>75168</v>
      </c>
    </row>
    <row r="1918" spans="1:7">
      <c r="A1918" s="1" t="s">
        <v>5560</v>
      </c>
      <c r="B1918" s="1" t="s">
        <v>5561</v>
      </c>
      <c r="C1918">
        <f>(1-(B7/100))*220.32</f>
        <v>220.32</v>
      </c>
      <c r="D1918" s="1">
        <v>0</v>
      </c>
      <c r="E1918">
        <f>D1918*C1918</f>
        <v>0</v>
      </c>
      <c r="F1918" s="1" t="s">
        <v>5562</v>
      </c>
      <c r="G1918" s="17">
        <v>75169</v>
      </c>
    </row>
    <row r="1919" spans="1:7">
      <c r="A1919" s="1" t="s">
        <v>5563</v>
      </c>
      <c r="B1919" s="1" t="s">
        <v>5564</v>
      </c>
      <c r="C1919">
        <f>(1-(B7/100))*129.24</f>
        <v>129.24</v>
      </c>
      <c r="D1919" s="1">
        <v>0</v>
      </c>
      <c r="E1919">
        <f>D1919*C1919</f>
        <v>0</v>
      </c>
      <c r="F1919" s="1" t="s">
        <v>5565</v>
      </c>
      <c r="G1919" s="17">
        <v>75173</v>
      </c>
    </row>
    <row r="1920" spans="1:7">
      <c r="A1920" s="1" t="s">
        <v>5566</v>
      </c>
      <c r="B1920" s="1" t="s">
        <v>5567</v>
      </c>
      <c r="C1920">
        <f>(1-(B7/100))*130.29</f>
        <v>130.29</v>
      </c>
      <c r="D1920" s="1">
        <v>0</v>
      </c>
      <c r="E1920">
        <f>D1920*C1920</f>
        <v>0</v>
      </c>
      <c r="F1920" s="1" t="s">
        <v>5568</v>
      </c>
      <c r="G1920" s="17">
        <v>75174</v>
      </c>
    </row>
    <row r="1921" spans="1:7">
      <c r="A1921" s="1" t="s">
        <v>5569</v>
      </c>
      <c r="B1921" s="1" t="s">
        <v>5570</v>
      </c>
      <c r="C1921">
        <f>(1-(B7/100))*347.59</f>
        <v>347.59</v>
      </c>
      <c r="D1921" s="1">
        <v>0</v>
      </c>
      <c r="E1921">
        <f>D1921*C1921</f>
        <v>0</v>
      </c>
      <c r="F1921" s="1" t="s">
        <v>5571</v>
      </c>
      <c r="G1921" s="17">
        <v>75178</v>
      </c>
    </row>
    <row r="1922" spans="1:7">
      <c r="A1922" s="1" t="s">
        <v>5572</v>
      </c>
      <c r="B1922" s="1" t="s">
        <v>5573</v>
      </c>
      <c r="C1922">
        <f>(1-(B7/100))*366.42</f>
        <v>366.42</v>
      </c>
      <c r="D1922" s="1">
        <v>0</v>
      </c>
      <c r="E1922">
        <f>D1922*C1922</f>
        <v>0</v>
      </c>
      <c r="F1922" s="1" t="s">
        <v>5574</v>
      </c>
      <c r="G1922" s="17">
        <v>75179</v>
      </c>
    </row>
    <row r="1923" spans="1:7">
      <c r="A1923" s="1" t="s">
        <v>5575</v>
      </c>
      <c r="B1923" s="1" t="s">
        <v>5576</v>
      </c>
      <c r="C1923">
        <f>(1-(B7/100))*86.58</f>
        <v>86.58</v>
      </c>
      <c r="D1923" s="1">
        <v>0</v>
      </c>
      <c r="E1923">
        <f>D1923*C1923</f>
        <v>0</v>
      </c>
      <c r="F1923" s="1" t="s">
        <v>5577</v>
      </c>
      <c r="G1923" s="17">
        <v>75180</v>
      </c>
    </row>
    <row r="1924" spans="1:7">
      <c r="A1924" s="1" t="s">
        <v>5578</v>
      </c>
      <c r="B1924" s="1" t="s">
        <v>5579</v>
      </c>
      <c r="C1924">
        <f>(1-(B7/100))*1319.54</f>
        <v>1319.54</v>
      </c>
      <c r="D1924" s="1">
        <v>0</v>
      </c>
      <c r="E1924">
        <f>D1924*C1924</f>
        <v>0</v>
      </c>
      <c r="F1924" s="1" t="s">
        <v>5580</v>
      </c>
      <c r="G1924" s="17">
        <v>75181</v>
      </c>
    </row>
    <row r="1925" spans="1:7">
      <c r="A1925" s="1" t="s">
        <v>5581</v>
      </c>
      <c r="B1925" s="1" t="s">
        <v>5582</v>
      </c>
      <c r="C1925">
        <f>(1-(B7/100))*1502.38</f>
        <v>1502.38</v>
      </c>
      <c r="D1925" s="1">
        <v>0</v>
      </c>
      <c r="E1925">
        <f>D1925*C1925</f>
        <v>0</v>
      </c>
      <c r="F1925" s="1" t="s">
        <v>5583</v>
      </c>
      <c r="G1925" s="17">
        <v>75183</v>
      </c>
    </row>
    <row r="1926" spans="1:7">
      <c r="A1926" s="1" t="s">
        <v>5584</v>
      </c>
      <c r="B1926" s="1" t="s">
        <v>5585</v>
      </c>
      <c r="C1926">
        <f>(1-(B7/100))*1293.7</f>
        <v>1293.7</v>
      </c>
      <c r="D1926" s="1">
        <v>0</v>
      </c>
      <c r="E1926">
        <f>D1926*C1926</f>
        <v>0</v>
      </c>
      <c r="F1926" s="1" t="s">
        <v>5586</v>
      </c>
      <c r="G1926" s="17">
        <v>75184</v>
      </c>
    </row>
    <row r="1927" spans="1:7">
      <c r="A1927" s="1" t="s">
        <v>5587</v>
      </c>
      <c r="B1927" s="1" t="s">
        <v>5588</v>
      </c>
      <c r="C1927">
        <f>(1-(B7/100))*1293.7</f>
        <v>1293.7</v>
      </c>
      <c r="D1927" s="1">
        <v>0</v>
      </c>
      <c r="E1927">
        <f>D1927*C1927</f>
        <v>0</v>
      </c>
      <c r="F1927" s="1" t="s">
        <v>5589</v>
      </c>
      <c r="G1927" s="17">
        <v>75185</v>
      </c>
    </row>
    <row r="1928" spans="1:7">
      <c r="A1928" s="1" t="s">
        <v>5590</v>
      </c>
      <c r="B1928" s="1" t="s">
        <v>5591</v>
      </c>
      <c r="C1928">
        <f>(1-(B7/100))*922.69</f>
        <v>922.69</v>
      </c>
      <c r="D1928" s="1">
        <v>0</v>
      </c>
      <c r="E1928">
        <f>D1928*C1928</f>
        <v>0</v>
      </c>
      <c r="F1928" s="1" t="s">
        <v>5592</v>
      </c>
      <c r="G1928" s="17">
        <v>75186</v>
      </c>
    </row>
    <row r="1929" spans="1:7">
      <c r="A1929" s="1" t="s">
        <v>5593</v>
      </c>
      <c r="B1929" s="1" t="s">
        <v>5594</v>
      </c>
      <c r="C1929">
        <f>(1-(B7/100))*922.69</f>
        <v>922.69</v>
      </c>
      <c r="D1929" s="1">
        <v>0</v>
      </c>
      <c r="E1929">
        <f>D1929*C1929</f>
        <v>0</v>
      </c>
      <c r="F1929" s="1" t="s">
        <v>5595</v>
      </c>
      <c r="G1929" s="17">
        <v>75187</v>
      </c>
    </row>
    <row r="1930" spans="1:7">
      <c r="A1930" s="1" t="s">
        <v>5596</v>
      </c>
      <c r="B1930" s="1" t="s">
        <v>5597</v>
      </c>
      <c r="C1930">
        <f>(1-(B7/100))*922.69</f>
        <v>922.69</v>
      </c>
      <c r="D1930" s="1">
        <v>0</v>
      </c>
      <c r="E1930">
        <f>D1930*C1930</f>
        <v>0</v>
      </c>
      <c r="F1930" s="1" t="s">
        <v>5598</v>
      </c>
      <c r="G1930" s="17">
        <v>75188</v>
      </c>
    </row>
    <row r="1931" spans="1:7">
      <c r="A1931" s="1" t="s">
        <v>5599</v>
      </c>
      <c r="B1931" s="1" t="s">
        <v>5600</v>
      </c>
      <c r="C1931">
        <f>(1-(B7/100))*922.69</f>
        <v>922.69</v>
      </c>
      <c r="D1931" s="1">
        <v>0</v>
      </c>
      <c r="E1931">
        <f>D1931*C1931</f>
        <v>0</v>
      </c>
      <c r="F1931" s="1" t="s">
        <v>5601</v>
      </c>
      <c r="G1931" s="17">
        <v>75189</v>
      </c>
    </row>
    <row r="1932" spans="1:7">
      <c r="A1932" s="1" t="s">
        <v>5602</v>
      </c>
      <c r="B1932" s="1" t="s">
        <v>5603</v>
      </c>
      <c r="C1932">
        <f>(1-(B7/100))*922.69</f>
        <v>922.69</v>
      </c>
      <c r="D1932" s="1">
        <v>0</v>
      </c>
      <c r="E1932">
        <f>D1932*C1932</f>
        <v>0</v>
      </c>
      <c r="F1932" s="1" t="s">
        <v>5604</v>
      </c>
      <c r="G1932" s="17">
        <v>75190</v>
      </c>
    </row>
    <row r="1933" spans="1:7">
      <c r="A1933" s="1" t="s">
        <v>5605</v>
      </c>
      <c r="B1933" s="1" t="s">
        <v>5606</v>
      </c>
      <c r="C1933">
        <f>(1-(B7/100))*211.54</f>
        <v>211.54</v>
      </c>
      <c r="D1933" s="1">
        <v>0</v>
      </c>
      <c r="E1933">
        <f>D1933*C1933</f>
        <v>0</v>
      </c>
      <c r="F1933" s="1" t="s">
        <v>5607</v>
      </c>
      <c r="G1933" s="17">
        <v>75191</v>
      </c>
    </row>
    <row r="1934" spans="1:7">
      <c r="A1934" s="1" t="s">
        <v>5608</v>
      </c>
      <c r="B1934" s="1" t="s">
        <v>5609</v>
      </c>
      <c r="C1934">
        <f>(1-(B7/100))*211.54</f>
        <v>211.54</v>
      </c>
      <c r="D1934" s="1">
        <v>0</v>
      </c>
      <c r="E1934">
        <f>D1934*C1934</f>
        <v>0</v>
      </c>
      <c r="F1934" s="1" t="s">
        <v>5610</v>
      </c>
      <c r="G1934" s="17">
        <v>75192</v>
      </c>
    </row>
    <row r="1935" spans="1:7">
      <c r="A1935" s="1" t="s">
        <v>5611</v>
      </c>
      <c r="B1935" s="1" t="s">
        <v>5612</v>
      </c>
      <c r="C1935">
        <f>(1-(B7/100))*201.1</f>
        <v>201.1</v>
      </c>
      <c r="D1935" s="1">
        <v>0</v>
      </c>
      <c r="E1935">
        <f>D1935*C1935</f>
        <v>0</v>
      </c>
      <c r="F1935" s="1" t="s">
        <v>5613</v>
      </c>
      <c r="G1935" s="17">
        <v>75193</v>
      </c>
    </row>
    <row r="1936" spans="1:7">
      <c r="A1936" s="1" t="s">
        <v>5614</v>
      </c>
      <c r="B1936" s="1" t="s">
        <v>5615</v>
      </c>
      <c r="C1936">
        <f>(1-(B7/100))*201.1</f>
        <v>201.1</v>
      </c>
      <c r="D1936" s="1">
        <v>0</v>
      </c>
      <c r="E1936">
        <f>D1936*C1936</f>
        <v>0</v>
      </c>
      <c r="F1936" s="1" t="s">
        <v>5616</v>
      </c>
      <c r="G1936" s="17">
        <v>75194</v>
      </c>
    </row>
    <row r="1937" spans="1:7">
      <c r="A1937" s="1" t="s">
        <v>5617</v>
      </c>
      <c r="B1937" s="1" t="s">
        <v>5618</v>
      </c>
      <c r="C1937">
        <f>(1-(B7/100))*211.54</f>
        <v>211.54</v>
      </c>
      <c r="D1937" s="1">
        <v>0</v>
      </c>
      <c r="E1937">
        <f>D1937*C1937</f>
        <v>0</v>
      </c>
      <c r="F1937" s="1" t="s">
        <v>5619</v>
      </c>
      <c r="G1937" s="17">
        <v>75195</v>
      </c>
    </row>
    <row r="1938" spans="1:7">
      <c r="A1938" s="1" t="s">
        <v>5620</v>
      </c>
      <c r="B1938" s="1" t="s">
        <v>5621</v>
      </c>
      <c r="C1938">
        <f>(1-(B7/100))*211.54</f>
        <v>211.54</v>
      </c>
      <c r="D1938" s="1">
        <v>0</v>
      </c>
      <c r="E1938">
        <f>D1938*C1938</f>
        <v>0</v>
      </c>
      <c r="F1938" s="1" t="s">
        <v>5622</v>
      </c>
      <c r="G1938" s="17">
        <v>75196</v>
      </c>
    </row>
    <row r="1939" spans="1:7">
      <c r="A1939" s="1" t="s">
        <v>5623</v>
      </c>
      <c r="B1939" s="1" t="s">
        <v>5624</v>
      </c>
      <c r="C1939">
        <f>(1-(B7/100))*154.59</f>
        <v>154.59</v>
      </c>
      <c r="D1939" s="1">
        <v>0</v>
      </c>
      <c r="E1939">
        <f>D1939*C1939</f>
        <v>0</v>
      </c>
      <c r="F1939" s="1" t="s">
        <v>5625</v>
      </c>
      <c r="G1939" s="17">
        <v>75197</v>
      </c>
    </row>
    <row r="1940" spans="1:7">
      <c r="A1940" s="1" t="s">
        <v>5626</v>
      </c>
      <c r="B1940" s="1" t="s">
        <v>5627</v>
      </c>
      <c r="C1940">
        <f>(1-(B7/100))*35.62</f>
        <v>35.62</v>
      </c>
      <c r="D1940" s="1">
        <v>0</v>
      </c>
      <c r="E1940">
        <f>D1940*C1940</f>
        <v>0</v>
      </c>
      <c r="F1940" s="1" t="s">
        <v>5628</v>
      </c>
      <c r="G1940" s="17">
        <v>75198</v>
      </c>
    </row>
    <row r="1941" spans="1:7">
      <c r="A1941" s="1" t="s">
        <v>5629</v>
      </c>
      <c r="B1941" s="1" t="s">
        <v>5630</v>
      </c>
      <c r="C1941">
        <f>(1-(B7/100))*107.96</f>
        <v>107.96</v>
      </c>
      <c r="D1941" s="1">
        <v>0</v>
      </c>
      <c r="E1941">
        <f>D1941*C1941</f>
        <v>0</v>
      </c>
      <c r="F1941" s="1" t="s">
        <v>5631</v>
      </c>
      <c r="G1941" s="17">
        <v>75199</v>
      </c>
    </row>
    <row r="1942" spans="1:7">
      <c r="A1942" s="1" t="s">
        <v>5632</v>
      </c>
      <c r="B1942" s="1" t="s">
        <v>5633</v>
      </c>
      <c r="C1942">
        <f>(1-(B7/100))*112.5</f>
        <v>112.5</v>
      </c>
      <c r="D1942" s="1">
        <v>0</v>
      </c>
      <c r="E1942">
        <f>D1942*C1942</f>
        <v>0</v>
      </c>
      <c r="F1942" s="1" t="s">
        <v>5634</v>
      </c>
      <c r="G1942" s="17">
        <v>75200</v>
      </c>
    </row>
    <row r="1943" spans="1:7">
      <c r="A1943" s="1" t="s">
        <v>5635</v>
      </c>
      <c r="B1943" s="1" t="s">
        <v>5636</v>
      </c>
      <c r="C1943">
        <f>(1-(B7/100))*53.51</f>
        <v>53.51</v>
      </c>
      <c r="D1943" s="1">
        <v>0</v>
      </c>
      <c r="E1943">
        <f>D1943*C1943</f>
        <v>0</v>
      </c>
      <c r="F1943" s="1" t="s">
        <v>5637</v>
      </c>
      <c r="G1943" s="17">
        <v>75201</v>
      </c>
    </row>
    <row r="1944" spans="1:7">
      <c r="A1944" s="1" t="s">
        <v>5638</v>
      </c>
      <c r="B1944" s="1" t="s">
        <v>5639</v>
      </c>
      <c r="C1944">
        <f>(1-(B7/100))*50.79</f>
        <v>50.79</v>
      </c>
      <c r="D1944" s="1">
        <v>0</v>
      </c>
      <c r="E1944">
        <f>D1944*C1944</f>
        <v>0</v>
      </c>
      <c r="F1944" s="1" t="s">
        <v>5640</v>
      </c>
      <c r="G1944" s="17">
        <v>75204</v>
      </c>
    </row>
    <row r="1945" spans="1:7">
      <c r="A1945" s="1" t="s">
        <v>5641</v>
      </c>
      <c r="B1945" s="1" t="s">
        <v>5642</v>
      </c>
      <c r="C1945">
        <f>(1-(B7/100))*52.57</f>
        <v>52.57</v>
      </c>
      <c r="D1945" s="1">
        <v>0</v>
      </c>
      <c r="E1945">
        <f>D1945*C1945</f>
        <v>0</v>
      </c>
      <c r="F1945" s="1" t="s">
        <v>5643</v>
      </c>
      <c r="G1945" s="17">
        <v>75205</v>
      </c>
    </row>
    <row r="1946" spans="1:7">
      <c r="A1946" s="1" t="s">
        <v>5644</v>
      </c>
      <c r="B1946" s="1" t="s">
        <v>5645</v>
      </c>
      <c r="C1946">
        <f>(1-(B7/100))*612.76</f>
        <v>612.76</v>
      </c>
      <c r="D1946" s="1">
        <v>0</v>
      </c>
      <c r="E1946">
        <f>D1946*C1946</f>
        <v>0</v>
      </c>
      <c r="F1946" s="1" t="s">
        <v>5646</v>
      </c>
      <c r="G1946" s="17">
        <v>75206</v>
      </c>
    </row>
    <row r="1947" spans="1:7">
      <c r="A1947" s="1" t="s">
        <v>5647</v>
      </c>
      <c r="B1947" s="1" t="s">
        <v>5648</v>
      </c>
      <c r="C1947">
        <f>(1-(B7/100))*267.55</f>
        <v>267.55</v>
      </c>
      <c r="D1947" s="1">
        <v>0</v>
      </c>
      <c r="E1947">
        <f>D1947*C1947</f>
        <v>0</v>
      </c>
      <c r="F1947" s="1" t="s">
        <v>5649</v>
      </c>
      <c r="G1947" s="17">
        <v>75207</v>
      </c>
    </row>
    <row r="1948" spans="1:7">
      <c r="A1948" s="1" t="s">
        <v>5650</v>
      </c>
      <c r="B1948" s="1" t="s">
        <v>5651</v>
      </c>
      <c r="C1948">
        <f>(1-(B7/100))*858.42</f>
        <v>858.42</v>
      </c>
      <c r="D1948" s="1">
        <v>0</v>
      </c>
      <c r="E1948">
        <f>D1948*C1948</f>
        <v>0</v>
      </c>
      <c r="F1948" s="1" t="s">
        <v>5652</v>
      </c>
      <c r="G1948" s="17">
        <v>75208</v>
      </c>
    </row>
    <row r="1949" spans="1:7">
      <c r="A1949" s="1" t="s">
        <v>5653</v>
      </c>
      <c r="B1949" s="1" t="s">
        <v>5654</v>
      </c>
      <c r="C1949">
        <f>(1-(B7/100))*672.95</f>
        <v>672.95</v>
      </c>
      <c r="D1949" s="1">
        <v>0</v>
      </c>
      <c r="E1949">
        <f>D1949*C1949</f>
        <v>0</v>
      </c>
      <c r="F1949" s="1" t="s">
        <v>5655</v>
      </c>
      <c r="G1949" s="17">
        <v>75209</v>
      </c>
    </row>
    <row r="1950" spans="1:7">
      <c r="A1950" s="1" t="s">
        <v>5656</v>
      </c>
      <c r="B1950" s="1" t="s">
        <v>5657</v>
      </c>
      <c r="C1950">
        <f>(1-(B7/100))*202.03</f>
        <v>202.03</v>
      </c>
      <c r="D1950" s="1">
        <v>0</v>
      </c>
      <c r="E1950">
        <f>D1950*C1950</f>
        <v>0</v>
      </c>
      <c r="F1950" s="1" t="s">
        <v>5658</v>
      </c>
      <c r="G1950" s="17">
        <v>75211</v>
      </c>
    </row>
    <row r="1951" spans="1:7">
      <c r="A1951" s="1" t="s">
        <v>5659</v>
      </c>
      <c r="B1951" s="1" t="s">
        <v>5660</v>
      </c>
      <c r="C1951">
        <f>(1-(B7/100))*852.76</f>
        <v>852.76</v>
      </c>
      <c r="D1951" s="1">
        <v>0</v>
      </c>
      <c r="E1951">
        <f>D1951*C1951</f>
        <v>0</v>
      </c>
      <c r="F1951" s="1" t="s">
        <v>5661</v>
      </c>
      <c r="G1951" s="17">
        <v>75213</v>
      </c>
    </row>
    <row r="1952" spans="1:7">
      <c r="A1952" s="1" t="s">
        <v>5662</v>
      </c>
      <c r="B1952" s="1" t="s">
        <v>5663</v>
      </c>
      <c r="C1952">
        <f>(1-(B7/100))*640.73</f>
        <v>640.73</v>
      </c>
      <c r="D1952" s="1">
        <v>0</v>
      </c>
      <c r="E1952">
        <f>D1952*C1952</f>
        <v>0</v>
      </c>
      <c r="F1952" s="1" t="s">
        <v>5664</v>
      </c>
      <c r="G1952" s="17">
        <v>75214</v>
      </c>
    </row>
    <row r="1953" spans="1:7">
      <c r="A1953" s="1" t="s">
        <v>5665</v>
      </c>
      <c r="B1953" s="1" t="s">
        <v>5666</v>
      </c>
      <c r="C1953">
        <f>(1-(B7/100))*201.95</f>
        <v>201.95</v>
      </c>
      <c r="D1953" s="1">
        <v>0</v>
      </c>
      <c r="E1953">
        <f>D1953*C1953</f>
        <v>0</v>
      </c>
      <c r="F1953" s="1" t="s">
        <v>5667</v>
      </c>
      <c r="G1953" s="17">
        <v>75217</v>
      </c>
    </row>
    <row r="1954" spans="1:7">
      <c r="A1954" s="1" t="s">
        <v>5668</v>
      </c>
      <c r="B1954" s="1" t="s">
        <v>5669</v>
      </c>
      <c r="C1954">
        <f>(1-(B7/100))*88.66</f>
        <v>88.66</v>
      </c>
      <c r="D1954" s="1">
        <v>0</v>
      </c>
      <c r="E1954">
        <f>D1954*C1954</f>
        <v>0</v>
      </c>
      <c r="F1954" s="1" t="s">
        <v>5670</v>
      </c>
      <c r="G1954" s="17">
        <v>75218</v>
      </c>
    </row>
    <row r="1955" spans="1:7">
      <c r="A1955" s="1" t="s">
        <v>5671</v>
      </c>
      <c r="B1955" s="1" t="s">
        <v>5672</v>
      </c>
      <c r="C1955">
        <f>(1-(B7/100))*1186.57</f>
        <v>1186.57</v>
      </c>
      <c r="D1955" s="1">
        <v>0</v>
      </c>
      <c r="E1955">
        <f>D1955*C1955</f>
        <v>0</v>
      </c>
      <c r="F1955" s="1" t="s">
        <v>5673</v>
      </c>
      <c r="G1955" s="17">
        <v>75219</v>
      </c>
    </row>
    <row r="1956" spans="1:7">
      <c r="A1956" s="1" t="s">
        <v>5674</v>
      </c>
      <c r="B1956" s="1" t="s">
        <v>5675</v>
      </c>
      <c r="C1956">
        <f>(1-(B7/100))*1190.2</f>
        <v>1190.2</v>
      </c>
      <c r="D1956" s="1">
        <v>0</v>
      </c>
      <c r="E1956">
        <f>D1956*C1956</f>
        <v>0</v>
      </c>
      <c r="F1956" s="1" t="s">
        <v>5676</v>
      </c>
      <c r="G1956" s="17">
        <v>75220</v>
      </c>
    </row>
    <row r="1957" spans="1:7">
      <c r="A1957" s="1" t="s">
        <v>5677</v>
      </c>
      <c r="B1957" s="1" t="s">
        <v>5678</v>
      </c>
      <c r="C1957">
        <f>(1-(B7/100))*326.42</f>
        <v>326.42</v>
      </c>
      <c r="D1957" s="1">
        <v>0</v>
      </c>
      <c r="E1957">
        <f>D1957*C1957</f>
        <v>0</v>
      </c>
      <c r="F1957" s="1" t="s">
        <v>5679</v>
      </c>
      <c r="G1957" s="17">
        <v>75222</v>
      </c>
    </row>
    <row r="1958" spans="1:7">
      <c r="A1958" s="1" t="s">
        <v>5680</v>
      </c>
      <c r="B1958" s="1" t="s">
        <v>5681</v>
      </c>
      <c r="C1958">
        <f>(1-(B7/100))*47.76</f>
        <v>47.76</v>
      </c>
      <c r="D1958" s="1">
        <v>0</v>
      </c>
      <c r="E1958">
        <f>D1958*C1958</f>
        <v>0</v>
      </c>
      <c r="F1958" s="1" t="s">
        <v>5682</v>
      </c>
      <c r="G1958" s="17">
        <v>75223</v>
      </c>
    </row>
    <row r="1959" spans="1:7">
      <c r="A1959" s="1" t="s">
        <v>5683</v>
      </c>
      <c r="B1959" s="1" t="s">
        <v>5684</v>
      </c>
      <c r="C1959">
        <f>(1-(B7/100))*15.43</f>
        <v>15.43</v>
      </c>
      <c r="D1959" s="1">
        <v>0</v>
      </c>
      <c r="E1959">
        <f>D1959*C1959</f>
        <v>0</v>
      </c>
      <c r="F1959" s="1" t="s">
        <v>5685</v>
      </c>
      <c r="G1959" s="17">
        <v>75224</v>
      </c>
    </row>
    <row r="1960" spans="1:7">
      <c r="A1960" s="1" t="s">
        <v>5686</v>
      </c>
      <c r="B1960" s="1" t="s">
        <v>5687</v>
      </c>
      <c r="C1960">
        <f>(1-(B7/100))*388.73</f>
        <v>388.73</v>
      </c>
      <c r="D1960" s="1">
        <v>0</v>
      </c>
      <c r="E1960">
        <f>D1960*C1960</f>
        <v>0</v>
      </c>
      <c r="F1960" s="1" t="s">
        <v>5688</v>
      </c>
      <c r="G1960" s="17">
        <v>75226</v>
      </c>
    </row>
    <row r="1961" spans="1:7">
      <c r="A1961" s="1" t="s">
        <v>5689</v>
      </c>
      <c r="B1961" s="1" t="s">
        <v>5690</v>
      </c>
      <c r="C1961">
        <f>(1-(B7/100))*3107.78</f>
        <v>3107.78</v>
      </c>
      <c r="D1961" s="1">
        <v>0</v>
      </c>
      <c r="E1961">
        <f>D1961*C1961</f>
        <v>0</v>
      </c>
      <c r="F1961" s="1" t="s">
        <v>5691</v>
      </c>
      <c r="G1961" s="17">
        <v>75227</v>
      </c>
    </row>
    <row r="1962" spans="1:7">
      <c r="A1962" s="1" t="s">
        <v>5692</v>
      </c>
      <c r="B1962" s="1" t="s">
        <v>5693</v>
      </c>
      <c r="C1962">
        <f>(1-(B7/100))*156.63</f>
        <v>156.63</v>
      </c>
      <c r="D1962" s="1">
        <v>0</v>
      </c>
      <c r="E1962">
        <f>D1962*C1962</f>
        <v>0</v>
      </c>
      <c r="F1962" s="1" t="s">
        <v>5694</v>
      </c>
      <c r="G1962" s="17">
        <v>75229</v>
      </c>
    </row>
    <row r="1963" spans="1:7">
      <c r="A1963" s="1" t="s">
        <v>5695</v>
      </c>
      <c r="B1963" s="1" t="s">
        <v>5696</v>
      </c>
      <c r="C1963">
        <f>(1-(B7/100))*11.05</f>
        <v>11.05</v>
      </c>
      <c r="D1963" s="1">
        <v>0</v>
      </c>
      <c r="E1963">
        <f>D1963*C1963</f>
        <v>0</v>
      </c>
      <c r="F1963" s="1" t="s">
        <v>5697</v>
      </c>
      <c r="G1963" s="17">
        <v>75230</v>
      </c>
    </row>
    <row r="1964" spans="1:7">
      <c r="A1964" s="1" t="s">
        <v>5698</v>
      </c>
      <c r="B1964" s="1" t="s">
        <v>5699</v>
      </c>
      <c r="C1964">
        <f>(1-(B7/100))*57.28</f>
        <v>57.28</v>
      </c>
      <c r="D1964" s="1">
        <v>0</v>
      </c>
      <c r="E1964">
        <f>D1964*C1964</f>
        <v>0</v>
      </c>
      <c r="F1964" s="1" t="s">
        <v>5700</v>
      </c>
      <c r="G1964" s="17">
        <v>75231</v>
      </c>
    </row>
    <row r="1965" spans="1:7">
      <c r="A1965" s="1" t="s">
        <v>5701</v>
      </c>
      <c r="B1965" s="1" t="s">
        <v>5702</v>
      </c>
      <c r="C1965">
        <f>(1-(B7/100))*57.28</f>
        <v>57.28</v>
      </c>
      <c r="D1965" s="1">
        <v>0</v>
      </c>
      <c r="E1965">
        <f>D1965*C1965</f>
        <v>0</v>
      </c>
      <c r="F1965" s="1" t="s">
        <v>5703</v>
      </c>
      <c r="G1965" s="17">
        <v>75232</v>
      </c>
    </row>
    <row r="1966" spans="1:7">
      <c r="A1966" s="1" t="s">
        <v>5704</v>
      </c>
      <c r="B1966" s="1" t="s">
        <v>5705</v>
      </c>
      <c r="C1966">
        <f>(1-(B7/100))*130.67</f>
        <v>130.67</v>
      </c>
      <c r="D1966" s="1">
        <v>0</v>
      </c>
      <c r="E1966">
        <f>D1966*C1966</f>
        <v>0</v>
      </c>
      <c r="F1966" s="1" t="s">
        <v>5706</v>
      </c>
      <c r="G1966" s="17">
        <v>75235</v>
      </c>
    </row>
    <row r="1967" spans="1:7">
      <c r="A1967" s="1" t="s">
        <v>5707</v>
      </c>
      <c r="B1967" s="1" t="s">
        <v>5708</v>
      </c>
      <c r="C1967">
        <f>(1-(B7/100))*7.15</f>
        <v>7.15</v>
      </c>
      <c r="D1967" s="1">
        <v>0</v>
      </c>
      <c r="E1967">
        <f>D1967*C1967</f>
        <v>0</v>
      </c>
      <c r="F1967" s="1" t="s">
        <v>5709</v>
      </c>
      <c r="G1967" s="17">
        <v>75236</v>
      </c>
    </row>
    <row r="1968" spans="1:7">
      <c r="A1968" s="1" t="s">
        <v>5710</v>
      </c>
      <c r="B1968" s="1" t="s">
        <v>5711</v>
      </c>
      <c r="C1968">
        <f>(1-(B7/100))*260.27</f>
        <v>260.27</v>
      </c>
      <c r="D1968" s="1">
        <v>0</v>
      </c>
      <c r="E1968">
        <f>D1968*C1968</f>
        <v>0</v>
      </c>
      <c r="F1968" s="1" t="s">
        <v>5712</v>
      </c>
      <c r="G1968" s="17">
        <v>75237</v>
      </c>
    </row>
    <row r="1969" spans="1:7">
      <c r="A1969" s="1" t="s">
        <v>5713</v>
      </c>
      <c r="B1969" s="1" t="s">
        <v>5714</v>
      </c>
      <c r="C1969">
        <f>(1-(B7/100))*276.6</f>
        <v>276.6</v>
      </c>
      <c r="D1969" s="1">
        <v>0</v>
      </c>
      <c r="E1969">
        <f>D1969*C1969</f>
        <v>0</v>
      </c>
      <c r="F1969" s="1" t="s">
        <v>5715</v>
      </c>
      <c r="G1969" s="17">
        <v>75238</v>
      </c>
    </row>
    <row r="1970" spans="1:7">
      <c r="A1970" s="1" t="s">
        <v>5716</v>
      </c>
      <c r="B1970" s="1" t="s">
        <v>5717</v>
      </c>
      <c r="C1970">
        <f>(1-(B7/100))*29.47</f>
        <v>29.47</v>
      </c>
      <c r="D1970" s="1">
        <v>0</v>
      </c>
      <c r="E1970">
        <f>D1970*C1970</f>
        <v>0</v>
      </c>
      <c r="F1970" s="1" t="s">
        <v>5718</v>
      </c>
      <c r="G1970" s="17">
        <v>75240</v>
      </c>
    </row>
    <row r="1971" spans="1:7">
      <c r="A1971" s="1" t="s">
        <v>5719</v>
      </c>
      <c r="B1971" s="1" t="s">
        <v>5720</v>
      </c>
      <c r="C1971">
        <f>(1-(B7/100))*44.6</f>
        <v>44.6</v>
      </c>
      <c r="D1971" s="1">
        <v>0</v>
      </c>
      <c r="E1971">
        <f>D1971*C1971</f>
        <v>0</v>
      </c>
      <c r="F1971" s="1" t="s">
        <v>5721</v>
      </c>
      <c r="G1971" s="17">
        <v>75241</v>
      </c>
    </row>
    <row r="1972" spans="1:7">
      <c r="A1972" s="1" t="s">
        <v>5722</v>
      </c>
      <c r="B1972" s="1" t="s">
        <v>5723</v>
      </c>
      <c r="C1972">
        <f>(1-(B7/100))*118.98</f>
        <v>118.98</v>
      </c>
      <c r="D1972" s="1">
        <v>0</v>
      </c>
      <c r="E1972">
        <f>D1972*C1972</f>
        <v>0</v>
      </c>
      <c r="F1972" s="1" t="s">
        <v>5724</v>
      </c>
      <c r="G1972" s="17">
        <v>75242</v>
      </c>
    </row>
    <row r="1973" spans="1:7">
      <c r="A1973" s="1" t="s">
        <v>5725</v>
      </c>
      <c r="B1973" s="1" t="s">
        <v>5726</v>
      </c>
      <c r="C1973">
        <f>(1-(B7/100))*105.45</f>
        <v>105.45</v>
      </c>
      <c r="D1973" s="1">
        <v>0</v>
      </c>
      <c r="E1973">
        <f>D1973*C1973</f>
        <v>0</v>
      </c>
      <c r="F1973" s="1" t="s">
        <v>5727</v>
      </c>
      <c r="G1973" s="17">
        <v>75243</v>
      </c>
    </row>
    <row r="1974" spans="1:7">
      <c r="A1974" s="1" t="s">
        <v>5728</v>
      </c>
      <c r="B1974" s="1" t="s">
        <v>5729</v>
      </c>
      <c r="C1974">
        <f>(1-(B7/100))*46.85</f>
        <v>46.85</v>
      </c>
      <c r="D1974" s="1">
        <v>0</v>
      </c>
      <c r="E1974">
        <f>D1974*C1974</f>
        <v>0</v>
      </c>
      <c r="F1974" s="1" t="s">
        <v>5730</v>
      </c>
      <c r="G1974" s="17">
        <v>75244</v>
      </c>
    </row>
    <row r="1975" spans="1:7">
      <c r="A1975" s="1" t="s">
        <v>5731</v>
      </c>
      <c r="B1975" s="1" t="s">
        <v>5732</v>
      </c>
      <c r="C1975">
        <f>(1-(B7/100))*10.52</f>
        <v>10.52</v>
      </c>
      <c r="D1975" s="1">
        <v>0</v>
      </c>
      <c r="E1975">
        <f>D1975*C1975</f>
        <v>0</v>
      </c>
      <c r="F1975" s="1" t="s">
        <v>5733</v>
      </c>
      <c r="G1975" s="17">
        <v>75246</v>
      </c>
    </row>
    <row r="1976" spans="1:7">
      <c r="A1976" s="1" t="s">
        <v>5734</v>
      </c>
      <c r="B1976" s="1" t="s">
        <v>5735</v>
      </c>
      <c r="C1976">
        <f>(1-(B7/100))*10.05</f>
        <v>10.05</v>
      </c>
      <c r="D1976" s="1">
        <v>0</v>
      </c>
      <c r="E1976">
        <f>D1976*C1976</f>
        <v>0</v>
      </c>
      <c r="F1976" s="1" t="s">
        <v>5736</v>
      </c>
      <c r="G1976" s="17">
        <v>75247</v>
      </c>
    </row>
    <row r="1977" spans="1:7">
      <c r="A1977" s="1" t="s">
        <v>5737</v>
      </c>
      <c r="B1977" s="1" t="s">
        <v>5738</v>
      </c>
      <c r="C1977">
        <f>(1-(B7/100))*14.48</f>
        <v>14.48</v>
      </c>
      <c r="D1977" s="1">
        <v>0</v>
      </c>
      <c r="E1977">
        <f>D1977*C1977</f>
        <v>0</v>
      </c>
      <c r="F1977" s="1" t="s">
        <v>5739</v>
      </c>
      <c r="G1977" s="17">
        <v>75248</v>
      </c>
    </row>
    <row r="1978" spans="1:7">
      <c r="A1978" s="1" t="s">
        <v>5740</v>
      </c>
      <c r="B1978" s="1" t="s">
        <v>5741</v>
      </c>
      <c r="C1978">
        <f>(1-(B7/100))*143.02</f>
        <v>143.02</v>
      </c>
      <c r="D1978" s="1">
        <v>0</v>
      </c>
      <c r="E1978">
        <f>D1978*C1978</f>
        <v>0</v>
      </c>
      <c r="F1978" s="1" t="s">
        <v>5742</v>
      </c>
      <c r="G1978" s="17">
        <v>75249</v>
      </c>
    </row>
    <row r="1979" spans="1:7">
      <c r="A1979" s="1" t="s">
        <v>5743</v>
      </c>
      <c r="B1979" s="1" t="s">
        <v>5744</v>
      </c>
      <c r="C1979">
        <f>(1-(B7/100))*101.9</f>
        <v>101.9</v>
      </c>
      <c r="D1979" s="1">
        <v>0</v>
      </c>
      <c r="E1979">
        <f>D1979*C1979</f>
        <v>0</v>
      </c>
      <c r="F1979" s="1" t="s">
        <v>5745</v>
      </c>
      <c r="G1979" s="17">
        <v>75252</v>
      </c>
    </row>
    <row r="1980" spans="1:7">
      <c r="A1980" s="1" t="s">
        <v>5746</v>
      </c>
      <c r="B1980" s="1" t="s">
        <v>5747</v>
      </c>
      <c r="C1980">
        <f>(1-(B7/100))*1453</f>
        <v>1453</v>
      </c>
      <c r="D1980" s="1">
        <v>0</v>
      </c>
      <c r="E1980">
        <f>D1980*C1980</f>
        <v>0</v>
      </c>
      <c r="F1980" s="1" t="s">
        <v>5748</v>
      </c>
      <c r="G1980" s="17">
        <v>75253</v>
      </c>
    </row>
    <row r="1981" spans="1:7">
      <c r="A1981" s="1" t="s">
        <v>5749</v>
      </c>
      <c r="B1981" s="1" t="s">
        <v>5750</v>
      </c>
      <c r="C1981">
        <f>(1-(B7/100))*100.8</f>
        <v>100.8</v>
      </c>
      <c r="D1981" s="1">
        <v>0</v>
      </c>
      <c r="E1981">
        <f>D1981*C1981</f>
        <v>0</v>
      </c>
      <c r="F1981" s="1" t="s">
        <v>5751</v>
      </c>
      <c r="G1981" s="17">
        <v>75255</v>
      </c>
    </row>
    <row r="1982" spans="1:7">
      <c r="A1982" s="1" t="s">
        <v>5752</v>
      </c>
      <c r="B1982" s="1" t="s">
        <v>5753</v>
      </c>
      <c r="C1982">
        <f>(1-(B7/100))*7.15</f>
        <v>7.15</v>
      </c>
      <c r="D1982" s="1">
        <v>0</v>
      </c>
      <c r="E1982">
        <f>D1982*C1982</f>
        <v>0</v>
      </c>
      <c r="F1982" s="1" t="s">
        <v>5754</v>
      </c>
      <c r="G1982" s="17">
        <v>75256</v>
      </c>
    </row>
    <row r="1983" spans="1:7">
      <c r="A1983" s="1" t="s">
        <v>5755</v>
      </c>
      <c r="B1983" s="1" t="s">
        <v>5756</v>
      </c>
      <c r="C1983">
        <f>(1-(B7/100))*100.06</f>
        <v>100.06</v>
      </c>
      <c r="D1983" s="1">
        <v>0</v>
      </c>
      <c r="E1983">
        <f>D1983*C1983</f>
        <v>0</v>
      </c>
      <c r="F1983" s="1" t="s">
        <v>5757</v>
      </c>
      <c r="G1983" s="17">
        <v>75258</v>
      </c>
    </row>
    <row r="1984" spans="1:7">
      <c r="A1984" s="1" t="s">
        <v>5758</v>
      </c>
      <c r="B1984" s="1" t="s">
        <v>5759</v>
      </c>
      <c r="C1984">
        <f>(1-(B7/100))*141.07</f>
        <v>141.07</v>
      </c>
      <c r="D1984" s="1">
        <v>0</v>
      </c>
      <c r="E1984">
        <f>D1984*C1984</f>
        <v>0</v>
      </c>
      <c r="F1984" s="1" t="s">
        <v>5760</v>
      </c>
      <c r="G1984" s="17">
        <v>75259</v>
      </c>
    </row>
    <row r="1985" spans="1:7">
      <c r="A1985" s="1" t="s">
        <v>5761</v>
      </c>
      <c r="B1985" s="1" t="s">
        <v>5762</v>
      </c>
      <c r="C1985">
        <f>(1-(B7/100))*47.76</f>
        <v>47.76</v>
      </c>
      <c r="D1985" s="1">
        <v>0</v>
      </c>
      <c r="E1985">
        <f>D1985*C1985</f>
        <v>0</v>
      </c>
      <c r="F1985" s="1" t="s">
        <v>5763</v>
      </c>
      <c r="G1985" s="17">
        <v>75260</v>
      </c>
    </row>
    <row r="1986" spans="1:7">
      <c r="A1986" s="1" t="s">
        <v>5764</v>
      </c>
      <c r="B1986" s="1" t="s">
        <v>5765</v>
      </c>
      <c r="C1986">
        <f>(1-(B7/100))*206.08</f>
        <v>206.08</v>
      </c>
      <c r="D1986" s="1">
        <v>0</v>
      </c>
      <c r="E1986">
        <f>D1986*C1986</f>
        <v>0</v>
      </c>
      <c r="F1986" s="1" t="s">
        <v>5766</v>
      </c>
      <c r="G1986" s="17">
        <v>75262</v>
      </c>
    </row>
    <row r="1987" spans="1:7">
      <c r="A1987" s="1" t="s">
        <v>5767</v>
      </c>
      <c r="B1987" s="1" t="s">
        <v>5768</v>
      </c>
      <c r="C1987">
        <f>(1-(B7/100))*300.42</f>
        <v>300.42</v>
      </c>
      <c r="D1987" s="1">
        <v>0</v>
      </c>
      <c r="E1987">
        <f>D1987*C1987</f>
        <v>0</v>
      </c>
      <c r="F1987" s="1" t="s">
        <v>5769</v>
      </c>
      <c r="G1987" s="17">
        <v>75263</v>
      </c>
    </row>
    <row r="1988" spans="1:7">
      <c r="A1988" s="1" t="s">
        <v>5770</v>
      </c>
      <c r="B1988" s="1" t="s">
        <v>5771</v>
      </c>
      <c r="C1988">
        <f>(1-(B7/100))*285.09</f>
        <v>285.09</v>
      </c>
      <c r="D1988" s="1">
        <v>0</v>
      </c>
      <c r="E1988">
        <f>D1988*C1988</f>
        <v>0</v>
      </c>
      <c r="F1988" s="1" t="s">
        <v>5772</v>
      </c>
      <c r="G1988" s="17">
        <v>75271</v>
      </c>
    </row>
    <row r="1989" spans="1:7">
      <c r="A1989" s="1" t="s">
        <v>5773</v>
      </c>
      <c r="B1989" s="1" t="s">
        <v>5774</v>
      </c>
      <c r="C1989">
        <f>(1-(B7/100))*313.71</f>
        <v>313.71</v>
      </c>
      <c r="D1989" s="1">
        <v>0</v>
      </c>
      <c r="E1989">
        <f>D1989*C1989</f>
        <v>0</v>
      </c>
      <c r="F1989" s="1" t="s">
        <v>5775</v>
      </c>
      <c r="G1989" s="17">
        <v>75272</v>
      </c>
    </row>
    <row r="1990" spans="1:7">
      <c r="A1990" s="1" t="s">
        <v>5776</v>
      </c>
      <c r="B1990" s="1" t="s">
        <v>5777</v>
      </c>
      <c r="C1990">
        <f>(1-(B7/100))*118.37</f>
        <v>118.37</v>
      </c>
      <c r="D1990" s="1">
        <v>0</v>
      </c>
      <c r="E1990">
        <f>D1990*C1990</f>
        <v>0</v>
      </c>
      <c r="F1990" s="1" t="s">
        <v>5778</v>
      </c>
      <c r="G1990" s="17">
        <v>75273</v>
      </c>
    </row>
    <row r="1991" spans="1:7">
      <c r="A1991" s="1" t="s">
        <v>5779</v>
      </c>
      <c r="B1991" s="1" t="s">
        <v>5780</v>
      </c>
      <c r="C1991">
        <f>(1-(B7/100))*53.13</f>
        <v>53.13</v>
      </c>
      <c r="D1991" s="1">
        <v>0</v>
      </c>
      <c r="E1991">
        <f>D1991*C1991</f>
        <v>0</v>
      </c>
      <c r="F1991" s="1" t="s">
        <v>5781</v>
      </c>
      <c r="G1991" s="17">
        <v>75276</v>
      </c>
    </row>
    <row r="1992" spans="1:7">
      <c r="A1992" s="1" t="s">
        <v>5782</v>
      </c>
      <c r="B1992" s="1" t="s">
        <v>5783</v>
      </c>
      <c r="C1992">
        <f>(1-(B7/100))*65.37</f>
        <v>65.37</v>
      </c>
      <c r="D1992" s="1">
        <v>0</v>
      </c>
      <c r="E1992">
        <f>D1992*C1992</f>
        <v>0</v>
      </c>
      <c r="F1992" s="1" t="s">
        <v>5784</v>
      </c>
      <c r="G1992" s="17">
        <v>75282</v>
      </c>
    </row>
    <row r="1993" spans="1:7">
      <c r="A1993" s="1" t="s">
        <v>5785</v>
      </c>
      <c r="B1993" s="1" t="s">
        <v>5786</v>
      </c>
      <c r="C1993">
        <f>(1-(B7/100))*591.41</f>
        <v>591.41</v>
      </c>
      <c r="D1993" s="1">
        <v>0</v>
      </c>
      <c r="E1993">
        <f>D1993*C1993</f>
        <v>0</v>
      </c>
      <c r="F1993" s="1" t="s">
        <v>5787</v>
      </c>
      <c r="G1993" s="17">
        <v>75298</v>
      </c>
    </row>
    <row r="1994" spans="1:7">
      <c r="A1994" s="1" t="s">
        <v>5788</v>
      </c>
      <c r="B1994" s="1" t="s">
        <v>5789</v>
      </c>
      <c r="C1994">
        <f>(1-(B7/100))*56.52</f>
        <v>56.52</v>
      </c>
      <c r="D1994" s="1">
        <v>0</v>
      </c>
      <c r="E1994">
        <f>D1994*C1994</f>
        <v>0</v>
      </c>
      <c r="F1994" s="1" t="s">
        <v>5790</v>
      </c>
      <c r="G1994" s="17">
        <v>75303</v>
      </c>
    </row>
    <row r="1995" spans="1:7">
      <c r="A1995" s="1" t="s">
        <v>5791</v>
      </c>
      <c r="B1995" s="1" t="s">
        <v>5792</v>
      </c>
      <c r="C1995">
        <f>(1-(B7/100))*53.18</f>
        <v>53.18</v>
      </c>
      <c r="D1995" s="1">
        <v>0</v>
      </c>
      <c r="E1995">
        <f>D1995*C1995</f>
        <v>0</v>
      </c>
      <c r="F1995" s="1" t="s">
        <v>5793</v>
      </c>
      <c r="G1995" s="17">
        <v>75310</v>
      </c>
    </row>
    <row r="1996" spans="1:7">
      <c r="A1996" s="1" t="s">
        <v>5794</v>
      </c>
      <c r="B1996" s="1" t="s">
        <v>5795</v>
      </c>
      <c r="C1996">
        <f>(1-(B7/100))*154.1</f>
        <v>154.1</v>
      </c>
      <c r="D1996" s="1">
        <v>0</v>
      </c>
      <c r="E1996">
        <f>D1996*C1996</f>
        <v>0</v>
      </c>
      <c r="F1996" s="1" t="s">
        <v>5796</v>
      </c>
      <c r="G1996" s="17">
        <v>75312</v>
      </c>
    </row>
    <row r="1997" spans="1:7">
      <c r="A1997" s="1" t="s">
        <v>5797</v>
      </c>
      <c r="B1997" s="1" t="s">
        <v>5798</v>
      </c>
      <c r="C1997">
        <f>(1-(B7/100))*250.57</f>
        <v>250.57</v>
      </c>
      <c r="D1997" s="1">
        <v>0</v>
      </c>
      <c r="E1997">
        <f>D1997*C1997</f>
        <v>0</v>
      </c>
      <c r="F1997" s="1" t="s">
        <v>5799</v>
      </c>
      <c r="G1997" s="17">
        <v>75313</v>
      </c>
    </row>
    <row r="1998" spans="1:7">
      <c r="A1998" s="1" t="s">
        <v>5800</v>
      </c>
      <c r="B1998" s="1" t="s">
        <v>5801</v>
      </c>
      <c r="C1998">
        <f>(1-(B7/100))*1685.64</f>
        <v>1685.64</v>
      </c>
      <c r="D1998" s="1">
        <v>0</v>
      </c>
      <c r="E1998">
        <f>D1998*C1998</f>
        <v>0</v>
      </c>
      <c r="F1998" s="1" t="s">
        <v>5802</v>
      </c>
      <c r="G1998" s="17">
        <v>75320</v>
      </c>
    </row>
    <row r="1999" spans="1:7">
      <c r="A1999" s="1" t="s">
        <v>5803</v>
      </c>
      <c r="B1999" s="1" t="s">
        <v>5804</v>
      </c>
      <c r="C1999">
        <f>(1-(B7/100))*14.36</f>
        <v>14.36</v>
      </c>
      <c r="D1999" s="1">
        <v>0</v>
      </c>
      <c r="E1999">
        <f>D1999*C1999</f>
        <v>0</v>
      </c>
      <c r="F1999" s="1" t="s">
        <v>5805</v>
      </c>
      <c r="G1999" s="17">
        <v>75321</v>
      </c>
    </row>
    <row r="2000" spans="1:7">
      <c r="A2000" s="1" t="s">
        <v>5806</v>
      </c>
      <c r="B2000" s="1" t="s">
        <v>5807</v>
      </c>
      <c r="C2000">
        <f>(1-(B7/100))*162.41</f>
        <v>162.41</v>
      </c>
      <c r="D2000" s="1">
        <v>0</v>
      </c>
      <c r="E2000">
        <f>D2000*C2000</f>
        <v>0</v>
      </c>
      <c r="F2000" s="1" t="s">
        <v>5808</v>
      </c>
      <c r="G2000" s="17">
        <v>75327</v>
      </c>
    </row>
    <row r="2001" spans="1:7">
      <c r="A2001" s="1" t="s">
        <v>5809</v>
      </c>
      <c r="B2001" s="1" t="s">
        <v>5810</v>
      </c>
      <c r="C2001">
        <f>(1-(B7/100))*115.23</f>
        <v>115.23</v>
      </c>
      <c r="D2001" s="1">
        <v>0</v>
      </c>
      <c r="E2001">
        <f>D2001*C2001</f>
        <v>0</v>
      </c>
      <c r="F2001" s="1" t="s">
        <v>5811</v>
      </c>
      <c r="G2001" s="17">
        <v>75331</v>
      </c>
    </row>
    <row r="2002" spans="1:7">
      <c r="A2002" s="1" t="s">
        <v>5812</v>
      </c>
      <c r="B2002" s="1" t="s">
        <v>5813</v>
      </c>
      <c r="C2002">
        <f>(1-(B7/100))*121.86</f>
        <v>121.86</v>
      </c>
      <c r="D2002" s="1">
        <v>0</v>
      </c>
      <c r="E2002">
        <f>D2002*C2002</f>
        <v>0</v>
      </c>
      <c r="F2002" s="1" t="s">
        <v>5814</v>
      </c>
      <c r="G2002" s="17">
        <v>75333</v>
      </c>
    </row>
    <row r="2003" spans="1:7">
      <c r="A2003" s="1" t="s">
        <v>5815</v>
      </c>
      <c r="B2003" s="1" t="s">
        <v>5816</v>
      </c>
      <c r="C2003">
        <f>(1-(B7/100))*55.62</f>
        <v>55.62</v>
      </c>
      <c r="D2003" s="1">
        <v>0</v>
      </c>
      <c r="E2003">
        <f>D2003*C2003</f>
        <v>0</v>
      </c>
      <c r="F2003" s="1" t="s">
        <v>5817</v>
      </c>
      <c r="G2003" s="17">
        <v>75334</v>
      </c>
    </row>
    <row r="2004" spans="1:7">
      <c r="A2004" s="1" t="s">
        <v>5818</v>
      </c>
      <c r="B2004" s="1" t="s">
        <v>5819</v>
      </c>
      <c r="C2004">
        <f>(1-(B7/100))*172.93</f>
        <v>172.93</v>
      </c>
      <c r="D2004" s="1">
        <v>0</v>
      </c>
      <c r="E2004">
        <f>D2004*C2004</f>
        <v>0</v>
      </c>
      <c r="F2004" s="1" t="s">
        <v>5820</v>
      </c>
      <c r="G2004" s="17">
        <v>75336</v>
      </c>
    </row>
    <row r="2005" spans="1:7">
      <c r="A2005" s="1" t="s">
        <v>5821</v>
      </c>
      <c r="B2005" s="1" t="s">
        <v>5822</v>
      </c>
      <c r="C2005">
        <f>(1-(B7/100))*177.05</f>
        <v>177.05</v>
      </c>
      <c r="D2005" s="1">
        <v>0</v>
      </c>
      <c r="E2005">
        <f>D2005*C2005</f>
        <v>0</v>
      </c>
      <c r="F2005" s="1" t="s">
        <v>5823</v>
      </c>
      <c r="G2005" s="17">
        <v>75337</v>
      </c>
    </row>
    <row r="2006" spans="1:7">
      <c r="A2006" s="1" t="s">
        <v>5824</v>
      </c>
      <c r="B2006" s="1" t="s">
        <v>5825</v>
      </c>
      <c r="C2006">
        <f>(1-(B7/100))*169.93</f>
        <v>169.93</v>
      </c>
      <c r="D2006" s="1">
        <v>0</v>
      </c>
      <c r="E2006">
        <f>D2006*C2006</f>
        <v>0</v>
      </c>
      <c r="F2006" s="1" t="s">
        <v>5826</v>
      </c>
      <c r="G2006" s="17">
        <v>75339</v>
      </c>
    </row>
    <row r="2007" spans="1:7">
      <c r="A2007" s="1" t="s">
        <v>5827</v>
      </c>
      <c r="B2007" s="1" t="s">
        <v>5828</v>
      </c>
      <c r="C2007">
        <f>(1-(B7/100))*13.44</f>
        <v>13.44</v>
      </c>
      <c r="D2007" s="1">
        <v>0</v>
      </c>
      <c r="E2007">
        <f>D2007*C2007</f>
        <v>0</v>
      </c>
      <c r="F2007" s="1" t="s">
        <v>5829</v>
      </c>
      <c r="G2007" s="17">
        <v>75340</v>
      </c>
    </row>
    <row r="2008" spans="1:7">
      <c r="A2008" s="1" t="s">
        <v>5830</v>
      </c>
      <c r="B2008" s="1" t="s">
        <v>5831</v>
      </c>
      <c r="C2008">
        <f>(1-(B7/100))*13.59</f>
        <v>13.59</v>
      </c>
      <c r="D2008" s="1">
        <v>0</v>
      </c>
      <c r="E2008">
        <f>D2008*C2008</f>
        <v>0</v>
      </c>
      <c r="F2008" s="1" t="s">
        <v>5832</v>
      </c>
      <c r="G2008" s="17">
        <v>75341</v>
      </c>
    </row>
    <row r="2009" spans="1:7">
      <c r="A2009" s="1" t="s">
        <v>5833</v>
      </c>
      <c r="B2009" s="1" t="s">
        <v>5834</v>
      </c>
      <c r="C2009">
        <f>(1-(B7/100))*493.75</f>
        <v>493.75</v>
      </c>
      <c r="D2009" s="1">
        <v>0</v>
      </c>
      <c r="E2009">
        <f>D2009*C2009</f>
        <v>0</v>
      </c>
      <c r="F2009" s="1" t="s">
        <v>5835</v>
      </c>
      <c r="G2009" s="17">
        <v>75342</v>
      </c>
    </row>
    <row r="2010" spans="1:7">
      <c r="A2010" s="1" t="s">
        <v>5836</v>
      </c>
      <c r="B2010" s="1" t="s">
        <v>5837</v>
      </c>
      <c r="C2010">
        <f>(1-(B7/100))*181.87</f>
        <v>181.87</v>
      </c>
      <c r="D2010" s="1">
        <v>0</v>
      </c>
      <c r="E2010">
        <f>D2010*C2010</f>
        <v>0</v>
      </c>
      <c r="F2010" s="1" t="s">
        <v>5838</v>
      </c>
      <c r="G2010" s="17">
        <v>75343</v>
      </c>
    </row>
    <row r="2011" spans="1:7">
      <c r="A2011" s="1" t="s">
        <v>5839</v>
      </c>
      <c r="B2011" s="1" t="s">
        <v>5840</v>
      </c>
      <c r="C2011">
        <f>(1-(B7/100))*167.73</f>
        <v>167.73</v>
      </c>
      <c r="D2011" s="1">
        <v>0</v>
      </c>
      <c r="E2011">
        <f>D2011*C2011</f>
        <v>0</v>
      </c>
      <c r="F2011" s="1" t="s">
        <v>5841</v>
      </c>
      <c r="G2011" s="17">
        <v>75344</v>
      </c>
    </row>
    <row r="2012" spans="1:7">
      <c r="A2012" s="1" t="s">
        <v>5842</v>
      </c>
      <c r="B2012" s="1" t="s">
        <v>5843</v>
      </c>
      <c r="C2012">
        <f>(1-(B7/100))*230.24</f>
        <v>230.24</v>
      </c>
      <c r="D2012" s="1">
        <v>0</v>
      </c>
      <c r="E2012">
        <f>D2012*C2012</f>
        <v>0</v>
      </c>
      <c r="F2012" s="1" t="s">
        <v>5844</v>
      </c>
      <c r="G2012" s="17">
        <v>75345</v>
      </c>
    </row>
    <row r="2013" spans="1:7">
      <c r="A2013" s="1" t="s">
        <v>5845</v>
      </c>
      <c r="B2013" s="1" t="s">
        <v>5846</v>
      </c>
      <c r="C2013">
        <f>(1-(B7/100))*917.2</f>
        <v>917.2</v>
      </c>
      <c r="D2013" s="1">
        <v>0</v>
      </c>
      <c r="E2013">
        <f>D2013*C2013</f>
        <v>0</v>
      </c>
      <c r="F2013" s="1" t="s">
        <v>5847</v>
      </c>
      <c r="G2013" s="17">
        <v>75347</v>
      </c>
    </row>
    <row r="2014" spans="1:7">
      <c r="A2014" s="1" t="s">
        <v>5848</v>
      </c>
      <c r="B2014" s="1" t="s">
        <v>5849</v>
      </c>
      <c r="C2014">
        <f>(1-(B7/100))*260.95</f>
        <v>260.95</v>
      </c>
      <c r="D2014" s="1">
        <v>0</v>
      </c>
      <c r="E2014">
        <f>D2014*C2014</f>
        <v>0</v>
      </c>
      <c r="F2014" s="1" t="s">
        <v>5850</v>
      </c>
      <c r="G2014" s="17">
        <v>75350</v>
      </c>
    </row>
    <row r="2015" spans="1:7">
      <c r="A2015" s="1" t="s">
        <v>5851</v>
      </c>
      <c r="B2015" s="1" t="s">
        <v>5852</v>
      </c>
      <c r="C2015">
        <f>(1-(B7/100))*673.22</f>
        <v>673.22</v>
      </c>
      <c r="D2015" s="1">
        <v>0</v>
      </c>
      <c r="E2015">
        <f>D2015*C2015</f>
        <v>0</v>
      </c>
      <c r="F2015" s="1" t="s">
        <v>5853</v>
      </c>
      <c r="G2015" s="17">
        <v>75353</v>
      </c>
    </row>
    <row r="2016" spans="1:7">
      <c r="A2016" s="1" t="s">
        <v>5854</v>
      </c>
      <c r="B2016" s="1" t="s">
        <v>5855</v>
      </c>
      <c r="C2016">
        <f>(1-(B7/100))*51.08</f>
        <v>51.08</v>
      </c>
      <c r="D2016" s="1">
        <v>0</v>
      </c>
      <c r="E2016">
        <f>D2016*C2016</f>
        <v>0</v>
      </c>
      <c r="F2016" s="1" t="s">
        <v>5856</v>
      </c>
      <c r="G2016" s="17">
        <v>75355</v>
      </c>
    </row>
    <row r="2017" spans="1:7">
      <c r="A2017" s="1" t="s">
        <v>5857</v>
      </c>
      <c r="B2017" s="1" t="s">
        <v>5858</v>
      </c>
      <c r="C2017">
        <f>(1-(B7/100))*567.84</f>
        <v>567.84</v>
      </c>
      <c r="D2017" s="1">
        <v>0</v>
      </c>
      <c r="E2017">
        <f>D2017*C2017</f>
        <v>0</v>
      </c>
      <c r="F2017" s="1" t="s">
        <v>5859</v>
      </c>
      <c r="G2017" s="17">
        <v>75356</v>
      </c>
    </row>
    <row r="2018" spans="1:7">
      <c r="A2018" s="1" t="s">
        <v>5860</v>
      </c>
      <c r="B2018" s="1" t="s">
        <v>5861</v>
      </c>
      <c r="C2018">
        <f>(1-(B7/100))*711.4</f>
        <v>711.4</v>
      </c>
      <c r="D2018" s="1">
        <v>0</v>
      </c>
      <c r="E2018">
        <f>D2018*C2018</f>
        <v>0</v>
      </c>
      <c r="F2018" s="1" t="s">
        <v>16</v>
      </c>
      <c r="G2018" s="17">
        <v>75358</v>
      </c>
    </row>
    <row r="2019" spans="1:7">
      <c r="A2019" s="1" t="s">
        <v>5862</v>
      </c>
      <c r="B2019" s="1" t="s">
        <v>5863</v>
      </c>
      <c r="C2019">
        <f>(1-(B7/100))*152.88</f>
        <v>152.88</v>
      </c>
      <c r="D2019" s="1">
        <v>0</v>
      </c>
      <c r="E2019">
        <f>D2019*C2019</f>
        <v>0</v>
      </c>
      <c r="F2019" s="1" t="s">
        <v>5864</v>
      </c>
      <c r="G2019" s="17">
        <v>75362</v>
      </c>
    </row>
    <row r="2020" spans="1:7">
      <c r="A2020" s="1" t="s">
        <v>5865</v>
      </c>
      <c r="B2020" s="1" t="s">
        <v>5866</v>
      </c>
      <c r="C2020">
        <f>(1-(B7/100))*352.94</f>
        <v>352.94</v>
      </c>
      <c r="D2020" s="1">
        <v>0</v>
      </c>
      <c r="E2020">
        <f>D2020*C2020</f>
        <v>0</v>
      </c>
      <c r="F2020" s="1" t="s">
        <v>5867</v>
      </c>
      <c r="G2020" s="17">
        <v>75363</v>
      </c>
    </row>
    <row r="2021" spans="1:7">
      <c r="A2021" s="1" t="s">
        <v>5868</v>
      </c>
      <c r="B2021" s="1" t="s">
        <v>5869</v>
      </c>
      <c r="C2021">
        <f>(1-(B7/100))*328.89</f>
        <v>328.89</v>
      </c>
      <c r="D2021" s="1">
        <v>0</v>
      </c>
      <c r="E2021">
        <f>D2021*C2021</f>
        <v>0</v>
      </c>
      <c r="F2021" s="1" t="s">
        <v>16</v>
      </c>
      <c r="G2021" s="17">
        <v>75364</v>
      </c>
    </row>
    <row r="2022" spans="1:7">
      <c r="A2022" s="1" t="s">
        <v>5870</v>
      </c>
      <c r="B2022" s="1" t="s">
        <v>5871</v>
      </c>
      <c r="C2022">
        <f>(1-(B7/100))*683.23</f>
        <v>683.23</v>
      </c>
      <c r="D2022" s="1">
        <v>0</v>
      </c>
      <c r="E2022">
        <f>D2022*C2022</f>
        <v>0</v>
      </c>
      <c r="F2022" s="1" t="s">
        <v>5872</v>
      </c>
      <c r="G2022" s="17">
        <v>75366</v>
      </c>
    </row>
    <row r="2023" spans="1:7">
      <c r="A2023" s="1" t="s">
        <v>5873</v>
      </c>
      <c r="B2023" s="1" t="s">
        <v>5874</v>
      </c>
      <c r="C2023">
        <f>(1-(B7/100))*609.62</f>
        <v>609.62</v>
      </c>
      <c r="D2023" s="1">
        <v>0</v>
      </c>
      <c r="E2023">
        <f>D2023*C2023</f>
        <v>0</v>
      </c>
      <c r="F2023" s="1" t="s">
        <v>5875</v>
      </c>
      <c r="G2023" s="17">
        <v>75367</v>
      </c>
    </row>
    <row r="2024" spans="1:7">
      <c r="A2024" s="1" t="s">
        <v>5876</v>
      </c>
      <c r="B2024" s="1" t="s">
        <v>5877</v>
      </c>
      <c r="C2024">
        <f>(1-(B7/100))*342.32</f>
        <v>342.32</v>
      </c>
      <c r="D2024" s="1">
        <v>0</v>
      </c>
      <c r="E2024">
        <f>D2024*C2024</f>
        <v>0</v>
      </c>
      <c r="F2024" s="1" t="s">
        <v>5878</v>
      </c>
      <c r="G2024" s="17">
        <v>75370</v>
      </c>
    </row>
    <row r="2025" spans="1:7">
      <c r="A2025" s="1" t="s">
        <v>5879</v>
      </c>
      <c r="B2025" s="1" t="s">
        <v>5880</v>
      </c>
      <c r="C2025">
        <f>(1-(B7/100))*129.95</f>
        <v>129.95</v>
      </c>
      <c r="D2025" s="1">
        <v>0</v>
      </c>
      <c r="E2025">
        <f>D2025*C2025</f>
        <v>0</v>
      </c>
      <c r="F2025" s="1" t="s">
        <v>5881</v>
      </c>
      <c r="G2025" s="17">
        <v>75371</v>
      </c>
    </row>
    <row r="2026" spans="1:7">
      <c r="A2026" s="1" t="s">
        <v>5882</v>
      </c>
      <c r="B2026" s="1" t="s">
        <v>5883</v>
      </c>
      <c r="C2026">
        <f>(1-(B7/100))*794.97</f>
        <v>794.97</v>
      </c>
      <c r="D2026" s="1">
        <v>0</v>
      </c>
      <c r="E2026">
        <f>D2026*C2026</f>
        <v>0</v>
      </c>
      <c r="F2026" s="1" t="s">
        <v>5884</v>
      </c>
      <c r="G2026" s="17">
        <v>75375</v>
      </c>
    </row>
    <row r="2027" spans="1:7">
      <c r="A2027" s="1" t="s">
        <v>5885</v>
      </c>
      <c r="B2027" s="1" t="s">
        <v>5886</v>
      </c>
      <c r="C2027">
        <f>(1-(B7/100))*539.65</f>
        <v>539.65</v>
      </c>
      <c r="D2027" s="1">
        <v>0</v>
      </c>
      <c r="E2027">
        <f>D2027*C2027</f>
        <v>0</v>
      </c>
      <c r="F2027" s="1" t="s">
        <v>5887</v>
      </c>
      <c r="G2027" s="17">
        <v>75378</v>
      </c>
    </row>
    <row r="2028" spans="1:7">
      <c r="A2028" s="1" t="s">
        <v>5888</v>
      </c>
      <c r="B2028" s="1" t="s">
        <v>5889</v>
      </c>
      <c r="C2028">
        <f>(1-(B7/100))*524.23</f>
        <v>524.23</v>
      </c>
      <c r="D2028" s="1">
        <v>0</v>
      </c>
      <c r="E2028">
        <f>D2028*C2028</f>
        <v>0</v>
      </c>
      <c r="F2028" s="1" t="s">
        <v>5890</v>
      </c>
      <c r="G2028" s="17">
        <v>75380</v>
      </c>
    </row>
    <row r="2029" spans="1:7">
      <c r="A2029" s="1" t="s">
        <v>5891</v>
      </c>
      <c r="B2029" s="1" t="s">
        <v>5892</v>
      </c>
      <c r="C2029">
        <f>(1-(B7/100))*140.94</f>
        <v>140.94</v>
      </c>
      <c r="D2029" s="1">
        <v>0</v>
      </c>
      <c r="E2029">
        <f>D2029*C2029</f>
        <v>0</v>
      </c>
      <c r="F2029" s="1" t="s">
        <v>5893</v>
      </c>
      <c r="G2029" s="17">
        <v>75384</v>
      </c>
    </row>
    <row r="2030" spans="1:7">
      <c r="A2030" s="1" t="s">
        <v>5894</v>
      </c>
      <c r="B2030" s="1" t="s">
        <v>5895</v>
      </c>
      <c r="C2030">
        <f>(1-(B7/100))*421.41</f>
        <v>421.41</v>
      </c>
      <c r="D2030" s="1">
        <v>0</v>
      </c>
      <c r="E2030">
        <f>D2030*C2030</f>
        <v>0</v>
      </c>
      <c r="F2030" s="1" t="s">
        <v>5896</v>
      </c>
      <c r="G2030" s="17">
        <v>75386</v>
      </c>
    </row>
    <row r="2031" spans="1:7">
      <c r="A2031" s="1" t="s">
        <v>5897</v>
      </c>
      <c r="B2031" s="1" t="s">
        <v>5898</v>
      </c>
      <c r="C2031">
        <f>(1-(B7/100))*145.05</f>
        <v>145.05</v>
      </c>
      <c r="D2031" s="1">
        <v>0</v>
      </c>
      <c r="E2031">
        <f>D2031*C2031</f>
        <v>0</v>
      </c>
      <c r="F2031" s="1" t="s">
        <v>5899</v>
      </c>
      <c r="G2031" s="17">
        <v>75389</v>
      </c>
    </row>
    <row r="2032" spans="1:7">
      <c r="A2032" s="1" t="s">
        <v>5900</v>
      </c>
      <c r="B2032" s="1" t="s">
        <v>5901</v>
      </c>
      <c r="C2032">
        <f>(1-(B7/100))*159.52</f>
        <v>159.52</v>
      </c>
      <c r="D2032" s="1">
        <v>0</v>
      </c>
      <c r="E2032">
        <f>D2032*C2032</f>
        <v>0</v>
      </c>
      <c r="F2032" s="1" t="s">
        <v>5902</v>
      </c>
      <c r="G2032" s="17">
        <v>75390</v>
      </c>
    </row>
    <row r="2033" spans="1:7">
      <c r="A2033" s="1" t="s">
        <v>5903</v>
      </c>
      <c r="B2033" s="1" t="s">
        <v>5904</v>
      </c>
      <c r="C2033">
        <f>(1-(B7/100))*165.8</f>
        <v>165.8</v>
      </c>
      <c r="D2033" s="1">
        <v>0</v>
      </c>
      <c r="E2033">
        <f>D2033*C2033</f>
        <v>0</v>
      </c>
      <c r="F2033" s="1" t="s">
        <v>5905</v>
      </c>
      <c r="G2033" s="17">
        <v>75391</v>
      </c>
    </row>
    <row r="2034" spans="1:7">
      <c r="A2034" s="1" t="s">
        <v>5906</v>
      </c>
      <c r="B2034" s="1" t="s">
        <v>5907</v>
      </c>
      <c r="C2034">
        <f>(1-(B7/100))*559.03</f>
        <v>559.03</v>
      </c>
      <c r="D2034" s="1">
        <v>0</v>
      </c>
      <c r="E2034">
        <f>D2034*C2034</f>
        <v>0</v>
      </c>
      <c r="F2034" s="1" t="s">
        <v>5908</v>
      </c>
      <c r="G2034" s="17">
        <v>76809</v>
      </c>
    </row>
    <row r="2035" spans="1:7">
      <c r="A2035" s="1" t="s">
        <v>5909</v>
      </c>
      <c r="B2035" s="1" t="s">
        <v>5910</v>
      </c>
      <c r="C2035">
        <f>(1-(B7/100))*137.5</f>
        <v>137.5</v>
      </c>
      <c r="D2035" s="1">
        <v>0</v>
      </c>
      <c r="E2035">
        <f>D2035*C2035</f>
        <v>0</v>
      </c>
      <c r="F2035" s="1" t="s">
        <v>5911</v>
      </c>
      <c r="G2035" s="17">
        <v>84758</v>
      </c>
    </row>
    <row r="2036" spans="1:7">
      <c r="A2036" s="1" t="s">
        <v>5912</v>
      </c>
      <c r="B2036" s="1" t="s">
        <v>5913</v>
      </c>
      <c r="C2036">
        <f>(1-(B7/100))*274.81</f>
        <v>274.81</v>
      </c>
      <c r="D2036" s="1">
        <v>0</v>
      </c>
      <c r="E2036">
        <f>D2036*C2036</f>
        <v>0</v>
      </c>
      <c r="F2036" s="1" t="s">
        <v>5914</v>
      </c>
      <c r="G2036" s="17">
        <v>84772</v>
      </c>
    </row>
    <row r="2037" spans="1:7">
      <c r="A2037" s="1" t="s">
        <v>5915</v>
      </c>
      <c r="B2037" s="1" t="s">
        <v>5916</v>
      </c>
      <c r="C2037">
        <f>(1-(B7/100))*323.06</f>
        <v>323.06</v>
      </c>
      <c r="D2037" s="1">
        <v>0</v>
      </c>
      <c r="E2037">
        <f>D2037*C2037</f>
        <v>0</v>
      </c>
      <c r="F2037" s="1" t="s">
        <v>5917</v>
      </c>
      <c r="G2037" s="17">
        <v>84785</v>
      </c>
    </row>
    <row r="2038" spans="1:7">
      <c r="A2038" s="1" t="s">
        <v>5918</v>
      </c>
      <c r="B2038" s="1" t="s">
        <v>5919</v>
      </c>
      <c r="C2038">
        <f>(1-(B7/100))*298.33</f>
        <v>298.33</v>
      </c>
      <c r="D2038" s="1">
        <v>0</v>
      </c>
      <c r="E2038">
        <f>D2038*C2038</f>
        <v>0</v>
      </c>
      <c r="F2038" s="1" t="s">
        <v>5920</v>
      </c>
      <c r="G2038" s="17">
        <v>84789</v>
      </c>
    </row>
    <row r="2039" spans="1:7">
      <c r="A2039" s="1" t="s">
        <v>5921</v>
      </c>
      <c r="B2039" s="1" t="s">
        <v>5922</v>
      </c>
      <c r="C2039">
        <f>(1-(B7/100))*418.29</f>
        <v>418.29</v>
      </c>
      <c r="D2039" s="1">
        <v>0</v>
      </c>
      <c r="E2039">
        <f>D2039*C2039</f>
        <v>0</v>
      </c>
      <c r="F2039" s="1" t="s">
        <v>5923</v>
      </c>
      <c r="G2039" s="17">
        <v>84790</v>
      </c>
    </row>
    <row r="2040" spans="1:7">
      <c r="A2040" s="1" t="s">
        <v>5924</v>
      </c>
      <c r="B2040" s="1" t="s">
        <v>5925</v>
      </c>
      <c r="C2040">
        <f>(1-(B7/100))*312.81</f>
        <v>312.81</v>
      </c>
      <c r="D2040" s="1">
        <v>0</v>
      </c>
      <c r="E2040">
        <f>D2040*C2040</f>
        <v>0</v>
      </c>
      <c r="F2040" s="1" t="s">
        <v>5926</v>
      </c>
      <c r="G2040" s="17">
        <v>85366</v>
      </c>
    </row>
    <row r="2041" spans="1:7">
      <c r="A2041" s="1" t="s">
        <v>5927</v>
      </c>
      <c r="B2041" s="1" t="s">
        <v>5928</v>
      </c>
      <c r="C2041">
        <f>(1-(B7/100))*426.72</f>
        <v>426.72</v>
      </c>
      <c r="D2041" s="1">
        <v>0</v>
      </c>
      <c r="E2041">
        <f>D2041*C2041</f>
        <v>0</v>
      </c>
      <c r="F2041" s="1" t="s">
        <v>5929</v>
      </c>
      <c r="G2041" s="17">
        <v>85380</v>
      </c>
    </row>
    <row r="2042" spans="1:7">
      <c r="A2042" s="1" t="s">
        <v>5930</v>
      </c>
      <c r="B2042" s="1" t="s">
        <v>5931</v>
      </c>
      <c r="C2042">
        <f>(1-(B7/100))*448.69</f>
        <v>448.69</v>
      </c>
      <c r="D2042" s="1">
        <v>0</v>
      </c>
      <c r="E2042">
        <f>D2042*C2042</f>
        <v>0</v>
      </c>
      <c r="F2042" s="1" t="s">
        <v>5932</v>
      </c>
      <c r="G2042" s="17">
        <v>85381</v>
      </c>
    </row>
    <row r="2043" spans="1:7">
      <c r="A2043" s="1" t="s">
        <v>5933</v>
      </c>
      <c r="B2043" s="1" t="s">
        <v>5934</v>
      </c>
      <c r="C2043">
        <f>(1-(B7/100))*334.94</f>
        <v>334.94</v>
      </c>
      <c r="D2043" s="1">
        <v>0</v>
      </c>
      <c r="E2043">
        <f>D2043*C2043</f>
        <v>0</v>
      </c>
      <c r="F2043" s="1" t="s">
        <v>5935</v>
      </c>
      <c r="G2043" s="17">
        <v>85399</v>
      </c>
    </row>
    <row r="2044" spans="1:7">
      <c r="A2044" s="1" t="s">
        <v>5936</v>
      </c>
      <c r="B2044" s="1" t="s">
        <v>5937</v>
      </c>
      <c r="C2044">
        <f>(1-(B7/100))*370.05</f>
        <v>370.05</v>
      </c>
      <c r="D2044" s="1">
        <v>0</v>
      </c>
      <c r="E2044">
        <f>D2044*C2044</f>
        <v>0</v>
      </c>
      <c r="F2044" s="1" t="s">
        <v>5938</v>
      </c>
      <c r="G2044" s="17">
        <v>85400</v>
      </c>
    </row>
    <row r="2045" spans="1:7">
      <c r="A2045" s="1" t="s">
        <v>5939</v>
      </c>
      <c r="B2045" s="1" t="s">
        <v>5940</v>
      </c>
      <c r="C2045">
        <f>(1-(B7/100))*501.33</f>
        <v>501.33</v>
      </c>
      <c r="D2045" s="1">
        <v>0</v>
      </c>
      <c r="E2045">
        <f>D2045*C2045</f>
        <v>0</v>
      </c>
      <c r="F2045" s="1" t="s">
        <v>5941</v>
      </c>
      <c r="G2045" s="17">
        <v>85402</v>
      </c>
    </row>
    <row r="2046" spans="1:7">
      <c r="A2046" s="1" t="s">
        <v>5942</v>
      </c>
      <c r="B2046" s="1" t="s">
        <v>5943</v>
      </c>
      <c r="C2046">
        <f>(1-(B7/100))*498.4</f>
        <v>498.4</v>
      </c>
      <c r="D2046" s="1">
        <v>0</v>
      </c>
      <c r="E2046">
        <f>D2046*C2046</f>
        <v>0</v>
      </c>
      <c r="F2046" s="1" t="s">
        <v>5944</v>
      </c>
      <c r="G2046" s="17">
        <v>85403</v>
      </c>
    </row>
    <row r="2047" spans="1:7">
      <c r="A2047" s="1" t="s">
        <v>5945</v>
      </c>
      <c r="B2047" s="1" t="s">
        <v>5946</v>
      </c>
      <c r="C2047">
        <f>(1-(B7/100))*295.07</f>
        <v>295.07</v>
      </c>
      <c r="D2047" s="1">
        <v>0</v>
      </c>
      <c r="E2047">
        <f>D2047*C2047</f>
        <v>0</v>
      </c>
      <c r="F2047" s="1" t="s">
        <v>5947</v>
      </c>
      <c r="G2047" s="17">
        <v>85412</v>
      </c>
    </row>
    <row r="2048" spans="1:7">
      <c r="A2048" s="1" t="s">
        <v>5948</v>
      </c>
      <c r="B2048" s="1" t="s">
        <v>5949</v>
      </c>
      <c r="C2048">
        <f>(1-(B7/100))*251.21</f>
        <v>251.21</v>
      </c>
      <c r="D2048" s="1">
        <v>0</v>
      </c>
      <c r="E2048">
        <f>D2048*C2048</f>
        <v>0</v>
      </c>
      <c r="F2048" s="1" t="s">
        <v>5950</v>
      </c>
      <c r="G2048" s="17">
        <v>85418</v>
      </c>
    </row>
    <row r="2049" spans="1:7">
      <c r="A2049" s="1" t="s">
        <v>5951</v>
      </c>
      <c r="B2049" s="1" t="s">
        <v>5952</v>
      </c>
      <c r="C2049">
        <f>(1-(B7/100))*295.07</f>
        <v>295.07</v>
      </c>
      <c r="D2049" s="1">
        <v>0</v>
      </c>
      <c r="E2049">
        <f>D2049*C2049</f>
        <v>0</v>
      </c>
      <c r="F2049" s="1" t="s">
        <v>5953</v>
      </c>
      <c r="G2049" s="17">
        <v>85419</v>
      </c>
    </row>
    <row r="2050" spans="1:7">
      <c r="A2050" s="1" t="s">
        <v>5954</v>
      </c>
      <c r="B2050" s="1" t="s">
        <v>5955</v>
      </c>
      <c r="C2050">
        <f>(1-(B7/100))*1659.39</f>
        <v>1659.39</v>
      </c>
      <c r="D2050" s="1">
        <v>0</v>
      </c>
      <c r="E2050">
        <f>D2050*C2050</f>
        <v>0</v>
      </c>
      <c r="F2050" s="1" t="s">
        <v>5956</v>
      </c>
      <c r="G2050" s="17">
        <v>85662</v>
      </c>
    </row>
    <row r="2051" spans="1:7">
      <c r="A2051" s="1" t="s">
        <v>5957</v>
      </c>
      <c r="B2051" s="1" t="s">
        <v>5958</v>
      </c>
      <c r="C2051">
        <f>(1-(B7/100))*51.08</f>
        <v>51.08</v>
      </c>
      <c r="D2051" s="1">
        <v>0</v>
      </c>
      <c r="E2051">
        <f>D2051*C2051</f>
        <v>0</v>
      </c>
      <c r="F2051" s="1" t="s">
        <v>5959</v>
      </c>
      <c r="G2051" s="17">
        <v>85877</v>
      </c>
    </row>
    <row r="2052" spans="1:7">
      <c r="A2052" s="1" t="s">
        <v>5960</v>
      </c>
      <c r="B2052" s="1" t="s">
        <v>5961</v>
      </c>
      <c r="C2052">
        <f>(1-(B7/100))*173.77</f>
        <v>173.77</v>
      </c>
      <c r="D2052" s="1">
        <v>0</v>
      </c>
      <c r="E2052">
        <f>D2052*C2052</f>
        <v>0</v>
      </c>
      <c r="F2052" s="1" t="s">
        <v>5962</v>
      </c>
      <c r="G2052" s="17">
        <v>86609</v>
      </c>
    </row>
    <row r="2053" spans="1:7">
      <c r="A2053" s="1" t="s">
        <v>5963</v>
      </c>
      <c r="B2053" s="1" t="s">
        <v>5964</v>
      </c>
      <c r="C2053">
        <f>(1-(B7/100))*212.78</f>
        <v>212.78</v>
      </c>
      <c r="D2053" s="1">
        <v>0</v>
      </c>
      <c r="E2053">
        <f>D2053*C2053</f>
        <v>0</v>
      </c>
      <c r="F2053" s="1" t="s">
        <v>5965</v>
      </c>
      <c r="G2053" s="17">
        <v>86626</v>
      </c>
    </row>
    <row r="2054" spans="1:7">
      <c r="A2054" s="1" t="s">
        <v>5966</v>
      </c>
      <c r="B2054" s="1" t="s">
        <v>5967</v>
      </c>
      <c r="C2054">
        <f>(1-(B7/100))*297.87</f>
        <v>297.87</v>
      </c>
      <c r="D2054" s="1">
        <v>0</v>
      </c>
      <c r="E2054">
        <f>D2054*C2054</f>
        <v>0</v>
      </c>
      <c r="F2054" s="1" t="s">
        <v>5968</v>
      </c>
      <c r="G2054" s="17">
        <v>86633</v>
      </c>
    </row>
    <row r="2055" spans="1:7">
      <c r="A2055" s="1" t="s">
        <v>5969</v>
      </c>
      <c r="B2055" s="1" t="s">
        <v>5970</v>
      </c>
      <c r="C2055">
        <f>(1-(B7/100))*241.54</f>
        <v>241.54</v>
      </c>
      <c r="D2055" s="1">
        <v>0</v>
      </c>
      <c r="E2055">
        <f>D2055*C2055</f>
        <v>0</v>
      </c>
      <c r="F2055" s="1" t="s">
        <v>5971</v>
      </c>
      <c r="G2055" s="17">
        <v>86747</v>
      </c>
    </row>
    <row r="2056" spans="1:7">
      <c r="A2056" s="16"/>
      <c r="B2056" s="16" t="s">
        <v>5972</v>
      </c>
      <c r="C2056" s="16"/>
      <c r="D2056" s="16"/>
      <c r="E2056" s="16"/>
      <c r="F2056" s="16"/>
    </row>
    <row r="2057" spans="1:7">
      <c r="A2057" s="16"/>
      <c r="B2057" s="16" t="s">
        <v>5973</v>
      </c>
      <c r="C2057" s="16"/>
      <c r="D2057" s="16"/>
      <c r="E2057" s="16"/>
      <c r="F2057" s="16"/>
    </row>
    <row r="2058" spans="1:7">
      <c r="A2058" s="1" t="s">
        <v>5974</v>
      </c>
      <c r="B2058" s="1" t="s">
        <v>5975</v>
      </c>
      <c r="C2058">
        <f>(1-(B7/100))*378.72</f>
        <v>378.72</v>
      </c>
      <c r="D2058" s="1">
        <v>0</v>
      </c>
      <c r="E2058">
        <f>D2058*C2058</f>
        <v>0</v>
      </c>
      <c r="F2058" s="1" t="s">
        <v>5976</v>
      </c>
      <c r="G2058" s="17">
        <v>75399</v>
      </c>
    </row>
    <row r="2059" spans="1:7">
      <c r="A2059" s="1" t="s">
        <v>5977</v>
      </c>
      <c r="B2059" s="1" t="s">
        <v>5978</v>
      </c>
      <c r="C2059">
        <f>(1-(B7/100))*596.71</f>
        <v>596.71</v>
      </c>
      <c r="D2059" s="1">
        <v>0</v>
      </c>
      <c r="E2059">
        <f>D2059*C2059</f>
        <v>0</v>
      </c>
      <c r="F2059" s="1" t="s">
        <v>5979</v>
      </c>
      <c r="G2059" s="17">
        <v>75400</v>
      </c>
    </row>
    <row r="2060" spans="1:7">
      <c r="A2060" s="1" t="s">
        <v>5980</v>
      </c>
      <c r="B2060" s="1" t="s">
        <v>5981</v>
      </c>
      <c r="C2060">
        <f>(1-(B7/100))*117</f>
        <v>117</v>
      </c>
      <c r="D2060" s="1">
        <v>0</v>
      </c>
      <c r="E2060">
        <f>D2060*C2060</f>
        <v>0</v>
      </c>
      <c r="F2060" s="1" t="s">
        <v>5982</v>
      </c>
      <c r="G2060" s="17">
        <v>75404</v>
      </c>
    </row>
    <row r="2061" spans="1:7">
      <c r="A2061" s="1" t="s">
        <v>5983</v>
      </c>
      <c r="B2061" s="1" t="s">
        <v>5984</v>
      </c>
      <c r="C2061">
        <f>(1-(B7/100))*117</f>
        <v>117</v>
      </c>
      <c r="D2061" s="1">
        <v>0</v>
      </c>
      <c r="E2061">
        <f>D2061*C2061</f>
        <v>0</v>
      </c>
      <c r="F2061" s="1" t="s">
        <v>5985</v>
      </c>
      <c r="G2061" s="17">
        <v>75405</v>
      </c>
    </row>
    <row r="2062" spans="1:7">
      <c r="A2062" s="1" t="s">
        <v>5986</v>
      </c>
      <c r="B2062" s="1" t="s">
        <v>5987</v>
      </c>
      <c r="C2062">
        <f>(1-(B7/100))*95.37</f>
        <v>95.37</v>
      </c>
      <c r="D2062" s="1">
        <v>0</v>
      </c>
      <c r="E2062">
        <f>D2062*C2062</f>
        <v>0</v>
      </c>
      <c r="F2062" s="1" t="s">
        <v>5988</v>
      </c>
      <c r="G2062" s="17">
        <v>75406</v>
      </c>
    </row>
    <row r="2063" spans="1:7">
      <c r="A2063" s="1" t="s">
        <v>5989</v>
      </c>
      <c r="B2063" s="1" t="s">
        <v>5990</v>
      </c>
      <c r="C2063">
        <f>(1-(B7/100))*485.51</f>
        <v>485.51</v>
      </c>
      <c r="D2063" s="1">
        <v>0</v>
      </c>
      <c r="E2063">
        <f>D2063*C2063</f>
        <v>0</v>
      </c>
      <c r="F2063" s="1" t="s">
        <v>5991</v>
      </c>
      <c r="G2063" s="17">
        <v>75407</v>
      </c>
    </row>
    <row r="2064" spans="1:7">
      <c r="A2064" s="1" t="s">
        <v>5992</v>
      </c>
      <c r="B2064" s="1" t="s">
        <v>5993</v>
      </c>
      <c r="C2064">
        <f>(1-(B7/100))*46.51</f>
        <v>46.51</v>
      </c>
      <c r="D2064" s="1">
        <v>0</v>
      </c>
      <c r="E2064">
        <f>D2064*C2064</f>
        <v>0</v>
      </c>
      <c r="F2064" s="1" t="s">
        <v>5994</v>
      </c>
      <c r="G2064" s="17">
        <v>75409</v>
      </c>
    </row>
    <row r="2065" spans="1:7">
      <c r="A2065" s="1" t="s">
        <v>5995</v>
      </c>
      <c r="B2065" s="1" t="s">
        <v>5996</v>
      </c>
      <c r="C2065">
        <f>(1-(B7/100))*98.52</f>
        <v>98.52</v>
      </c>
      <c r="D2065" s="1">
        <v>0</v>
      </c>
      <c r="E2065">
        <f>D2065*C2065</f>
        <v>0</v>
      </c>
      <c r="F2065" s="1" t="s">
        <v>5997</v>
      </c>
      <c r="G2065" s="17">
        <v>75411</v>
      </c>
    </row>
    <row r="2066" spans="1:7">
      <c r="A2066" s="1" t="s">
        <v>5998</v>
      </c>
      <c r="B2066" s="1" t="s">
        <v>5999</v>
      </c>
      <c r="C2066">
        <f>(1-(B7/100))*56.91</f>
        <v>56.91</v>
      </c>
      <c r="D2066" s="1">
        <v>0</v>
      </c>
      <c r="E2066">
        <f>D2066*C2066</f>
        <v>0</v>
      </c>
      <c r="F2066" s="1" t="s">
        <v>6000</v>
      </c>
      <c r="G2066" s="17">
        <v>75413</v>
      </c>
    </row>
    <row r="2067" spans="1:7">
      <c r="A2067" s="1" t="s">
        <v>6001</v>
      </c>
      <c r="B2067" s="1" t="s">
        <v>6002</v>
      </c>
      <c r="C2067">
        <f>(1-(B7/100))*56.91</f>
        <v>56.91</v>
      </c>
      <c r="D2067" s="1">
        <v>0</v>
      </c>
      <c r="E2067">
        <f>D2067*C2067</f>
        <v>0</v>
      </c>
      <c r="F2067" s="1" t="s">
        <v>6003</v>
      </c>
      <c r="G2067" s="17">
        <v>75414</v>
      </c>
    </row>
    <row r="2068" spans="1:7">
      <c r="A2068" s="16"/>
      <c r="B2068" s="16" t="s">
        <v>6004</v>
      </c>
      <c r="C2068" s="16"/>
      <c r="D2068" s="16"/>
      <c r="E2068" s="16"/>
      <c r="F2068" s="16"/>
    </row>
    <row r="2069" spans="1:7">
      <c r="A2069" s="16"/>
      <c r="B2069" s="16" t="s">
        <v>6005</v>
      </c>
      <c r="C2069" s="16"/>
      <c r="D2069" s="16"/>
      <c r="E2069" s="16"/>
      <c r="F2069" s="16"/>
    </row>
    <row r="2070" spans="1:7">
      <c r="A2070" s="16"/>
      <c r="B2070" s="16" t="s">
        <v>6006</v>
      </c>
      <c r="C2070" s="16"/>
      <c r="D2070" s="16"/>
      <c r="E2070" s="16"/>
      <c r="F2070" s="16"/>
    </row>
    <row r="2071" spans="1:7">
      <c r="A2071" s="1" t="s">
        <v>6007</v>
      </c>
      <c r="B2071" s="1" t="s">
        <v>6008</v>
      </c>
      <c r="C2071">
        <f>(1-(B7/100))*1040.93</f>
        <v>1040.93</v>
      </c>
      <c r="D2071" s="1">
        <v>0</v>
      </c>
      <c r="E2071">
        <f>D2071*C2071</f>
        <v>0</v>
      </c>
      <c r="F2071" s="1" t="s">
        <v>6009</v>
      </c>
      <c r="G2071" s="17">
        <v>72187</v>
      </c>
    </row>
    <row r="2072" spans="1:7">
      <c r="A2072" s="1" t="s">
        <v>6010</v>
      </c>
      <c r="B2072" s="1" t="s">
        <v>6011</v>
      </c>
      <c r="C2072">
        <f>(1-(B7/100))*916.94</f>
        <v>916.94</v>
      </c>
      <c r="D2072" s="1">
        <v>0</v>
      </c>
      <c r="E2072">
        <f>D2072*C2072</f>
        <v>0</v>
      </c>
      <c r="F2072" s="1" t="s">
        <v>6012</v>
      </c>
      <c r="G2072" s="17">
        <v>72189</v>
      </c>
    </row>
    <row r="2073" spans="1:7">
      <c r="A2073" s="1" t="s">
        <v>6013</v>
      </c>
      <c r="B2073" s="1" t="s">
        <v>6014</v>
      </c>
      <c r="C2073">
        <f>(1-(B7/100))*401.33</f>
        <v>401.33</v>
      </c>
      <c r="D2073" s="1">
        <v>0</v>
      </c>
      <c r="E2073">
        <f>D2073*C2073</f>
        <v>0</v>
      </c>
      <c r="F2073" s="1" t="s">
        <v>6015</v>
      </c>
      <c r="G2073" s="17">
        <v>72190</v>
      </c>
    </row>
    <row r="2074" spans="1:7">
      <c r="A2074" s="1" t="s">
        <v>6016</v>
      </c>
      <c r="B2074" s="1" t="s">
        <v>6017</v>
      </c>
      <c r="C2074">
        <f>(1-(B7/100))*104.09</f>
        <v>104.09</v>
      </c>
      <c r="D2074" s="1">
        <v>0</v>
      </c>
      <c r="E2074">
        <f>D2074*C2074</f>
        <v>0</v>
      </c>
      <c r="F2074" s="1" t="s">
        <v>6018</v>
      </c>
      <c r="G2074" s="17">
        <v>87486</v>
      </c>
    </row>
    <row r="2075" spans="1:7">
      <c r="A2075" s="1" t="s">
        <v>6019</v>
      </c>
      <c r="B2075" s="1" t="s">
        <v>6020</v>
      </c>
      <c r="C2075">
        <f>(1-(B7/100))*104.09</f>
        <v>104.09</v>
      </c>
      <c r="D2075" s="1">
        <v>0</v>
      </c>
      <c r="E2075">
        <f>D2075*C2075</f>
        <v>0</v>
      </c>
      <c r="F2075" s="1" t="s">
        <v>6021</v>
      </c>
      <c r="G2075" s="17">
        <v>87487</v>
      </c>
    </row>
    <row r="2076" spans="1:7">
      <c r="A2076" s="1" t="s">
        <v>6022</v>
      </c>
      <c r="B2076" s="1" t="s">
        <v>6023</v>
      </c>
      <c r="C2076">
        <f>(1-(B7/100))*49.25</f>
        <v>49.25</v>
      </c>
      <c r="D2076" s="1">
        <v>0</v>
      </c>
      <c r="E2076">
        <f>D2076*C2076</f>
        <v>0</v>
      </c>
      <c r="F2076" s="1" t="s">
        <v>6024</v>
      </c>
      <c r="G2076" s="17">
        <v>87489</v>
      </c>
    </row>
    <row r="2077" spans="1:7">
      <c r="A2077" s="1" t="s">
        <v>6025</v>
      </c>
      <c r="B2077" s="1" t="s">
        <v>6026</v>
      </c>
      <c r="C2077">
        <f>(1-(B7/100))*132.06</f>
        <v>132.06</v>
      </c>
      <c r="D2077" s="1">
        <v>0</v>
      </c>
      <c r="E2077">
        <f>D2077*C2077</f>
        <v>0</v>
      </c>
      <c r="F2077" s="1" t="s">
        <v>6027</v>
      </c>
      <c r="G2077" s="17">
        <v>87894</v>
      </c>
    </row>
    <row r="2078" spans="1:7">
      <c r="A2078" s="1" t="s">
        <v>6028</v>
      </c>
      <c r="B2078" s="1" t="s">
        <v>6029</v>
      </c>
      <c r="C2078">
        <f>(1-(B7/100))*261.92</f>
        <v>261.92</v>
      </c>
      <c r="D2078" s="1">
        <v>0</v>
      </c>
      <c r="E2078">
        <f>D2078*C2078</f>
        <v>0</v>
      </c>
      <c r="F2078" s="1" t="s">
        <v>6030</v>
      </c>
      <c r="G2078" s="17">
        <v>87897</v>
      </c>
    </row>
    <row r="2079" spans="1:7">
      <c r="A2079" s="1" t="s">
        <v>6031</v>
      </c>
      <c r="B2079" s="1" t="s">
        <v>6032</v>
      </c>
      <c r="C2079">
        <f>(1-(B7/100))*476.9</f>
        <v>476.9</v>
      </c>
      <c r="D2079" s="1">
        <v>0</v>
      </c>
      <c r="E2079">
        <f>D2079*C2079</f>
        <v>0</v>
      </c>
      <c r="F2079" s="1" t="s">
        <v>6033</v>
      </c>
      <c r="G2079" s="17">
        <v>87898</v>
      </c>
    </row>
    <row r="2080" spans="1:7">
      <c r="A2080" s="1" t="s">
        <v>6034</v>
      </c>
      <c r="B2080" s="1" t="s">
        <v>6035</v>
      </c>
      <c r="C2080">
        <f>(1-(B7/100))*2176.08</f>
        <v>2176.08</v>
      </c>
      <c r="D2080" s="1">
        <v>0</v>
      </c>
      <c r="E2080">
        <f>D2080*C2080</f>
        <v>0</v>
      </c>
      <c r="F2080" s="1" t="s">
        <v>6036</v>
      </c>
      <c r="G2080" s="17">
        <v>88578</v>
      </c>
    </row>
    <row r="2081" spans="1:7">
      <c r="A2081" s="1" t="s">
        <v>6037</v>
      </c>
      <c r="B2081" s="1" t="s">
        <v>6038</v>
      </c>
      <c r="C2081">
        <f>(1-(B7/100))*2165.18</f>
        <v>2165.18</v>
      </c>
      <c r="D2081" s="1">
        <v>0</v>
      </c>
      <c r="E2081">
        <f>D2081*C2081</f>
        <v>0</v>
      </c>
      <c r="F2081" s="1" t="s">
        <v>6039</v>
      </c>
      <c r="G2081" s="17">
        <v>88642</v>
      </c>
    </row>
    <row r="2082" spans="1:7">
      <c r="A2082" s="1" t="s">
        <v>6040</v>
      </c>
      <c r="B2082" s="1" t="s">
        <v>6041</v>
      </c>
      <c r="C2082">
        <f>(1-(B7/100))*2058.1</f>
        <v>2058.1</v>
      </c>
      <c r="D2082" s="1">
        <v>0</v>
      </c>
      <c r="E2082">
        <f>D2082*C2082</f>
        <v>0</v>
      </c>
      <c r="F2082" s="1" t="s">
        <v>6042</v>
      </c>
      <c r="G2082" s="17">
        <v>88716</v>
      </c>
    </row>
    <row r="2083" spans="1:7">
      <c r="A2083" s="1" t="s">
        <v>6043</v>
      </c>
      <c r="B2083" s="1" t="s">
        <v>6044</v>
      </c>
      <c r="C2083">
        <f>(1-(B7/100))*3046.76</f>
        <v>3046.76</v>
      </c>
      <c r="D2083" s="1">
        <v>0</v>
      </c>
      <c r="E2083">
        <f>D2083*C2083</f>
        <v>0</v>
      </c>
      <c r="F2083" s="1" t="s">
        <v>6045</v>
      </c>
      <c r="G2083" s="17">
        <v>88726</v>
      </c>
    </row>
    <row r="2084" spans="1:7">
      <c r="A2084" s="1" t="s">
        <v>6046</v>
      </c>
      <c r="B2084" s="1" t="s">
        <v>6047</v>
      </c>
      <c r="C2084">
        <f>(1-(B7/100))*7037.7</f>
        <v>7037.7</v>
      </c>
      <c r="D2084" s="1">
        <v>0</v>
      </c>
      <c r="E2084">
        <f>D2084*C2084</f>
        <v>0</v>
      </c>
      <c r="F2084" s="1" t="s">
        <v>6048</v>
      </c>
      <c r="G2084" s="17">
        <v>88799</v>
      </c>
    </row>
    <row r="2085" spans="1:7">
      <c r="A2085" s="1" t="s">
        <v>6049</v>
      </c>
      <c r="B2085" s="1" t="s">
        <v>6050</v>
      </c>
      <c r="C2085">
        <f>(1-(B7/100))*3171.11</f>
        <v>3171.11</v>
      </c>
      <c r="D2085" s="1">
        <v>0</v>
      </c>
      <c r="E2085">
        <f>D2085*C2085</f>
        <v>0</v>
      </c>
      <c r="F2085" s="1" t="s">
        <v>6051</v>
      </c>
      <c r="G2085" s="17">
        <v>88821</v>
      </c>
    </row>
    <row r="2086" spans="1:7">
      <c r="A2086" s="1" t="s">
        <v>6052</v>
      </c>
      <c r="B2086" s="1" t="s">
        <v>6053</v>
      </c>
      <c r="C2086">
        <f>(1-(B7/100))*1600</f>
        <v>1600</v>
      </c>
      <c r="D2086" s="1">
        <v>0</v>
      </c>
      <c r="E2086">
        <f>D2086*C2086</f>
        <v>0</v>
      </c>
      <c r="F2086" s="1" t="s">
        <v>6054</v>
      </c>
      <c r="G2086" s="17">
        <v>89693</v>
      </c>
    </row>
    <row r="2087" spans="1:7">
      <c r="A2087" s="1" t="s">
        <v>6055</v>
      </c>
      <c r="B2087" s="1" t="s">
        <v>6056</v>
      </c>
      <c r="C2087">
        <f>(1-(B7/100))*202.81</f>
        <v>202.81</v>
      </c>
      <c r="D2087" s="1">
        <v>0</v>
      </c>
      <c r="E2087">
        <f>D2087*C2087</f>
        <v>0</v>
      </c>
      <c r="F2087" s="1" t="s">
        <v>6057</v>
      </c>
      <c r="G2087" s="17">
        <v>89698</v>
      </c>
    </row>
    <row r="2088" spans="1:7">
      <c r="A2088" s="16"/>
      <c r="B2088" s="16" t="s">
        <v>6058</v>
      </c>
      <c r="C2088" s="16"/>
      <c r="D2088" s="16"/>
      <c r="E2088" s="16"/>
      <c r="F2088" s="16"/>
    </row>
    <row r="2089" spans="1:7">
      <c r="A2089" s="16"/>
      <c r="B2089" s="16" t="s">
        <v>6059</v>
      </c>
      <c r="C2089" s="16"/>
      <c r="D2089" s="16"/>
      <c r="E2089" s="16"/>
      <c r="F2089" s="16"/>
    </row>
    <row r="2090" spans="1:7">
      <c r="A2090" s="1" t="s">
        <v>6060</v>
      </c>
      <c r="B2090" s="1" t="s">
        <v>6061</v>
      </c>
      <c r="C2090">
        <f>(1-(B7/100))*3955.54</f>
        <v>3955.54</v>
      </c>
      <c r="D2090" s="1">
        <v>0</v>
      </c>
      <c r="E2090">
        <f>D2090*C2090</f>
        <v>0</v>
      </c>
      <c r="F2090" s="1" t="s">
        <v>6062</v>
      </c>
      <c r="G2090" s="17">
        <v>68924</v>
      </c>
    </row>
    <row r="2091" spans="1:7">
      <c r="A2091" s="1" t="s">
        <v>6063</v>
      </c>
      <c r="B2091" s="1" t="s">
        <v>6064</v>
      </c>
      <c r="C2091">
        <f>(1-(B7/100))*17.06</f>
        <v>17.06</v>
      </c>
      <c r="D2091" s="1">
        <v>0</v>
      </c>
      <c r="E2091">
        <f>D2091*C2091</f>
        <v>0</v>
      </c>
      <c r="F2091" s="1" t="s">
        <v>6065</v>
      </c>
      <c r="G2091" s="17">
        <v>82923</v>
      </c>
    </row>
    <row r="2092" spans="1:7">
      <c r="A2092" s="1" t="s">
        <v>6066</v>
      </c>
      <c r="B2092" s="1" t="s">
        <v>6067</v>
      </c>
      <c r="C2092">
        <f>(1-(B7/100))*3723.29</f>
        <v>3723.29</v>
      </c>
      <c r="D2092" s="1">
        <v>0</v>
      </c>
      <c r="E2092">
        <f>D2092*C2092</f>
        <v>0</v>
      </c>
      <c r="F2092" s="1" t="s">
        <v>6068</v>
      </c>
      <c r="G2092" s="17">
        <v>84257</v>
      </c>
    </row>
    <row r="2093" spans="1:7">
      <c r="A2093" s="1" t="s">
        <v>6069</v>
      </c>
      <c r="B2093" s="1" t="s">
        <v>6070</v>
      </c>
      <c r="C2093">
        <f>(1-(B7/100))*4163.73</f>
        <v>4163.73</v>
      </c>
      <c r="D2093" s="1">
        <v>0</v>
      </c>
      <c r="E2093">
        <f>D2093*C2093</f>
        <v>0</v>
      </c>
      <c r="F2093" s="1" t="s">
        <v>6071</v>
      </c>
      <c r="G2093" s="17">
        <v>84937</v>
      </c>
    </row>
    <row r="2094" spans="1:7">
      <c r="A2094" s="1" t="s">
        <v>6072</v>
      </c>
      <c r="B2094" s="1" t="s">
        <v>6073</v>
      </c>
      <c r="C2094">
        <f>(1-(B7/100))*4059.64</f>
        <v>4059.64</v>
      </c>
      <c r="D2094" s="1">
        <v>0</v>
      </c>
      <c r="E2094">
        <f>D2094*C2094</f>
        <v>0</v>
      </c>
      <c r="F2094" s="1" t="s">
        <v>6074</v>
      </c>
      <c r="G2094" s="17">
        <v>84946</v>
      </c>
    </row>
    <row r="2095" spans="1:7">
      <c r="A2095" s="16"/>
      <c r="B2095" s="16" t="s">
        <v>6075</v>
      </c>
      <c r="C2095" s="16"/>
      <c r="D2095" s="16"/>
      <c r="E2095" s="16"/>
      <c r="F2095" s="16"/>
    </row>
    <row r="2096" spans="1:7">
      <c r="A2096" s="1" t="s">
        <v>6076</v>
      </c>
      <c r="B2096" s="1" t="s">
        <v>6077</v>
      </c>
      <c r="C2096">
        <f>(1-(B7/100))*148.78</f>
        <v>148.78</v>
      </c>
      <c r="D2096" s="1">
        <v>0</v>
      </c>
      <c r="E2096">
        <f>D2096*C2096</f>
        <v>0</v>
      </c>
      <c r="F2096" s="1" t="s">
        <v>6078</v>
      </c>
      <c r="G2096" s="17">
        <v>62989</v>
      </c>
    </row>
    <row r="2097" spans="1:7">
      <c r="A2097" s="1" t="s">
        <v>6079</v>
      </c>
      <c r="B2097" s="1" t="s">
        <v>6080</v>
      </c>
      <c r="C2097">
        <f>(1-(B7/100))*148.78</f>
        <v>148.78</v>
      </c>
      <c r="D2097" s="1">
        <v>0</v>
      </c>
      <c r="E2097">
        <f>D2097*C2097</f>
        <v>0</v>
      </c>
      <c r="F2097" s="1" t="s">
        <v>6081</v>
      </c>
      <c r="G2097" s="17">
        <v>62990</v>
      </c>
    </row>
    <row r="2098" spans="1:7">
      <c r="A2098" s="1" t="s">
        <v>6082</v>
      </c>
      <c r="B2098" s="1" t="s">
        <v>6083</v>
      </c>
      <c r="C2098">
        <f>(1-(B7/100))*148.78</f>
        <v>148.78</v>
      </c>
      <c r="D2098" s="1">
        <v>0</v>
      </c>
      <c r="E2098">
        <f>D2098*C2098</f>
        <v>0</v>
      </c>
      <c r="F2098" s="1" t="s">
        <v>6084</v>
      </c>
      <c r="G2098" s="17">
        <v>66910</v>
      </c>
    </row>
    <row r="2099" spans="1:7">
      <c r="A2099" s="1" t="s">
        <v>6085</v>
      </c>
      <c r="B2099" s="1" t="s">
        <v>6086</v>
      </c>
      <c r="C2099">
        <f>(1-(B7/100))*10.63</f>
        <v>10.63</v>
      </c>
      <c r="D2099" s="1">
        <v>0</v>
      </c>
      <c r="E2099">
        <f>D2099*C2099</f>
        <v>0</v>
      </c>
      <c r="F2099" s="1" t="s">
        <v>6087</v>
      </c>
      <c r="G2099" s="17">
        <v>69119</v>
      </c>
    </row>
    <row r="2100" spans="1:7">
      <c r="A2100" s="1" t="s">
        <v>6088</v>
      </c>
      <c r="B2100" s="1" t="s">
        <v>6089</v>
      </c>
      <c r="C2100">
        <f>(1-(B7/100))*109.04</f>
        <v>109.04</v>
      </c>
      <c r="D2100" s="1">
        <v>0</v>
      </c>
      <c r="E2100">
        <f>D2100*C2100</f>
        <v>0</v>
      </c>
      <c r="F2100" s="1" t="s">
        <v>6090</v>
      </c>
      <c r="G2100" s="17">
        <v>84563</v>
      </c>
    </row>
    <row r="2101" spans="1:7">
      <c r="A2101" s="1" t="s">
        <v>6091</v>
      </c>
      <c r="B2101" s="1" t="s">
        <v>6092</v>
      </c>
      <c r="C2101">
        <f>(1-(B7/100))*10.63</f>
        <v>10.63</v>
      </c>
      <c r="D2101" s="1">
        <v>0</v>
      </c>
      <c r="E2101">
        <f>D2101*C2101</f>
        <v>0</v>
      </c>
      <c r="F2101" s="1" t="s">
        <v>6093</v>
      </c>
      <c r="G2101" s="17">
        <v>84565</v>
      </c>
    </row>
    <row r="2102" spans="1:7">
      <c r="A2102" s="1" t="s">
        <v>6094</v>
      </c>
      <c r="B2102" s="1" t="s">
        <v>6095</v>
      </c>
      <c r="C2102">
        <f>(1-(B7/100))*9.1</f>
        <v>9.1</v>
      </c>
      <c r="D2102" s="1">
        <v>0</v>
      </c>
      <c r="E2102">
        <f>D2102*C2102</f>
        <v>0</v>
      </c>
      <c r="F2102" s="1" t="s">
        <v>6096</v>
      </c>
      <c r="G2102" s="17">
        <v>84566</v>
      </c>
    </row>
    <row r="2103" spans="1:7">
      <c r="A2103" s="1" t="s">
        <v>6097</v>
      </c>
      <c r="B2103" s="1" t="s">
        <v>6098</v>
      </c>
      <c r="C2103">
        <f>(1-(B7/100))*10.63</f>
        <v>10.63</v>
      </c>
      <c r="D2103" s="1">
        <v>0</v>
      </c>
      <c r="E2103">
        <f>D2103*C2103</f>
        <v>0</v>
      </c>
      <c r="F2103" s="1" t="s">
        <v>6099</v>
      </c>
      <c r="G2103" s="17">
        <v>84567</v>
      </c>
    </row>
    <row r="2104" spans="1:7">
      <c r="A2104" s="1" t="s">
        <v>6100</v>
      </c>
      <c r="B2104" s="1" t="s">
        <v>6101</v>
      </c>
      <c r="C2104">
        <f>(1-(B7/100))*1987.9</f>
        <v>1987.9</v>
      </c>
      <c r="D2104" s="1">
        <v>0</v>
      </c>
      <c r="E2104">
        <f>D2104*C2104</f>
        <v>0</v>
      </c>
      <c r="F2104" s="1" t="s">
        <v>6102</v>
      </c>
      <c r="G2104" s="17">
        <v>85053</v>
      </c>
    </row>
    <row r="2105" spans="1:7">
      <c r="A2105" s="1" t="s">
        <v>6103</v>
      </c>
      <c r="B2105" s="1" t="s">
        <v>6104</v>
      </c>
      <c r="C2105">
        <f>(1-(B7/100))*2159.21</f>
        <v>2159.21</v>
      </c>
      <c r="D2105" s="1">
        <v>0</v>
      </c>
      <c r="E2105">
        <f>D2105*C2105</f>
        <v>0</v>
      </c>
      <c r="F2105" s="1" t="s">
        <v>6105</v>
      </c>
      <c r="G2105" s="17">
        <v>85054</v>
      </c>
    </row>
    <row r="2106" spans="1:7">
      <c r="A2106" s="1" t="s">
        <v>6106</v>
      </c>
      <c r="B2106" s="1" t="s">
        <v>6107</v>
      </c>
      <c r="C2106">
        <f>(1-(B7/100))*2313.85</f>
        <v>2313.85</v>
      </c>
      <c r="D2106" s="1">
        <v>0</v>
      </c>
      <c r="E2106">
        <f>D2106*C2106</f>
        <v>0</v>
      </c>
      <c r="F2106" s="1" t="s">
        <v>6108</v>
      </c>
      <c r="G2106" s="17">
        <v>85056</v>
      </c>
    </row>
    <row r="2107" spans="1:7">
      <c r="A2107" s="1" t="s">
        <v>6109</v>
      </c>
      <c r="B2107" s="1" t="s">
        <v>6110</v>
      </c>
      <c r="C2107">
        <f>(1-(B7/100))*191.08</f>
        <v>191.08</v>
      </c>
      <c r="D2107" s="1">
        <v>0</v>
      </c>
      <c r="E2107">
        <f>D2107*C2107</f>
        <v>0</v>
      </c>
      <c r="F2107" s="1" t="s">
        <v>6111</v>
      </c>
      <c r="G2107" s="17">
        <v>85085</v>
      </c>
    </row>
    <row r="2108" spans="1:7">
      <c r="A2108" s="1" t="s">
        <v>6112</v>
      </c>
      <c r="B2108" s="1" t="s">
        <v>6113</v>
      </c>
      <c r="C2108">
        <f>(1-(B7/100))*793.52</f>
        <v>793.52</v>
      </c>
      <c r="D2108" s="1">
        <v>0</v>
      </c>
      <c r="E2108">
        <f>D2108*C2108</f>
        <v>0</v>
      </c>
      <c r="F2108" s="1" t="s">
        <v>6114</v>
      </c>
      <c r="G2108" s="17">
        <v>85404</v>
      </c>
    </row>
    <row r="2109" spans="1:7">
      <c r="A2109" s="1" t="s">
        <v>6115</v>
      </c>
      <c r="B2109" s="1" t="s">
        <v>6116</v>
      </c>
      <c r="C2109">
        <f>(1-(B7/100))*882.95</f>
        <v>882.95</v>
      </c>
      <c r="D2109" s="1">
        <v>0</v>
      </c>
      <c r="E2109">
        <f>D2109*C2109</f>
        <v>0</v>
      </c>
      <c r="F2109" s="1" t="s">
        <v>6117</v>
      </c>
      <c r="G2109" s="17">
        <v>85405</v>
      </c>
    </row>
    <row r="2110" spans="1:7">
      <c r="A2110" s="1" t="s">
        <v>6118</v>
      </c>
      <c r="B2110" s="1" t="s">
        <v>6119</v>
      </c>
      <c r="C2110">
        <f>(1-(B7/100))*844.06</f>
        <v>844.06</v>
      </c>
      <c r="D2110" s="1">
        <v>0</v>
      </c>
      <c r="E2110">
        <f>D2110*C2110</f>
        <v>0</v>
      </c>
      <c r="F2110" s="1" t="s">
        <v>6120</v>
      </c>
      <c r="G2110" s="17">
        <v>85435</v>
      </c>
    </row>
    <row r="2111" spans="1:7">
      <c r="A2111" s="1" t="s">
        <v>6121</v>
      </c>
      <c r="B2111" s="1" t="s">
        <v>6122</v>
      </c>
      <c r="C2111">
        <f>(1-(B7/100))*3220.23</f>
        <v>3220.23</v>
      </c>
      <c r="D2111" s="1">
        <v>0</v>
      </c>
      <c r="E2111">
        <f>D2111*C2111</f>
        <v>0</v>
      </c>
      <c r="F2111" s="1" t="s">
        <v>6123</v>
      </c>
      <c r="G2111" s="17">
        <v>86059</v>
      </c>
    </row>
    <row r="2112" spans="1:7">
      <c r="A2112" s="1" t="s">
        <v>6124</v>
      </c>
      <c r="B2112" s="1" t="s">
        <v>6125</v>
      </c>
      <c r="C2112">
        <f>(1-(B7/100))*10.63</f>
        <v>10.63</v>
      </c>
      <c r="D2112" s="1">
        <v>0</v>
      </c>
      <c r="E2112">
        <f>D2112*C2112</f>
        <v>0</v>
      </c>
      <c r="F2112" s="1" t="s">
        <v>6126</v>
      </c>
      <c r="G2112" s="17">
        <v>87474</v>
      </c>
    </row>
    <row r="2113" spans="1:7">
      <c r="A2113" s="16"/>
      <c r="B2113" s="16" t="s">
        <v>6127</v>
      </c>
      <c r="C2113" s="16"/>
      <c r="D2113" s="16"/>
      <c r="E2113" s="16"/>
      <c r="F2113" s="16"/>
    </row>
    <row r="2114" spans="1:7">
      <c r="A2114" s="1" t="s">
        <v>6128</v>
      </c>
      <c r="B2114" s="1" t="s">
        <v>6129</v>
      </c>
      <c r="C2114">
        <f>(1-(B7/100))*259.35</f>
        <v>259.35</v>
      </c>
      <c r="D2114" s="1">
        <v>0</v>
      </c>
      <c r="E2114">
        <f>D2114*C2114</f>
        <v>0</v>
      </c>
      <c r="F2114" s="1" t="s">
        <v>6130</v>
      </c>
      <c r="G2114" s="17">
        <v>68936</v>
      </c>
    </row>
    <row r="2115" spans="1:7">
      <c r="A2115" s="1" t="s">
        <v>6131</v>
      </c>
      <c r="B2115" s="1" t="s">
        <v>6132</v>
      </c>
      <c r="C2115">
        <f>(1-(B7/100))*281.88</f>
        <v>281.88</v>
      </c>
      <c r="D2115" s="1">
        <v>0</v>
      </c>
      <c r="E2115">
        <f>D2115*C2115</f>
        <v>0</v>
      </c>
      <c r="F2115" s="1" t="s">
        <v>6133</v>
      </c>
      <c r="G2115" s="17">
        <v>68938</v>
      </c>
    </row>
    <row r="2116" spans="1:7">
      <c r="A2116" s="16"/>
      <c r="B2116" s="16" t="s">
        <v>6134</v>
      </c>
      <c r="C2116" s="16"/>
      <c r="D2116" s="16"/>
      <c r="E2116" s="16"/>
      <c r="F2116" s="16"/>
    </row>
    <row r="2117" spans="1:7">
      <c r="A2117" s="1" t="s">
        <v>6135</v>
      </c>
      <c r="B2117" s="1" t="s">
        <v>6136</v>
      </c>
      <c r="C2117">
        <f>(1-(B7/100))*315.71</f>
        <v>315.71</v>
      </c>
      <c r="D2117" s="1">
        <v>0</v>
      </c>
      <c r="E2117">
        <f>D2117*C2117</f>
        <v>0</v>
      </c>
      <c r="F2117" s="1" t="s">
        <v>6137</v>
      </c>
      <c r="G2117" s="17">
        <v>63189</v>
      </c>
    </row>
    <row r="2118" spans="1:7">
      <c r="A2118" s="1" t="s">
        <v>6138</v>
      </c>
      <c r="B2118" s="1" t="s">
        <v>6139</v>
      </c>
      <c r="C2118">
        <f>(1-(B7/100))*316.78</f>
        <v>316.78</v>
      </c>
      <c r="D2118" s="1">
        <v>0</v>
      </c>
      <c r="E2118">
        <f>D2118*C2118</f>
        <v>0</v>
      </c>
      <c r="F2118" s="1" t="s">
        <v>6140</v>
      </c>
      <c r="G2118" s="17">
        <v>63190</v>
      </c>
    </row>
    <row r="2119" spans="1:7">
      <c r="A2119" s="1" t="s">
        <v>6141</v>
      </c>
      <c r="B2119" s="1" t="s">
        <v>6142</v>
      </c>
      <c r="C2119">
        <f>(1-(B7/100))*797.85</f>
        <v>797.85</v>
      </c>
      <c r="D2119" s="1">
        <v>0</v>
      </c>
      <c r="E2119">
        <f>D2119*C2119</f>
        <v>0</v>
      </c>
      <c r="F2119" s="1" t="s">
        <v>6143</v>
      </c>
      <c r="G2119" s="17">
        <v>63191</v>
      </c>
    </row>
    <row r="2120" spans="1:7">
      <c r="A2120" s="1" t="s">
        <v>6144</v>
      </c>
      <c r="B2120" s="1" t="s">
        <v>6145</v>
      </c>
      <c r="C2120">
        <f>(1-(B7/100))*316.52</f>
        <v>316.52</v>
      </c>
      <c r="D2120" s="1">
        <v>0</v>
      </c>
      <c r="E2120">
        <f>D2120*C2120</f>
        <v>0</v>
      </c>
      <c r="F2120" s="1" t="s">
        <v>6146</v>
      </c>
      <c r="G2120" s="17">
        <v>63192</v>
      </c>
    </row>
    <row r="2121" spans="1:7">
      <c r="A2121" s="1" t="s">
        <v>6147</v>
      </c>
      <c r="B2121" s="1" t="s">
        <v>6148</v>
      </c>
      <c r="C2121">
        <f>(1-(B7/100))*797.85</f>
        <v>797.85</v>
      </c>
      <c r="D2121" s="1">
        <v>0</v>
      </c>
      <c r="E2121">
        <f>D2121*C2121</f>
        <v>0</v>
      </c>
      <c r="F2121" s="1" t="s">
        <v>6149</v>
      </c>
      <c r="G2121" s="17">
        <v>63194</v>
      </c>
    </row>
    <row r="2122" spans="1:7">
      <c r="A2122" s="1" t="s">
        <v>6150</v>
      </c>
      <c r="B2122" s="1" t="s">
        <v>6151</v>
      </c>
      <c r="C2122">
        <f>(1-(B7/100))*450.26</f>
        <v>450.26</v>
      </c>
      <c r="D2122" s="1">
        <v>0</v>
      </c>
      <c r="E2122">
        <f>D2122*C2122</f>
        <v>0</v>
      </c>
      <c r="F2122" s="1" t="s">
        <v>6152</v>
      </c>
      <c r="G2122" s="17">
        <v>63326</v>
      </c>
    </row>
    <row r="2123" spans="1:7">
      <c r="A2123" s="1" t="s">
        <v>6153</v>
      </c>
      <c r="B2123" s="1" t="s">
        <v>6154</v>
      </c>
      <c r="C2123">
        <f>(1-(B7/100))*178.45</f>
        <v>178.45</v>
      </c>
      <c r="D2123" s="1">
        <v>0</v>
      </c>
      <c r="E2123">
        <f>D2123*C2123</f>
        <v>0</v>
      </c>
      <c r="F2123" s="1" t="s">
        <v>16</v>
      </c>
      <c r="G2123" s="17">
        <v>70335</v>
      </c>
    </row>
    <row r="2124" spans="1:7">
      <c r="A2124" s="1" t="s">
        <v>6155</v>
      </c>
      <c r="B2124" s="1" t="s">
        <v>6156</v>
      </c>
      <c r="C2124">
        <f>(1-(B7/100))*370.12</f>
        <v>370.12</v>
      </c>
      <c r="D2124" s="1">
        <v>0</v>
      </c>
      <c r="E2124">
        <f>D2124*C2124</f>
        <v>0</v>
      </c>
      <c r="F2124" s="1" t="s">
        <v>6157</v>
      </c>
      <c r="G2124" s="17">
        <v>71589</v>
      </c>
    </row>
    <row r="2125" spans="1:7">
      <c r="A2125" s="1" t="s">
        <v>6158</v>
      </c>
      <c r="B2125" s="1" t="s">
        <v>6159</v>
      </c>
      <c r="C2125">
        <f>(1-(B7/100))*288.18</f>
        <v>288.18</v>
      </c>
      <c r="D2125" s="1">
        <v>0</v>
      </c>
      <c r="E2125">
        <f>D2125*C2125</f>
        <v>0</v>
      </c>
      <c r="F2125" s="1" t="s">
        <v>6160</v>
      </c>
      <c r="G2125" s="17">
        <v>71590</v>
      </c>
    </row>
    <row r="2126" spans="1:7">
      <c r="A2126" s="1" t="s">
        <v>6161</v>
      </c>
      <c r="B2126" s="1" t="s">
        <v>6162</v>
      </c>
      <c r="C2126">
        <f>(1-(B7/100))*145.73</f>
        <v>145.73</v>
      </c>
      <c r="D2126" s="1">
        <v>0</v>
      </c>
      <c r="E2126">
        <f>D2126*C2126</f>
        <v>0</v>
      </c>
      <c r="F2126" s="1" t="s">
        <v>16</v>
      </c>
      <c r="G2126" s="17">
        <v>71989</v>
      </c>
    </row>
    <row r="2127" spans="1:7">
      <c r="A2127" s="1" t="s">
        <v>6163</v>
      </c>
      <c r="B2127" s="1" t="s">
        <v>6164</v>
      </c>
      <c r="C2127">
        <f>(1-(B7/100))*150</f>
        <v>150</v>
      </c>
      <c r="D2127" s="1">
        <v>0</v>
      </c>
      <c r="E2127">
        <f>D2127*C2127</f>
        <v>0</v>
      </c>
      <c r="F2127" s="1" t="s">
        <v>6165</v>
      </c>
      <c r="G2127" s="17">
        <v>72170</v>
      </c>
    </row>
    <row r="2128" spans="1:7">
      <c r="A2128" s="1" t="s">
        <v>6166</v>
      </c>
      <c r="B2128" s="1" t="s">
        <v>6167</v>
      </c>
      <c r="C2128">
        <f>(1-(B7/100))*169.14</f>
        <v>169.14</v>
      </c>
      <c r="D2128" s="1">
        <v>0</v>
      </c>
      <c r="E2128">
        <f>D2128*C2128</f>
        <v>0</v>
      </c>
      <c r="F2128" s="1" t="s">
        <v>6168</v>
      </c>
      <c r="G2128" s="17">
        <v>73000</v>
      </c>
    </row>
    <row r="2129" spans="1:7">
      <c r="A2129" s="1" t="s">
        <v>6169</v>
      </c>
      <c r="B2129" s="1" t="s">
        <v>6170</v>
      </c>
      <c r="C2129">
        <f>(1-(B7/100))*78.57</f>
        <v>78.57</v>
      </c>
      <c r="D2129" s="1">
        <v>0</v>
      </c>
      <c r="E2129">
        <f>D2129*C2129</f>
        <v>0</v>
      </c>
      <c r="F2129" s="1" t="s">
        <v>6171</v>
      </c>
      <c r="G2129" s="17">
        <v>73002</v>
      </c>
    </row>
    <row r="2130" spans="1:7">
      <c r="A2130" s="1" t="s">
        <v>6172</v>
      </c>
      <c r="B2130" s="1" t="s">
        <v>6173</v>
      </c>
      <c r="C2130">
        <f>(1-(B7/100))*325.94</f>
        <v>325.94</v>
      </c>
      <c r="D2130" s="1">
        <v>0</v>
      </c>
      <c r="E2130">
        <f>D2130*C2130</f>
        <v>0</v>
      </c>
      <c r="F2130" s="1" t="s">
        <v>6174</v>
      </c>
      <c r="G2130" s="17">
        <v>84930</v>
      </c>
    </row>
    <row r="2131" spans="1:7">
      <c r="A2131" s="1" t="s">
        <v>6175</v>
      </c>
      <c r="B2131" s="1" t="s">
        <v>6176</v>
      </c>
      <c r="C2131">
        <f>(1-(B7/100))*412.24</f>
        <v>412.24</v>
      </c>
      <c r="D2131" s="1">
        <v>0</v>
      </c>
      <c r="E2131">
        <f>D2131*C2131</f>
        <v>0</v>
      </c>
      <c r="F2131" s="1" t="s">
        <v>6177</v>
      </c>
      <c r="G2131" s="17">
        <v>85548</v>
      </c>
    </row>
    <row r="2132" spans="1:7">
      <c r="A2132" s="1" t="s">
        <v>6178</v>
      </c>
      <c r="B2132" s="1" t="s">
        <v>6179</v>
      </c>
      <c r="C2132">
        <f>(1-(B7/100))*452.12</f>
        <v>452.12</v>
      </c>
      <c r="D2132" s="1">
        <v>0</v>
      </c>
      <c r="E2132">
        <f>D2132*C2132</f>
        <v>0</v>
      </c>
      <c r="F2132" s="1" t="s">
        <v>6180</v>
      </c>
      <c r="G2132" s="17">
        <v>85550</v>
      </c>
    </row>
    <row r="2133" spans="1:7">
      <c r="A2133" s="1" t="s">
        <v>6181</v>
      </c>
      <c r="B2133" s="1" t="s">
        <v>6182</v>
      </c>
      <c r="C2133">
        <f>(1-(B7/100))*477.28</f>
        <v>477.28</v>
      </c>
      <c r="D2133" s="1">
        <v>0</v>
      </c>
      <c r="E2133">
        <f>D2133*C2133</f>
        <v>0</v>
      </c>
      <c r="F2133" s="1" t="s">
        <v>6183</v>
      </c>
      <c r="G2133" s="17">
        <v>85552</v>
      </c>
    </row>
    <row r="2134" spans="1:7">
      <c r="A2134" s="1" t="s">
        <v>6184</v>
      </c>
      <c r="B2134" s="1" t="s">
        <v>6185</v>
      </c>
      <c r="C2134">
        <f>(1-(B7/100))*1485.74</f>
        <v>1485.74</v>
      </c>
      <c r="D2134" s="1">
        <v>0</v>
      </c>
      <c r="E2134">
        <f>D2134*C2134</f>
        <v>0</v>
      </c>
      <c r="F2134" s="1" t="s">
        <v>16</v>
      </c>
      <c r="G2134" s="17">
        <v>85561</v>
      </c>
    </row>
    <row r="2135" spans="1:7">
      <c r="A2135" s="1" t="s">
        <v>6186</v>
      </c>
      <c r="B2135" s="1" t="s">
        <v>6187</v>
      </c>
      <c r="C2135">
        <f>(1-(B7/100))*324.74</f>
        <v>324.74</v>
      </c>
      <c r="D2135" s="1">
        <v>0</v>
      </c>
      <c r="E2135">
        <f>D2135*C2135</f>
        <v>0</v>
      </c>
      <c r="F2135" s="1" t="s">
        <v>6188</v>
      </c>
      <c r="G2135" s="17">
        <v>86515</v>
      </c>
    </row>
    <row r="2136" spans="1:7">
      <c r="A2136" s="1" t="s">
        <v>6189</v>
      </c>
      <c r="B2136" s="1" t="s">
        <v>6190</v>
      </c>
      <c r="C2136">
        <f>(1-(B7/100))*327.79</f>
        <v>327.79</v>
      </c>
      <c r="D2136" s="1">
        <v>0</v>
      </c>
      <c r="E2136">
        <f>D2136*C2136</f>
        <v>0</v>
      </c>
      <c r="F2136" s="1" t="s">
        <v>6191</v>
      </c>
      <c r="G2136" s="17">
        <v>86522</v>
      </c>
    </row>
    <row r="2137" spans="1:7">
      <c r="A2137" s="1" t="s">
        <v>6192</v>
      </c>
      <c r="B2137" s="1" t="s">
        <v>6193</v>
      </c>
      <c r="C2137">
        <f>(1-(B7/100))*274.53</f>
        <v>274.53</v>
      </c>
      <c r="D2137" s="1">
        <v>0</v>
      </c>
      <c r="E2137">
        <f>D2137*C2137</f>
        <v>0</v>
      </c>
      <c r="F2137" s="1" t="s">
        <v>6194</v>
      </c>
      <c r="G2137" s="17">
        <v>86523</v>
      </c>
    </row>
    <row r="2138" spans="1:7">
      <c r="A2138" s="1" t="s">
        <v>6195</v>
      </c>
      <c r="B2138" s="1" t="s">
        <v>6196</v>
      </c>
      <c r="C2138">
        <f>(1-(B7/100))*112.5</f>
        <v>112.5</v>
      </c>
      <c r="D2138" s="1">
        <v>0</v>
      </c>
      <c r="E2138">
        <f>D2138*C2138</f>
        <v>0</v>
      </c>
      <c r="F2138" s="1" t="s">
        <v>16</v>
      </c>
      <c r="G2138" s="17">
        <v>86863</v>
      </c>
    </row>
    <row r="2139" spans="1:7">
      <c r="A2139" s="1" t="s">
        <v>6197</v>
      </c>
      <c r="B2139" s="1" t="s">
        <v>6198</v>
      </c>
      <c r="C2139">
        <f>(1-(B7/100))*121.78</f>
        <v>121.78</v>
      </c>
      <c r="D2139" s="1">
        <v>0</v>
      </c>
      <c r="E2139">
        <f>D2139*C2139</f>
        <v>0</v>
      </c>
      <c r="F2139" s="1" t="s">
        <v>16</v>
      </c>
      <c r="G2139" s="17">
        <v>87490</v>
      </c>
    </row>
    <row r="2140" spans="1:7">
      <c r="A2140" s="16"/>
      <c r="B2140" s="16" t="s">
        <v>6199</v>
      </c>
      <c r="C2140" s="16"/>
      <c r="D2140" s="16"/>
      <c r="E2140" s="16"/>
      <c r="F2140" s="16"/>
    </row>
    <row r="2141" spans="1:7">
      <c r="A2141" s="1" t="s">
        <v>6200</v>
      </c>
      <c r="B2141" s="1" t="s">
        <v>6201</v>
      </c>
      <c r="C2141">
        <f>(1-(B7/100))*540.41</f>
        <v>540.41</v>
      </c>
      <c r="D2141" s="1">
        <v>0</v>
      </c>
      <c r="E2141">
        <f>D2141*C2141</f>
        <v>0</v>
      </c>
      <c r="F2141" s="1" t="s">
        <v>6202</v>
      </c>
      <c r="G2141" s="17">
        <v>68957</v>
      </c>
    </row>
    <row r="2142" spans="1:7">
      <c r="A2142" s="1" t="s">
        <v>6203</v>
      </c>
      <c r="B2142" s="1" t="s">
        <v>6204</v>
      </c>
      <c r="C2142">
        <f>(1-(B7/100))*139.42</f>
        <v>139.42</v>
      </c>
      <c r="D2142" s="1">
        <v>0</v>
      </c>
      <c r="E2142">
        <f>D2142*C2142</f>
        <v>0</v>
      </c>
      <c r="F2142" s="1" t="s">
        <v>6205</v>
      </c>
      <c r="G2142" s="17">
        <v>76655</v>
      </c>
    </row>
    <row r="2143" spans="1:7">
      <c r="A2143" s="1" t="s">
        <v>6206</v>
      </c>
      <c r="B2143" s="1" t="s">
        <v>6207</v>
      </c>
      <c r="C2143">
        <f>(1-(B7/100))*139.42</f>
        <v>139.42</v>
      </c>
      <c r="D2143" s="1">
        <v>0</v>
      </c>
      <c r="E2143">
        <f>D2143*C2143</f>
        <v>0</v>
      </c>
      <c r="F2143" s="1" t="s">
        <v>6208</v>
      </c>
      <c r="G2143" s="17">
        <v>76656</v>
      </c>
    </row>
    <row r="2144" spans="1:7">
      <c r="A2144" s="1" t="s">
        <v>6209</v>
      </c>
      <c r="B2144" s="1" t="s">
        <v>6210</v>
      </c>
      <c r="C2144">
        <f>(1-(B7/100))*77.75</f>
        <v>77.75</v>
      </c>
      <c r="D2144" s="1">
        <v>0</v>
      </c>
      <c r="E2144">
        <f>D2144*C2144</f>
        <v>0</v>
      </c>
      <c r="F2144" s="1" t="s">
        <v>6211</v>
      </c>
      <c r="G2144" s="17">
        <v>76694</v>
      </c>
    </row>
    <row r="2145" spans="1:7">
      <c r="A2145" s="1" t="s">
        <v>6212</v>
      </c>
      <c r="B2145" s="1" t="s">
        <v>6213</v>
      </c>
      <c r="C2145">
        <f>(1-(B7/100))*56.22</f>
        <v>56.22</v>
      </c>
      <c r="D2145" s="1">
        <v>0</v>
      </c>
      <c r="E2145">
        <f>D2145*C2145</f>
        <v>0</v>
      </c>
      <c r="F2145" s="1" t="s">
        <v>6214</v>
      </c>
      <c r="G2145" s="17">
        <v>76703</v>
      </c>
    </row>
    <row r="2146" spans="1:7">
      <c r="A2146" s="1" t="s">
        <v>6215</v>
      </c>
      <c r="B2146" s="1" t="s">
        <v>6216</v>
      </c>
      <c r="C2146">
        <f>(1-(B7/100))*101.46</f>
        <v>101.46</v>
      </c>
      <c r="D2146" s="1">
        <v>0</v>
      </c>
      <c r="E2146">
        <f>D2146*C2146</f>
        <v>0</v>
      </c>
      <c r="F2146" s="1" t="s">
        <v>6217</v>
      </c>
      <c r="G2146" s="17">
        <v>84413</v>
      </c>
    </row>
    <row r="2147" spans="1:7">
      <c r="A2147" s="1" t="s">
        <v>6218</v>
      </c>
      <c r="B2147" s="1" t="s">
        <v>6219</v>
      </c>
      <c r="C2147">
        <f>(1-(B7/100))*101.46</f>
        <v>101.46</v>
      </c>
      <c r="D2147" s="1">
        <v>0</v>
      </c>
      <c r="E2147">
        <f>D2147*C2147</f>
        <v>0</v>
      </c>
      <c r="F2147" s="1" t="s">
        <v>6220</v>
      </c>
      <c r="G2147" s="17">
        <v>84414</v>
      </c>
    </row>
    <row r="2148" spans="1:7">
      <c r="A2148" s="1" t="s">
        <v>6221</v>
      </c>
      <c r="B2148" s="1" t="s">
        <v>6222</v>
      </c>
      <c r="C2148">
        <f>(1-(B7/100))*242.93</f>
        <v>242.93</v>
      </c>
      <c r="D2148" s="1">
        <v>0</v>
      </c>
      <c r="E2148">
        <f>D2148*C2148</f>
        <v>0</v>
      </c>
      <c r="F2148" s="1" t="s">
        <v>6223</v>
      </c>
      <c r="G2148" s="17">
        <v>84416</v>
      </c>
    </row>
    <row r="2149" spans="1:7">
      <c r="A2149" s="1" t="s">
        <v>6224</v>
      </c>
      <c r="B2149" s="1" t="s">
        <v>6225</v>
      </c>
      <c r="C2149">
        <f>(1-(B7/100))*101.46</f>
        <v>101.46</v>
      </c>
      <c r="D2149" s="1">
        <v>0</v>
      </c>
      <c r="E2149">
        <f>D2149*C2149</f>
        <v>0</v>
      </c>
      <c r="F2149" s="1" t="s">
        <v>6226</v>
      </c>
      <c r="G2149" s="17">
        <v>85139</v>
      </c>
    </row>
    <row r="2150" spans="1:7">
      <c r="A2150" s="1" t="s">
        <v>6227</v>
      </c>
      <c r="B2150" s="1" t="s">
        <v>6228</v>
      </c>
      <c r="C2150">
        <f>(1-(B7/100))*101.46</f>
        <v>101.46</v>
      </c>
      <c r="D2150" s="1">
        <v>0</v>
      </c>
      <c r="E2150">
        <f>D2150*C2150</f>
        <v>0</v>
      </c>
      <c r="F2150" s="1" t="s">
        <v>6229</v>
      </c>
      <c r="G2150" s="17">
        <v>85140</v>
      </c>
    </row>
    <row r="2151" spans="1:7">
      <c r="A2151" s="16"/>
      <c r="B2151" s="16" t="s">
        <v>6230</v>
      </c>
      <c r="C2151" s="16"/>
      <c r="D2151" s="16"/>
      <c r="E2151" s="16"/>
      <c r="F2151" s="16"/>
    </row>
    <row r="2152" spans="1:7">
      <c r="A2152" s="1" t="s">
        <v>6231</v>
      </c>
      <c r="B2152" s="1" t="s">
        <v>6232</v>
      </c>
      <c r="C2152">
        <f>(1-(B7/100))*53.18</f>
        <v>53.18</v>
      </c>
      <c r="D2152" s="1">
        <v>0</v>
      </c>
      <c r="E2152">
        <f>D2152*C2152</f>
        <v>0</v>
      </c>
      <c r="F2152" s="1" t="s">
        <v>6233</v>
      </c>
      <c r="G2152" s="17">
        <v>63357</v>
      </c>
    </row>
    <row r="2153" spans="1:7">
      <c r="A2153" s="1" t="s">
        <v>6234</v>
      </c>
      <c r="B2153" s="1" t="s">
        <v>6235</v>
      </c>
      <c r="C2153">
        <f>(1-(B7/100))*545.76</f>
        <v>545.76</v>
      </c>
      <c r="D2153" s="1">
        <v>0</v>
      </c>
      <c r="E2153">
        <f>D2153*C2153</f>
        <v>0</v>
      </c>
      <c r="F2153" s="1" t="s">
        <v>6236</v>
      </c>
      <c r="G2153" s="17">
        <v>68929</v>
      </c>
    </row>
    <row r="2154" spans="1:7">
      <c r="A2154" s="1" t="s">
        <v>6237</v>
      </c>
      <c r="B2154" s="1" t="s">
        <v>6238</v>
      </c>
      <c r="C2154">
        <f>(1-(B7/100))*53.18</f>
        <v>53.18</v>
      </c>
      <c r="D2154" s="1">
        <v>0</v>
      </c>
      <c r="E2154">
        <f>D2154*C2154</f>
        <v>0</v>
      </c>
      <c r="F2154" s="1" t="s">
        <v>6239</v>
      </c>
      <c r="G2154" s="17">
        <v>69014</v>
      </c>
    </row>
    <row r="2155" spans="1:7">
      <c r="A2155" s="1" t="s">
        <v>6240</v>
      </c>
      <c r="B2155" s="1" t="s">
        <v>6241</v>
      </c>
      <c r="C2155">
        <f>(1-(B7/100))*545.76</f>
        <v>545.76</v>
      </c>
      <c r="D2155" s="1">
        <v>0</v>
      </c>
      <c r="E2155">
        <f>D2155*C2155</f>
        <v>0</v>
      </c>
      <c r="F2155" s="1" t="s">
        <v>6242</v>
      </c>
      <c r="G2155" s="17">
        <v>84260</v>
      </c>
    </row>
    <row r="2156" spans="1:7">
      <c r="A2156" s="1" t="s">
        <v>6243</v>
      </c>
      <c r="B2156" s="1" t="s">
        <v>6244</v>
      </c>
      <c r="C2156">
        <f>(1-(B7/100))*36.3</f>
        <v>36.3</v>
      </c>
      <c r="D2156" s="1">
        <v>0</v>
      </c>
      <c r="E2156">
        <f>D2156*C2156</f>
        <v>0</v>
      </c>
      <c r="F2156" s="1" t="s">
        <v>6245</v>
      </c>
      <c r="G2156" s="17">
        <v>84424</v>
      </c>
    </row>
    <row r="2157" spans="1:7">
      <c r="A2157" s="1" t="s">
        <v>6246</v>
      </c>
      <c r="B2157" s="1" t="s">
        <v>6247</v>
      </c>
      <c r="C2157">
        <f>(1-(B7/100))*48.6</f>
        <v>48.6</v>
      </c>
      <c r="D2157" s="1">
        <v>0</v>
      </c>
      <c r="E2157">
        <f>D2157*C2157</f>
        <v>0</v>
      </c>
      <c r="F2157" s="1" t="s">
        <v>6248</v>
      </c>
      <c r="G2157" s="17">
        <v>84435</v>
      </c>
    </row>
    <row r="2158" spans="1:7">
      <c r="A2158" s="1" t="s">
        <v>6249</v>
      </c>
      <c r="B2158" s="1" t="s">
        <v>6250</v>
      </c>
      <c r="C2158">
        <f>(1-(B7/100))*29.95</f>
        <v>29.95</v>
      </c>
      <c r="D2158" s="1">
        <v>0</v>
      </c>
      <c r="E2158">
        <f>D2158*C2158</f>
        <v>0</v>
      </c>
      <c r="F2158" s="1" t="s">
        <v>6251</v>
      </c>
      <c r="G2158" s="17">
        <v>84436</v>
      </c>
    </row>
    <row r="2159" spans="1:7">
      <c r="A2159" s="1" t="s">
        <v>6252</v>
      </c>
      <c r="B2159" s="1" t="s">
        <v>6253</v>
      </c>
      <c r="C2159">
        <f>(1-(B7/100))*29.95</f>
        <v>29.95</v>
      </c>
      <c r="D2159" s="1">
        <v>0</v>
      </c>
      <c r="E2159">
        <f>D2159*C2159</f>
        <v>0</v>
      </c>
      <c r="F2159" s="1" t="s">
        <v>6254</v>
      </c>
      <c r="G2159" s="17">
        <v>84437</v>
      </c>
    </row>
    <row r="2160" spans="1:7">
      <c r="A2160" s="1" t="s">
        <v>6255</v>
      </c>
      <c r="B2160" s="1" t="s">
        <v>6256</v>
      </c>
      <c r="C2160">
        <f>(1-(B7/100))*29.95</f>
        <v>29.95</v>
      </c>
      <c r="D2160" s="1">
        <v>0</v>
      </c>
      <c r="E2160">
        <f>D2160*C2160</f>
        <v>0</v>
      </c>
      <c r="F2160" s="1" t="s">
        <v>6257</v>
      </c>
      <c r="G2160" s="17">
        <v>84438</v>
      </c>
    </row>
    <row r="2161" spans="1:7">
      <c r="A2161" s="1" t="s">
        <v>6258</v>
      </c>
      <c r="B2161" s="1" t="s">
        <v>6259</v>
      </c>
      <c r="C2161">
        <f>(1-(B7/100))*53.18</f>
        <v>53.18</v>
      </c>
      <c r="D2161" s="1">
        <v>0</v>
      </c>
      <c r="E2161">
        <f>D2161*C2161</f>
        <v>0</v>
      </c>
      <c r="F2161" s="1" t="s">
        <v>6260</v>
      </c>
      <c r="G2161" s="17">
        <v>84444</v>
      </c>
    </row>
    <row r="2162" spans="1:7">
      <c r="A2162" s="1" t="s">
        <v>6261</v>
      </c>
      <c r="B2162" s="1" t="s">
        <v>6262</v>
      </c>
      <c r="C2162">
        <f>(1-(B7/100))*63.03</f>
        <v>63.03</v>
      </c>
      <c r="D2162" s="1">
        <v>0</v>
      </c>
      <c r="E2162">
        <f>D2162*C2162</f>
        <v>0</v>
      </c>
      <c r="F2162" s="1" t="s">
        <v>6263</v>
      </c>
      <c r="G2162" s="17">
        <v>84451</v>
      </c>
    </row>
    <row r="2163" spans="1:7">
      <c r="A2163" s="1" t="s">
        <v>6264</v>
      </c>
      <c r="B2163" s="1" t="s">
        <v>6265</v>
      </c>
      <c r="C2163">
        <f>(1-(B7/100))*29.95</f>
        <v>29.95</v>
      </c>
      <c r="D2163" s="1">
        <v>0</v>
      </c>
      <c r="E2163">
        <f>D2163*C2163</f>
        <v>0</v>
      </c>
      <c r="F2163" s="1" t="s">
        <v>6266</v>
      </c>
      <c r="G2163" s="17">
        <v>84456</v>
      </c>
    </row>
    <row r="2164" spans="1:7">
      <c r="A2164" s="1" t="s">
        <v>6267</v>
      </c>
      <c r="B2164" s="1" t="s">
        <v>6268</v>
      </c>
      <c r="C2164">
        <f>(1-(B7/100))*35.85</f>
        <v>35.85</v>
      </c>
      <c r="D2164" s="1">
        <v>0</v>
      </c>
      <c r="E2164">
        <f>D2164*C2164</f>
        <v>0</v>
      </c>
      <c r="F2164" s="1" t="s">
        <v>6269</v>
      </c>
      <c r="G2164" s="17">
        <v>85148</v>
      </c>
    </row>
    <row r="2165" spans="1:7">
      <c r="A2165" s="1" t="s">
        <v>6270</v>
      </c>
      <c r="B2165" s="1" t="s">
        <v>6271</v>
      </c>
      <c r="C2165">
        <f>(1-(B7/100))*36.3</f>
        <v>36.3</v>
      </c>
      <c r="D2165" s="1">
        <v>0</v>
      </c>
      <c r="E2165">
        <f>D2165*C2165</f>
        <v>0</v>
      </c>
      <c r="F2165" s="1" t="s">
        <v>6272</v>
      </c>
      <c r="G2165" s="17">
        <v>85151</v>
      </c>
    </row>
    <row r="2166" spans="1:7">
      <c r="A2166" s="1" t="s">
        <v>6273</v>
      </c>
      <c r="B2166" s="1" t="s">
        <v>6274</v>
      </c>
      <c r="C2166">
        <f>(1-(B7/100))*58.71</f>
        <v>58.71</v>
      </c>
      <c r="D2166" s="1">
        <v>0</v>
      </c>
      <c r="E2166">
        <f>D2166*C2166</f>
        <v>0</v>
      </c>
      <c r="F2166" s="1" t="s">
        <v>6275</v>
      </c>
      <c r="G2166" s="17">
        <v>85153</v>
      </c>
    </row>
    <row r="2167" spans="1:7">
      <c r="A2167" s="1" t="s">
        <v>6276</v>
      </c>
      <c r="B2167" s="1" t="s">
        <v>6277</v>
      </c>
      <c r="C2167">
        <f>(1-(B7/100))*36.3</f>
        <v>36.3</v>
      </c>
      <c r="D2167" s="1">
        <v>0</v>
      </c>
      <c r="E2167">
        <f>D2167*C2167</f>
        <v>0</v>
      </c>
      <c r="F2167" s="1" t="s">
        <v>6278</v>
      </c>
      <c r="G2167" s="17">
        <v>85156</v>
      </c>
    </row>
    <row r="2168" spans="1:7">
      <c r="A2168" s="16"/>
      <c r="B2168" s="16" t="s">
        <v>6279</v>
      </c>
      <c r="C2168" s="16"/>
      <c r="D2168" s="16"/>
      <c r="E2168" s="16"/>
      <c r="F2168" s="16"/>
    </row>
    <row r="2169" spans="1:7">
      <c r="A2169" s="16"/>
      <c r="B2169" s="16" t="s">
        <v>6280</v>
      </c>
      <c r="C2169" s="16"/>
      <c r="D2169" s="16"/>
      <c r="E2169" s="16"/>
      <c r="F2169" s="16"/>
    </row>
    <row r="2170" spans="1:7">
      <c r="A2170" s="16"/>
      <c r="B2170" s="16" t="s">
        <v>6281</v>
      </c>
      <c r="C2170" s="16"/>
      <c r="D2170" s="16"/>
      <c r="E2170" s="16"/>
      <c r="F2170" s="16"/>
    </row>
    <row r="2171" spans="1:7">
      <c r="A2171" s="1" t="s">
        <v>6282</v>
      </c>
      <c r="B2171" s="1" t="s">
        <v>6283</v>
      </c>
      <c r="C2171">
        <f>(1-(B7/100))*208</f>
        <v>208</v>
      </c>
      <c r="D2171" s="1">
        <v>0</v>
      </c>
      <c r="E2171">
        <f>D2171*C2171</f>
        <v>0</v>
      </c>
      <c r="F2171" s="1" t="s">
        <v>6284</v>
      </c>
      <c r="G2171" s="17">
        <v>84461</v>
      </c>
    </row>
    <row r="2172" spans="1:7">
      <c r="A2172" s="1" t="s">
        <v>6285</v>
      </c>
      <c r="B2172" s="1" t="s">
        <v>6286</v>
      </c>
      <c r="C2172">
        <f>(1-(B7/100))*32.76</f>
        <v>32.76</v>
      </c>
      <c r="D2172" s="1">
        <v>0</v>
      </c>
      <c r="E2172">
        <f>D2172*C2172</f>
        <v>0</v>
      </c>
      <c r="F2172" s="1" t="s">
        <v>6287</v>
      </c>
      <c r="G2172" s="17">
        <v>84665</v>
      </c>
    </row>
    <row r="2173" spans="1:7">
      <c r="A2173" s="1" t="s">
        <v>6288</v>
      </c>
      <c r="B2173" s="1" t="s">
        <v>6289</v>
      </c>
      <c r="C2173">
        <f>(1-(B7/100))*214.38</f>
        <v>214.38</v>
      </c>
      <c r="D2173" s="1">
        <v>0</v>
      </c>
      <c r="E2173">
        <f>D2173*C2173</f>
        <v>0</v>
      </c>
      <c r="F2173" s="1" t="s">
        <v>6290</v>
      </c>
      <c r="G2173" s="17">
        <v>84709</v>
      </c>
    </row>
    <row r="2174" spans="1:7">
      <c r="A2174" s="1" t="s">
        <v>6291</v>
      </c>
      <c r="B2174" s="1" t="s">
        <v>6292</v>
      </c>
      <c r="C2174">
        <f>(1-(B7/100))*142.89</f>
        <v>142.89</v>
      </c>
      <c r="D2174" s="1">
        <v>0</v>
      </c>
      <c r="E2174">
        <f>D2174*C2174</f>
        <v>0</v>
      </c>
      <c r="F2174" s="1" t="s">
        <v>6293</v>
      </c>
      <c r="G2174" s="17">
        <v>84710</v>
      </c>
    </row>
    <row r="2175" spans="1:7">
      <c r="A2175" s="1" t="s">
        <v>6294</v>
      </c>
      <c r="B2175" s="1" t="s">
        <v>6295</v>
      </c>
      <c r="C2175">
        <f>(1-(B7/100))*251.41</f>
        <v>251.41</v>
      </c>
      <c r="D2175" s="1">
        <v>0</v>
      </c>
      <c r="E2175">
        <f>D2175*C2175</f>
        <v>0</v>
      </c>
      <c r="F2175" s="1" t="s">
        <v>6296</v>
      </c>
      <c r="G2175" s="17">
        <v>84725</v>
      </c>
    </row>
    <row r="2176" spans="1:7">
      <c r="A2176" s="1" t="s">
        <v>6297</v>
      </c>
      <c r="B2176" s="1" t="s">
        <v>6298</v>
      </c>
      <c r="C2176">
        <f>(1-(B7/100))*420.55</f>
        <v>420.55</v>
      </c>
      <c r="D2176" s="1">
        <v>0</v>
      </c>
      <c r="E2176">
        <f>D2176*C2176</f>
        <v>0</v>
      </c>
      <c r="F2176" s="1" t="s">
        <v>6299</v>
      </c>
      <c r="G2176" s="17">
        <v>84788</v>
      </c>
    </row>
    <row r="2177" spans="1:7">
      <c r="A2177" s="1" t="s">
        <v>6300</v>
      </c>
      <c r="B2177" s="1" t="s">
        <v>6301</v>
      </c>
      <c r="C2177">
        <f>(1-(B7/100))*288.43</f>
        <v>288.43</v>
      </c>
      <c r="D2177" s="1">
        <v>0</v>
      </c>
      <c r="E2177">
        <f>D2177*C2177</f>
        <v>0</v>
      </c>
      <c r="F2177" s="1" t="s">
        <v>6302</v>
      </c>
      <c r="G2177" s="17">
        <v>85168</v>
      </c>
    </row>
    <row r="2178" spans="1:7">
      <c r="A2178" s="1" t="s">
        <v>6303</v>
      </c>
      <c r="B2178" s="1" t="s">
        <v>6304</v>
      </c>
      <c r="C2178">
        <f>(1-(B7/100))*279.16</f>
        <v>279.16</v>
      </c>
      <c r="D2178" s="1">
        <v>0</v>
      </c>
      <c r="E2178">
        <f>D2178*C2178</f>
        <v>0</v>
      </c>
      <c r="F2178" s="1" t="s">
        <v>6305</v>
      </c>
      <c r="G2178" s="17">
        <v>85169</v>
      </c>
    </row>
    <row r="2179" spans="1:7">
      <c r="A2179" s="1" t="s">
        <v>6306</v>
      </c>
      <c r="B2179" s="1" t="s">
        <v>6307</v>
      </c>
      <c r="C2179">
        <f>(1-(B7/100))*276.76</f>
        <v>276.76</v>
      </c>
      <c r="D2179" s="1">
        <v>0</v>
      </c>
      <c r="E2179">
        <f>D2179*C2179</f>
        <v>0</v>
      </c>
      <c r="F2179" s="1" t="s">
        <v>6308</v>
      </c>
      <c r="G2179" s="17">
        <v>85330</v>
      </c>
    </row>
    <row r="2180" spans="1:7">
      <c r="A2180" s="1" t="s">
        <v>6309</v>
      </c>
      <c r="B2180" s="1" t="s">
        <v>6310</v>
      </c>
      <c r="C2180">
        <f>(1-(B7/100))*163.73</f>
        <v>163.73</v>
      </c>
      <c r="D2180" s="1">
        <v>0</v>
      </c>
      <c r="E2180">
        <f>D2180*C2180</f>
        <v>0</v>
      </c>
      <c r="F2180" s="1" t="s">
        <v>6311</v>
      </c>
      <c r="G2180" s="17">
        <v>85336</v>
      </c>
    </row>
    <row r="2181" spans="1:7">
      <c r="A2181" s="1" t="s">
        <v>6312</v>
      </c>
      <c r="B2181" s="1" t="s">
        <v>6313</v>
      </c>
      <c r="C2181">
        <f>(1-(B7/100))*154.64</f>
        <v>154.64</v>
      </c>
      <c r="D2181" s="1">
        <v>0</v>
      </c>
      <c r="E2181">
        <f>D2181*C2181</f>
        <v>0</v>
      </c>
      <c r="F2181" s="1" t="s">
        <v>6314</v>
      </c>
      <c r="G2181" s="17">
        <v>85393</v>
      </c>
    </row>
    <row r="2182" spans="1:7">
      <c r="A2182" s="1" t="s">
        <v>6315</v>
      </c>
      <c r="B2182" s="1" t="s">
        <v>6316</v>
      </c>
      <c r="C2182">
        <f>(1-(B7/100))*154.64</f>
        <v>154.64</v>
      </c>
      <c r="D2182" s="1">
        <v>0</v>
      </c>
      <c r="E2182">
        <f>D2182*C2182</f>
        <v>0</v>
      </c>
      <c r="F2182" s="1" t="s">
        <v>6317</v>
      </c>
      <c r="G2182" s="17">
        <v>85394</v>
      </c>
    </row>
    <row r="2183" spans="1:7">
      <c r="A2183" s="1" t="s">
        <v>6318</v>
      </c>
      <c r="B2183" s="1" t="s">
        <v>6319</v>
      </c>
      <c r="C2183">
        <f>(1-(B7/100))*394.48</f>
        <v>394.48</v>
      </c>
      <c r="D2183" s="1">
        <v>0</v>
      </c>
      <c r="E2183">
        <f>D2183*C2183</f>
        <v>0</v>
      </c>
      <c r="F2183" s="1" t="s">
        <v>6320</v>
      </c>
      <c r="G2183" s="17">
        <v>85396</v>
      </c>
    </row>
    <row r="2184" spans="1:7">
      <c r="A2184" s="1" t="s">
        <v>6321</v>
      </c>
      <c r="B2184" s="1" t="s">
        <v>6322</v>
      </c>
      <c r="C2184">
        <f>(1-(B7/100))*445.07</f>
        <v>445.07</v>
      </c>
      <c r="D2184" s="1">
        <v>0</v>
      </c>
      <c r="E2184">
        <f>D2184*C2184</f>
        <v>0</v>
      </c>
      <c r="F2184" s="1" t="s">
        <v>6323</v>
      </c>
      <c r="G2184" s="17">
        <v>85397</v>
      </c>
    </row>
    <row r="2185" spans="1:7">
      <c r="A2185" s="1" t="s">
        <v>6324</v>
      </c>
      <c r="B2185" s="1" t="s">
        <v>6325</v>
      </c>
      <c r="C2185">
        <f>(1-(B7/100))*505.62</f>
        <v>505.62</v>
      </c>
      <c r="D2185" s="1">
        <v>0</v>
      </c>
      <c r="E2185">
        <f>D2185*C2185</f>
        <v>0</v>
      </c>
      <c r="F2185" s="1" t="s">
        <v>6326</v>
      </c>
      <c r="G2185" s="17">
        <v>85421</v>
      </c>
    </row>
    <row r="2186" spans="1:7">
      <c r="A2186" s="16"/>
      <c r="B2186" s="16" t="s">
        <v>6327</v>
      </c>
      <c r="C2186" s="16"/>
      <c r="D2186" s="16"/>
      <c r="E2186" s="16"/>
      <c r="F2186" s="16"/>
    </row>
    <row r="2187" spans="1:7">
      <c r="A2187" s="16"/>
      <c r="B2187" s="16" t="s">
        <v>6328</v>
      </c>
      <c r="C2187" s="16"/>
      <c r="D2187" s="16"/>
      <c r="E2187" s="16"/>
      <c r="F2187" s="16"/>
    </row>
    <row r="2188" spans="1:7">
      <c r="A2188" s="1" t="s">
        <v>6329</v>
      </c>
      <c r="B2188" s="1" t="s">
        <v>6330</v>
      </c>
      <c r="C2188">
        <f>(1-(B7/100))*282.22</f>
        <v>282.22</v>
      </c>
      <c r="D2188" s="1">
        <v>0</v>
      </c>
      <c r="E2188">
        <f>D2188*C2188</f>
        <v>0</v>
      </c>
      <c r="F2188" s="1" t="s">
        <v>6331</v>
      </c>
      <c r="G2188" s="17">
        <v>62991</v>
      </c>
    </row>
    <row r="2189" spans="1:7">
      <c r="A2189" s="1" t="s">
        <v>6332</v>
      </c>
      <c r="B2189" s="1" t="s">
        <v>6333</v>
      </c>
      <c r="C2189">
        <f>(1-(B7/100))*282.22</f>
        <v>282.22</v>
      </c>
      <c r="D2189" s="1">
        <v>0</v>
      </c>
      <c r="E2189">
        <f>D2189*C2189</f>
        <v>0</v>
      </c>
      <c r="F2189" s="1" t="s">
        <v>6334</v>
      </c>
      <c r="G2189" s="17">
        <v>62992</v>
      </c>
    </row>
    <row r="2190" spans="1:7">
      <c r="A2190" s="1" t="s">
        <v>6335</v>
      </c>
      <c r="B2190" s="1" t="s">
        <v>6336</v>
      </c>
      <c r="C2190">
        <f>(1-(B7/100))*282.22</f>
        <v>282.22</v>
      </c>
      <c r="D2190" s="1">
        <v>0</v>
      </c>
      <c r="E2190">
        <f>D2190*C2190</f>
        <v>0</v>
      </c>
      <c r="F2190" s="1" t="s">
        <v>6337</v>
      </c>
      <c r="G2190" s="17">
        <v>62993</v>
      </c>
    </row>
    <row r="2191" spans="1:7">
      <c r="A2191" s="1" t="s">
        <v>6338</v>
      </c>
      <c r="B2191" s="1" t="s">
        <v>6339</v>
      </c>
      <c r="C2191">
        <f>(1-(B7/100))*282.22</f>
        <v>282.22</v>
      </c>
      <c r="D2191" s="1">
        <v>0</v>
      </c>
      <c r="E2191">
        <f>D2191*C2191</f>
        <v>0</v>
      </c>
      <c r="F2191" s="1" t="s">
        <v>6340</v>
      </c>
      <c r="G2191" s="17">
        <v>62994</v>
      </c>
    </row>
    <row r="2192" spans="1:7">
      <c r="A2192" s="1" t="s">
        <v>6341</v>
      </c>
      <c r="B2192" s="1" t="s">
        <v>6342</v>
      </c>
      <c r="C2192">
        <f>(1-(B7/100))*282.22</f>
        <v>282.22</v>
      </c>
      <c r="D2192" s="1">
        <v>0</v>
      </c>
      <c r="E2192">
        <f>D2192*C2192</f>
        <v>0</v>
      </c>
      <c r="F2192" s="1" t="s">
        <v>6343</v>
      </c>
      <c r="G2192" s="17">
        <v>62995</v>
      </c>
    </row>
    <row r="2193" spans="1:7">
      <c r="A2193" s="1" t="s">
        <v>6344</v>
      </c>
      <c r="B2193" s="1" t="s">
        <v>6345</v>
      </c>
      <c r="C2193">
        <f>(1-(B7/100))*551.22</f>
        <v>551.22</v>
      </c>
      <c r="D2193" s="1">
        <v>0</v>
      </c>
      <c r="E2193">
        <f>D2193*C2193</f>
        <v>0</v>
      </c>
      <c r="F2193" s="1" t="s">
        <v>6346</v>
      </c>
      <c r="G2193" s="17">
        <v>62996</v>
      </c>
    </row>
    <row r="2194" spans="1:7">
      <c r="A2194" s="1" t="s">
        <v>6347</v>
      </c>
      <c r="B2194" s="1" t="s">
        <v>6348</v>
      </c>
      <c r="C2194">
        <f>(1-(B7/100))*276.59</f>
        <v>276.59</v>
      </c>
      <c r="D2194" s="1">
        <v>0</v>
      </c>
      <c r="E2194">
        <f>D2194*C2194</f>
        <v>0</v>
      </c>
      <c r="F2194" s="1" t="s">
        <v>6349</v>
      </c>
      <c r="G2194" s="17">
        <v>62997</v>
      </c>
    </row>
    <row r="2195" spans="1:7">
      <c r="A2195" s="1" t="s">
        <v>6350</v>
      </c>
      <c r="B2195" s="1" t="s">
        <v>6351</v>
      </c>
      <c r="C2195">
        <f>(1-(B7/100))*312.28</f>
        <v>312.28</v>
      </c>
      <c r="D2195" s="1">
        <v>0</v>
      </c>
      <c r="E2195">
        <f>D2195*C2195</f>
        <v>0</v>
      </c>
      <c r="F2195" s="1" t="s">
        <v>6352</v>
      </c>
      <c r="G2195" s="17">
        <v>62999</v>
      </c>
    </row>
    <row r="2196" spans="1:7">
      <c r="A2196" s="1" t="s">
        <v>6353</v>
      </c>
      <c r="B2196" s="1" t="s">
        <v>6354</v>
      </c>
      <c r="C2196">
        <f>(1-(B7/100))*257.71</f>
        <v>257.71</v>
      </c>
      <c r="D2196" s="1">
        <v>0</v>
      </c>
      <c r="E2196">
        <f>D2196*C2196</f>
        <v>0</v>
      </c>
      <c r="F2196" s="1" t="s">
        <v>6355</v>
      </c>
      <c r="G2196" s="17">
        <v>63202</v>
      </c>
    </row>
    <row r="2197" spans="1:7">
      <c r="A2197" s="1" t="s">
        <v>6356</v>
      </c>
      <c r="B2197" s="1" t="s">
        <v>6357</v>
      </c>
      <c r="C2197">
        <f>(1-(B7/100))*281.88</f>
        <v>281.88</v>
      </c>
      <c r="D2197" s="1">
        <v>0</v>
      </c>
      <c r="E2197">
        <f>D2197*C2197</f>
        <v>0</v>
      </c>
      <c r="F2197" s="1" t="s">
        <v>6358</v>
      </c>
      <c r="G2197" s="17">
        <v>63315</v>
      </c>
    </row>
    <row r="2198" spans="1:7">
      <c r="A2198" s="1" t="s">
        <v>6359</v>
      </c>
      <c r="B2198" s="1" t="s">
        <v>6360</v>
      </c>
      <c r="C2198">
        <f>(1-(B7/100))*281.88</f>
        <v>281.88</v>
      </c>
      <c r="D2198" s="1">
        <v>0</v>
      </c>
      <c r="E2198">
        <f>D2198*C2198</f>
        <v>0</v>
      </c>
      <c r="F2198" s="1" t="s">
        <v>6361</v>
      </c>
      <c r="G2198" s="17">
        <v>63316</v>
      </c>
    </row>
    <row r="2199" spans="1:7">
      <c r="A2199" s="1" t="s">
        <v>6362</v>
      </c>
      <c r="B2199" s="1" t="s">
        <v>6363</v>
      </c>
      <c r="C2199">
        <f>(1-(B7/100))*207.39</f>
        <v>207.39</v>
      </c>
      <c r="D2199" s="1">
        <v>0</v>
      </c>
      <c r="E2199">
        <f>D2199*C2199</f>
        <v>0</v>
      </c>
      <c r="F2199" s="1" t="s">
        <v>6364</v>
      </c>
      <c r="G2199" s="17">
        <v>66703</v>
      </c>
    </row>
    <row r="2200" spans="1:7">
      <c r="A2200" s="1" t="s">
        <v>6365</v>
      </c>
      <c r="B2200" s="1" t="s">
        <v>6366</v>
      </c>
      <c r="C2200">
        <f>(1-(B7/100))*336.73</f>
        <v>336.73</v>
      </c>
      <c r="D2200" s="1">
        <v>0</v>
      </c>
      <c r="E2200">
        <f>D2200*C2200</f>
        <v>0</v>
      </c>
      <c r="F2200" s="1" t="s">
        <v>6367</v>
      </c>
      <c r="G2200" s="17">
        <v>69125</v>
      </c>
    </row>
    <row r="2201" spans="1:7">
      <c r="A2201" s="1" t="s">
        <v>6368</v>
      </c>
      <c r="B2201" s="1" t="s">
        <v>6369</v>
      </c>
      <c r="C2201">
        <f>(1-(B7/100))*312.5</f>
        <v>312.5</v>
      </c>
      <c r="D2201" s="1">
        <v>0</v>
      </c>
      <c r="E2201">
        <f>D2201*C2201</f>
        <v>0</v>
      </c>
      <c r="F2201" s="1" t="s">
        <v>6370</v>
      </c>
      <c r="G2201" s="17">
        <v>69126</v>
      </c>
    </row>
    <row r="2202" spans="1:7">
      <c r="A2202" s="1" t="s">
        <v>6371</v>
      </c>
      <c r="B2202" s="1" t="s">
        <v>6372</v>
      </c>
      <c r="C2202">
        <f>(1-(B7/100))*217.5</f>
        <v>217.5</v>
      </c>
      <c r="D2202" s="1">
        <v>0</v>
      </c>
      <c r="E2202">
        <f>D2202*C2202</f>
        <v>0</v>
      </c>
      <c r="F2202" s="1" t="s">
        <v>6373</v>
      </c>
      <c r="G2202" s="17">
        <v>69127</v>
      </c>
    </row>
    <row r="2203" spans="1:7">
      <c r="A2203" s="1" t="s">
        <v>6374</v>
      </c>
      <c r="B2203" s="1" t="s">
        <v>6375</v>
      </c>
      <c r="C2203">
        <f>(1-(B7/100))*312.5</f>
        <v>312.5</v>
      </c>
      <c r="D2203" s="1">
        <v>0</v>
      </c>
      <c r="E2203">
        <f>D2203*C2203</f>
        <v>0</v>
      </c>
      <c r="F2203" s="1" t="s">
        <v>6376</v>
      </c>
      <c r="G2203" s="17">
        <v>69128</v>
      </c>
    </row>
    <row r="2204" spans="1:7">
      <c r="A2204" s="1" t="s">
        <v>6377</v>
      </c>
      <c r="B2204" s="1" t="s">
        <v>6378</v>
      </c>
      <c r="C2204">
        <f>(1-(B7/100))*312.28</f>
        <v>312.28</v>
      </c>
      <c r="D2204" s="1">
        <v>0</v>
      </c>
      <c r="E2204">
        <f>D2204*C2204</f>
        <v>0</v>
      </c>
      <c r="F2204" s="1" t="s">
        <v>6379</v>
      </c>
      <c r="G2204" s="17">
        <v>69130</v>
      </c>
    </row>
    <row r="2205" spans="1:7">
      <c r="A2205" s="1" t="s">
        <v>6380</v>
      </c>
      <c r="B2205" s="1" t="s">
        <v>6381</v>
      </c>
      <c r="C2205">
        <f>(1-(B7/100))*257.71</f>
        <v>257.71</v>
      </c>
      <c r="D2205" s="1">
        <v>0</v>
      </c>
      <c r="E2205">
        <f>D2205*C2205</f>
        <v>0</v>
      </c>
      <c r="F2205" s="1" t="s">
        <v>6382</v>
      </c>
      <c r="G2205" s="17">
        <v>69131</v>
      </c>
    </row>
    <row r="2206" spans="1:7">
      <c r="A2206" s="1" t="s">
        <v>6383</v>
      </c>
      <c r="B2206" s="1" t="s">
        <v>6384</v>
      </c>
      <c r="C2206">
        <f>(1-(B7/100))*1040.93</f>
        <v>1040.93</v>
      </c>
      <c r="D2206" s="1">
        <v>0</v>
      </c>
      <c r="E2206">
        <f>D2206*C2206</f>
        <v>0</v>
      </c>
      <c r="F2206" s="1" t="s">
        <v>16</v>
      </c>
      <c r="G2206" s="17">
        <v>71365</v>
      </c>
    </row>
    <row r="2207" spans="1:7">
      <c r="A2207" s="1" t="s">
        <v>6385</v>
      </c>
      <c r="B2207" s="1" t="s">
        <v>6386</v>
      </c>
      <c r="C2207">
        <f>(1-(B7/100))*1129.72</f>
        <v>1129.72</v>
      </c>
      <c r="D2207" s="1">
        <v>0</v>
      </c>
      <c r="E2207">
        <f>D2207*C2207</f>
        <v>0</v>
      </c>
      <c r="F2207" s="1" t="s">
        <v>16</v>
      </c>
      <c r="G2207" s="17">
        <v>71839</v>
      </c>
    </row>
    <row r="2208" spans="1:7">
      <c r="A2208" s="1" t="s">
        <v>6387</v>
      </c>
      <c r="B2208" s="1" t="s">
        <v>6388</v>
      </c>
      <c r="C2208">
        <f>(1-(B7/100))*211.64</f>
        <v>211.64</v>
      </c>
      <c r="D2208" s="1">
        <v>0</v>
      </c>
      <c r="E2208">
        <f>D2208*C2208</f>
        <v>0</v>
      </c>
      <c r="F2208" s="1" t="s">
        <v>6389</v>
      </c>
      <c r="G2208" s="17">
        <v>72579</v>
      </c>
    </row>
    <row r="2209" spans="1:7">
      <c r="A2209" s="1" t="s">
        <v>6390</v>
      </c>
      <c r="B2209" s="1" t="s">
        <v>6391</v>
      </c>
      <c r="C2209">
        <f>(1-(B7/100))*49.15</f>
        <v>49.15</v>
      </c>
      <c r="D2209" s="1">
        <v>0</v>
      </c>
      <c r="E2209">
        <f>D2209*C2209</f>
        <v>0</v>
      </c>
      <c r="F2209" s="1" t="s">
        <v>6392</v>
      </c>
      <c r="G2209" s="17">
        <v>79486</v>
      </c>
    </row>
    <row r="2210" spans="1:7">
      <c r="A2210" s="1" t="s">
        <v>6393</v>
      </c>
      <c r="B2210" s="1" t="s">
        <v>6394</v>
      </c>
      <c r="C2210">
        <f>(1-(B7/100))*49.15</f>
        <v>49.15</v>
      </c>
      <c r="D2210" s="1">
        <v>0</v>
      </c>
      <c r="E2210">
        <f>D2210*C2210</f>
        <v>0</v>
      </c>
      <c r="F2210" s="1" t="s">
        <v>6395</v>
      </c>
      <c r="G2210" s="17">
        <v>79487</v>
      </c>
    </row>
    <row r="2211" spans="1:7">
      <c r="A2211" s="1" t="s">
        <v>6396</v>
      </c>
      <c r="B2211" s="1" t="s">
        <v>6397</v>
      </c>
      <c r="C2211">
        <f>(1-(B7/100))*61.58</f>
        <v>61.58</v>
      </c>
      <c r="D2211" s="1">
        <v>0</v>
      </c>
      <c r="E2211">
        <f>D2211*C2211</f>
        <v>0</v>
      </c>
      <c r="F2211" s="1" t="s">
        <v>6398</v>
      </c>
      <c r="G2211" s="17">
        <v>79488</v>
      </c>
    </row>
    <row r="2212" spans="1:7">
      <c r="A2212" s="1" t="s">
        <v>6399</v>
      </c>
      <c r="B2212" s="1" t="s">
        <v>6400</v>
      </c>
      <c r="C2212">
        <f>(1-(B7/100))*58.66</f>
        <v>58.66</v>
      </c>
      <c r="D2212" s="1">
        <v>0</v>
      </c>
      <c r="E2212">
        <f>D2212*C2212</f>
        <v>0</v>
      </c>
      <c r="F2212" s="1" t="s">
        <v>6401</v>
      </c>
      <c r="G2212" s="17">
        <v>79489</v>
      </c>
    </row>
    <row r="2213" spans="1:7">
      <c r="A2213" s="1" t="s">
        <v>6402</v>
      </c>
      <c r="B2213" s="1" t="s">
        <v>6403</v>
      </c>
      <c r="C2213">
        <f>(1-(B7/100))*245.8</f>
        <v>245.8</v>
      </c>
      <c r="D2213" s="1">
        <v>0</v>
      </c>
      <c r="E2213">
        <f>D2213*C2213</f>
        <v>0</v>
      </c>
      <c r="F2213" s="1" t="s">
        <v>6404</v>
      </c>
      <c r="G2213" s="17">
        <v>84336</v>
      </c>
    </row>
    <row r="2214" spans="1:7">
      <c r="A2214" s="1" t="s">
        <v>6405</v>
      </c>
      <c r="B2214" s="1" t="s">
        <v>6406</v>
      </c>
      <c r="C2214">
        <f>(1-(B7/100))*129.99</f>
        <v>129.99</v>
      </c>
      <c r="D2214" s="1">
        <v>0</v>
      </c>
      <c r="E2214">
        <f>D2214*C2214</f>
        <v>0</v>
      </c>
      <c r="F2214" s="1" t="s">
        <v>6407</v>
      </c>
      <c r="G2214" s="17">
        <v>84341</v>
      </c>
    </row>
    <row r="2215" spans="1:7">
      <c r="A2215" s="1" t="s">
        <v>6408</v>
      </c>
      <c r="B2215" s="1" t="s">
        <v>6409</v>
      </c>
      <c r="C2215">
        <f>(1-(B7/100))*2433.68</f>
        <v>2433.68</v>
      </c>
      <c r="D2215" s="1">
        <v>0</v>
      </c>
      <c r="E2215">
        <f>D2215*C2215</f>
        <v>0</v>
      </c>
      <c r="F2215" s="1" t="s">
        <v>6410</v>
      </c>
      <c r="G2215" s="17">
        <v>84343</v>
      </c>
    </row>
    <row r="2216" spans="1:7">
      <c r="A2216" s="1" t="s">
        <v>6411</v>
      </c>
      <c r="B2216" s="1" t="s">
        <v>6412</v>
      </c>
      <c r="C2216">
        <f>(1-(B7/100))*2433.85</f>
        <v>2433.85</v>
      </c>
      <c r="D2216" s="1">
        <v>0</v>
      </c>
      <c r="E2216">
        <f>D2216*C2216</f>
        <v>0</v>
      </c>
      <c r="F2216" s="1" t="s">
        <v>6413</v>
      </c>
      <c r="G2216" s="17">
        <v>84344</v>
      </c>
    </row>
    <row r="2217" spans="1:7">
      <c r="A2217" s="1" t="s">
        <v>6414</v>
      </c>
      <c r="B2217" s="1" t="s">
        <v>6415</v>
      </c>
      <c r="C2217">
        <f>(1-(B7/100))*2433.68</f>
        <v>2433.68</v>
      </c>
      <c r="D2217" s="1">
        <v>0</v>
      </c>
      <c r="E2217">
        <f>D2217*C2217</f>
        <v>0</v>
      </c>
      <c r="F2217" s="1" t="s">
        <v>6416</v>
      </c>
      <c r="G2217" s="17">
        <v>84345</v>
      </c>
    </row>
    <row r="2218" spans="1:7">
      <c r="A2218" s="1" t="s">
        <v>6417</v>
      </c>
      <c r="B2218" s="1" t="s">
        <v>6418</v>
      </c>
      <c r="C2218">
        <f>(1-(B7/100))*2433.73</f>
        <v>2433.73</v>
      </c>
      <c r="D2218" s="1">
        <v>0</v>
      </c>
      <c r="E2218">
        <f>D2218*C2218</f>
        <v>0</v>
      </c>
      <c r="F2218" s="1" t="s">
        <v>6419</v>
      </c>
      <c r="G2218" s="17">
        <v>84346</v>
      </c>
    </row>
    <row r="2219" spans="1:7">
      <c r="A2219" s="1" t="s">
        <v>6420</v>
      </c>
      <c r="B2219" s="1" t="s">
        <v>6421</v>
      </c>
      <c r="C2219">
        <f>(1-(B7/100))*2433.68</f>
        <v>2433.68</v>
      </c>
      <c r="D2219" s="1">
        <v>0</v>
      </c>
      <c r="E2219">
        <f>D2219*C2219</f>
        <v>0</v>
      </c>
      <c r="F2219" s="1" t="s">
        <v>6422</v>
      </c>
      <c r="G2219" s="17">
        <v>84347</v>
      </c>
    </row>
    <row r="2220" spans="1:7">
      <c r="A2220" s="1" t="s">
        <v>6423</v>
      </c>
      <c r="B2220" s="1" t="s">
        <v>6424</v>
      </c>
      <c r="C2220">
        <f>(1-(B7/100))*2433.85</f>
        <v>2433.85</v>
      </c>
      <c r="D2220" s="1">
        <v>0</v>
      </c>
      <c r="E2220">
        <f>D2220*C2220</f>
        <v>0</v>
      </c>
      <c r="F2220" s="1" t="s">
        <v>6425</v>
      </c>
      <c r="G2220" s="17">
        <v>84348</v>
      </c>
    </row>
    <row r="2221" spans="1:7">
      <c r="A2221" s="1" t="s">
        <v>6426</v>
      </c>
      <c r="B2221" s="1" t="s">
        <v>6427</v>
      </c>
      <c r="C2221">
        <f>(1-(B7/100))*541.45</f>
        <v>541.45</v>
      </c>
      <c r="D2221" s="1">
        <v>0</v>
      </c>
      <c r="E2221">
        <f>D2221*C2221</f>
        <v>0</v>
      </c>
      <c r="F2221" s="1" t="s">
        <v>6428</v>
      </c>
      <c r="G2221" s="17">
        <v>84573</v>
      </c>
    </row>
    <row r="2222" spans="1:7">
      <c r="A2222" s="1" t="s">
        <v>6429</v>
      </c>
      <c r="B2222" s="1" t="s">
        <v>6430</v>
      </c>
      <c r="C2222">
        <f>(1-(B7/100))*1269.34</f>
        <v>1269.34</v>
      </c>
      <c r="D2222" s="1">
        <v>0</v>
      </c>
      <c r="E2222">
        <f>D2222*C2222</f>
        <v>0</v>
      </c>
      <c r="F2222" s="1" t="s">
        <v>6431</v>
      </c>
      <c r="G2222" s="17">
        <v>84628</v>
      </c>
    </row>
    <row r="2223" spans="1:7">
      <c r="A2223" s="1" t="s">
        <v>6432</v>
      </c>
      <c r="B2223" s="1" t="s">
        <v>6433</v>
      </c>
      <c r="C2223">
        <f>(1-(B7/100))*570</f>
        <v>570</v>
      </c>
      <c r="D2223" s="1">
        <v>0</v>
      </c>
      <c r="E2223">
        <f>D2223*C2223</f>
        <v>0</v>
      </c>
      <c r="F2223" s="1" t="s">
        <v>6434</v>
      </c>
      <c r="G2223" s="17">
        <v>84629</v>
      </c>
    </row>
    <row r="2224" spans="1:7">
      <c r="A2224" s="1" t="s">
        <v>6435</v>
      </c>
      <c r="B2224" s="1" t="s">
        <v>6436</v>
      </c>
      <c r="C2224">
        <f>(1-(B7/100))*181.18</f>
        <v>181.18</v>
      </c>
      <c r="D2224" s="1">
        <v>0</v>
      </c>
      <c r="E2224">
        <f>D2224*C2224</f>
        <v>0</v>
      </c>
      <c r="F2224" s="1" t="s">
        <v>6437</v>
      </c>
      <c r="G2224" s="17">
        <v>84654</v>
      </c>
    </row>
    <row r="2225" spans="1:7">
      <c r="A2225" s="1" t="s">
        <v>6438</v>
      </c>
      <c r="B2225" s="1" t="s">
        <v>6439</v>
      </c>
      <c r="C2225">
        <f>(1-(B7/100))*181.18</f>
        <v>181.18</v>
      </c>
      <c r="D2225" s="1">
        <v>0</v>
      </c>
      <c r="E2225">
        <f>D2225*C2225</f>
        <v>0</v>
      </c>
      <c r="F2225" s="1" t="s">
        <v>6440</v>
      </c>
      <c r="G2225" s="17">
        <v>84656</v>
      </c>
    </row>
    <row r="2226" spans="1:7">
      <c r="A2226" s="1" t="s">
        <v>6441</v>
      </c>
      <c r="B2226" s="1" t="s">
        <v>6442</v>
      </c>
      <c r="C2226">
        <f>(1-(B7/100))*165.62</f>
        <v>165.62</v>
      </c>
      <c r="D2226" s="1">
        <v>0</v>
      </c>
      <c r="E2226">
        <f>D2226*C2226</f>
        <v>0</v>
      </c>
      <c r="F2226" s="1" t="s">
        <v>6443</v>
      </c>
      <c r="G2226" s="17">
        <v>84657</v>
      </c>
    </row>
    <row r="2227" spans="1:7">
      <c r="A2227" s="1" t="s">
        <v>6444</v>
      </c>
      <c r="B2227" s="1" t="s">
        <v>6445</v>
      </c>
      <c r="C2227">
        <f>(1-(B7/100))*181.18</f>
        <v>181.18</v>
      </c>
      <c r="D2227" s="1">
        <v>0</v>
      </c>
      <c r="E2227">
        <f>D2227*C2227</f>
        <v>0</v>
      </c>
      <c r="F2227" s="1" t="s">
        <v>6446</v>
      </c>
      <c r="G2227" s="17">
        <v>84661</v>
      </c>
    </row>
    <row r="2228" spans="1:7">
      <c r="A2228" s="1" t="s">
        <v>6447</v>
      </c>
      <c r="B2228" s="1" t="s">
        <v>6448</v>
      </c>
      <c r="C2228">
        <f>(1-(B7/100))*234.61</f>
        <v>234.61</v>
      </c>
      <c r="D2228" s="1">
        <v>0</v>
      </c>
      <c r="E2228">
        <f>D2228*C2228</f>
        <v>0</v>
      </c>
      <c r="F2228" s="1" t="s">
        <v>6449</v>
      </c>
      <c r="G2228" s="17">
        <v>84667</v>
      </c>
    </row>
    <row r="2229" spans="1:7">
      <c r="A2229" s="1" t="s">
        <v>6450</v>
      </c>
      <c r="B2229" s="1" t="s">
        <v>6451</v>
      </c>
      <c r="C2229">
        <f>(1-(B7/100))*177.91</f>
        <v>177.91</v>
      </c>
      <c r="D2229" s="1">
        <v>0</v>
      </c>
      <c r="E2229">
        <f>D2229*C2229</f>
        <v>0</v>
      </c>
      <c r="F2229" s="1" t="s">
        <v>6452</v>
      </c>
      <c r="G2229" s="17">
        <v>84668</v>
      </c>
    </row>
    <row r="2230" spans="1:7">
      <c r="A2230" s="1" t="s">
        <v>6453</v>
      </c>
      <c r="B2230" s="1" t="s">
        <v>6454</v>
      </c>
      <c r="C2230">
        <f>(1-(B7/100))*281.88</f>
        <v>281.88</v>
      </c>
      <c r="D2230" s="1">
        <v>0</v>
      </c>
      <c r="E2230">
        <f>D2230*C2230</f>
        <v>0</v>
      </c>
      <c r="F2230" s="1" t="s">
        <v>6455</v>
      </c>
      <c r="G2230" s="17">
        <v>85065</v>
      </c>
    </row>
    <row r="2231" spans="1:7">
      <c r="A2231" s="1" t="s">
        <v>6456</v>
      </c>
      <c r="B2231" s="1" t="s">
        <v>6457</v>
      </c>
      <c r="C2231">
        <f>(1-(B7/100))*281.88</f>
        <v>281.88</v>
      </c>
      <c r="D2231" s="1">
        <v>0</v>
      </c>
      <c r="E2231">
        <f>D2231*C2231</f>
        <v>0</v>
      </c>
      <c r="F2231" s="1" t="s">
        <v>6458</v>
      </c>
      <c r="G2231" s="17">
        <v>85066</v>
      </c>
    </row>
    <row r="2232" spans="1:7">
      <c r="A2232" s="1" t="s">
        <v>6459</v>
      </c>
      <c r="B2232" s="1" t="s">
        <v>6460</v>
      </c>
      <c r="C2232">
        <f>(1-(B7/100))*40.43</f>
        <v>40.43</v>
      </c>
      <c r="D2232" s="1">
        <v>0</v>
      </c>
      <c r="E2232">
        <f>D2232*C2232</f>
        <v>0</v>
      </c>
      <c r="F2232" s="1" t="s">
        <v>6461</v>
      </c>
      <c r="G2232" s="17">
        <v>85163</v>
      </c>
    </row>
    <row r="2233" spans="1:7">
      <c r="A2233" s="1" t="s">
        <v>6462</v>
      </c>
      <c r="B2233" s="1" t="s">
        <v>6463</v>
      </c>
      <c r="C2233">
        <f>(1-(B7/100))*40.43</f>
        <v>40.43</v>
      </c>
      <c r="D2233" s="1">
        <v>0</v>
      </c>
      <c r="E2233">
        <f>D2233*C2233</f>
        <v>0</v>
      </c>
      <c r="F2233" s="1" t="s">
        <v>6464</v>
      </c>
      <c r="G2233" s="17">
        <v>85164</v>
      </c>
    </row>
    <row r="2234" spans="1:7">
      <c r="A2234" s="1" t="s">
        <v>6465</v>
      </c>
      <c r="B2234" s="1" t="s">
        <v>6466</v>
      </c>
      <c r="C2234">
        <f>(1-(B7/100))*40.43</f>
        <v>40.43</v>
      </c>
      <c r="D2234" s="1">
        <v>0</v>
      </c>
      <c r="E2234">
        <f>D2234*C2234</f>
        <v>0</v>
      </c>
      <c r="F2234" s="1" t="s">
        <v>6467</v>
      </c>
      <c r="G2234" s="17">
        <v>85165</v>
      </c>
    </row>
    <row r="2235" spans="1:7">
      <c r="A2235" s="1" t="s">
        <v>6468</v>
      </c>
      <c r="B2235" s="1" t="s">
        <v>6469</v>
      </c>
      <c r="C2235">
        <f>(1-(B7/100))*40.43</f>
        <v>40.43</v>
      </c>
      <c r="D2235" s="1">
        <v>0</v>
      </c>
      <c r="E2235">
        <f>D2235*C2235</f>
        <v>0</v>
      </c>
      <c r="F2235" s="1" t="s">
        <v>6470</v>
      </c>
      <c r="G2235" s="17">
        <v>85166</v>
      </c>
    </row>
    <row r="2236" spans="1:7">
      <c r="A2236" s="1" t="s">
        <v>6471</v>
      </c>
      <c r="B2236" s="1" t="s">
        <v>6472</v>
      </c>
      <c r="C2236">
        <f>(1-(B7/100))*134.47</f>
        <v>134.47</v>
      </c>
      <c r="D2236" s="1">
        <v>0</v>
      </c>
      <c r="E2236">
        <f>D2236*C2236</f>
        <v>0</v>
      </c>
      <c r="F2236" s="1" t="s">
        <v>6473</v>
      </c>
      <c r="G2236" s="17">
        <v>85230</v>
      </c>
    </row>
    <row r="2237" spans="1:7">
      <c r="A2237" s="1" t="s">
        <v>6474</v>
      </c>
      <c r="B2237" s="1" t="s">
        <v>6475</v>
      </c>
      <c r="C2237">
        <f>(1-(B7/100))*134.47</f>
        <v>134.47</v>
      </c>
      <c r="D2237" s="1">
        <v>0</v>
      </c>
      <c r="E2237">
        <f>D2237*C2237</f>
        <v>0</v>
      </c>
      <c r="F2237" s="1" t="s">
        <v>6476</v>
      </c>
      <c r="G2237" s="17">
        <v>85232</v>
      </c>
    </row>
    <row r="2238" spans="1:7">
      <c r="A2238" s="1" t="s">
        <v>6477</v>
      </c>
      <c r="B2238" s="1" t="s">
        <v>6478</v>
      </c>
      <c r="C2238">
        <f>(1-(B7/100))*134.47</f>
        <v>134.47</v>
      </c>
      <c r="D2238" s="1">
        <v>0</v>
      </c>
      <c r="E2238">
        <f>D2238*C2238</f>
        <v>0</v>
      </c>
      <c r="F2238" s="1" t="s">
        <v>6479</v>
      </c>
      <c r="G2238" s="17">
        <v>85233</v>
      </c>
    </row>
    <row r="2239" spans="1:7">
      <c r="A2239" s="1" t="s">
        <v>6480</v>
      </c>
      <c r="B2239" s="1" t="s">
        <v>6481</v>
      </c>
      <c r="C2239">
        <f>(1-(B7/100))*261.8</f>
        <v>261.8</v>
      </c>
      <c r="D2239" s="1">
        <v>0</v>
      </c>
      <c r="E2239">
        <f>D2239*C2239</f>
        <v>0</v>
      </c>
      <c r="F2239" s="1" t="s">
        <v>6482</v>
      </c>
      <c r="G2239" s="17">
        <v>85234</v>
      </c>
    </row>
    <row r="2240" spans="1:7">
      <c r="A2240" s="1" t="s">
        <v>6483</v>
      </c>
      <c r="B2240" s="1" t="s">
        <v>6484</v>
      </c>
      <c r="C2240">
        <f>(1-(B7/100))*261.24</f>
        <v>261.24</v>
      </c>
      <c r="D2240" s="1">
        <v>0</v>
      </c>
      <c r="E2240">
        <f>D2240*C2240</f>
        <v>0</v>
      </c>
      <c r="F2240" s="1" t="s">
        <v>6485</v>
      </c>
      <c r="G2240" s="17">
        <v>85235</v>
      </c>
    </row>
    <row r="2241" spans="1:7">
      <c r="A2241" s="1" t="s">
        <v>6486</v>
      </c>
      <c r="B2241" s="1" t="s">
        <v>6487</v>
      </c>
      <c r="C2241">
        <f>(1-(B7/100))*246.12</f>
        <v>246.12</v>
      </c>
      <c r="D2241" s="1">
        <v>0</v>
      </c>
      <c r="E2241">
        <f>D2241*C2241</f>
        <v>0</v>
      </c>
      <c r="F2241" s="1" t="s">
        <v>6488</v>
      </c>
      <c r="G2241" s="17">
        <v>85238</v>
      </c>
    </row>
    <row r="2242" spans="1:7">
      <c r="A2242" s="1" t="s">
        <v>6489</v>
      </c>
      <c r="B2242" s="1" t="s">
        <v>6490</v>
      </c>
      <c r="C2242">
        <f>(1-(B7/100))*246.12</f>
        <v>246.12</v>
      </c>
      <c r="D2242" s="1">
        <v>0</v>
      </c>
      <c r="E2242">
        <f>D2242*C2242</f>
        <v>0</v>
      </c>
      <c r="F2242" s="1" t="s">
        <v>6491</v>
      </c>
      <c r="G2242" s="17">
        <v>85239</v>
      </c>
    </row>
    <row r="2243" spans="1:7">
      <c r="A2243" s="1" t="s">
        <v>6492</v>
      </c>
      <c r="B2243" s="1" t="s">
        <v>6493</v>
      </c>
      <c r="C2243">
        <f>(1-(B7/100))*246.12</f>
        <v>246.12</v>
      </c>
      <c r="D2243" s="1">
        <v>0</v>
      </c>
      <c r="E2243">
        <f>D2243*C2243</f>
        <v>0</v>
      </c>
      <c r="F2243" s="1" t="s">
        <v>6494</v>
      </c>
      <c r="G2243" s="17">
        <v>85240</v>
      </c>
    </row>
    <row r="2244" spans="1:7">
      <c r="A2244" s="1" t="s">
        <v>6495</v>
      </c>
      <c r="B2244" s="1" t="s">
        <v>6496</v>
      </c>
      <c r="C2244">
        <f>(1-(B7/100))*134.47</f>
        <v>134.47</v>
      </c>
      <c r="D2244" s="1">
        <v>0</v>
      </c>
      <c r="E2244">
        <f>D2244*C2244</f>
        <v>0</v>
      </c>
      <c r="F2244" s="1" t="s">
        <v>6497</v>
      </c>
      <c r="G2244" s="17">
        <v>85241</v>
      </c>
    </row>
    <row r="2245" spans="1:7">
      <c r="A2245" s="1" t="s">
        <v>6498</v>
      </c>
      <c r="B2245" s="1" t="s">
        <v>6499</v>
      </c>
      <c r="C2245">
        <f>(1-(B7/100))*134.47</f>
        <v>134.47</v>
      </c>
      <c r="D2245" s="1">
        <v>0</v>
      </c>
      <c r="E2245">
        <f>D2245*C2245</f>
        <v>0</v>
      </c>
      <c r="F2245" s="1" t="s">
        <v>6500</v>
      </c>
      <c r="G2245" s="17">
        <v>85242</v>
      </c>
    </row>
    <row r="2246" spans="1:7">
      <c r="A2246" s="1" t="s">
        <v>6501</v>
      </c>
      <c r="B2246" s="1" t="s">
        <v>6502</v>
      </c>
      <c r="C2246">
        <f>(1-(B7/100))*212.78</f>
        <v>212.78</v>
      </c>
      <c r="D2246" s="1">
        <v>0</v>
      </c>
      <c r="E2246">
        <f>D2246*C2246</f>
        <v>0</v>
      </c>
      <c r="F2246" s="1" t="s">
        <v>6503</v>
      </c>
      <c r="G2246" s="17">
        <v>85277</v>
      </c>
    </row>
    <row r="2247" spans="1:7">
      <c r="A2247" s="1" t="s">
        <v>6504</v>
      </c>
      <c r="B2247" s="1" t="s">
        <v>6505</v>
      </c>
      <c r="C2247">
        <f>(1-(B7/100))*251.37</f>
        <v>251.37</v>
      </c>
      <c r="D2247" s="1">
        <v>0</v>
      </c>
      <c r="E2247">
        <f>D2247*C2247</f>
        <v>0</v>
      </c>
      <c r="F2247" s="1" t="s">
        <v>6506</v>
      </c>
      <c r="G2247" s="17">
        <v>85280</v>
      </c>
    </row>
    <row r="2248" spans="1:7">
      <c r="A2248" s="1" t="s">
        <v>6507</v>
      </c>
      <c r="B2248" s="1" t="s">
        <v>6508</v>
      </c>
      <c r="C2248">
        <f>(1-(B7/100))*260.01</f>
        <v>260.01</v>
      </c>
      <c r="D2248" s="1">
        <v>0</v>
      </c>
      <c r="E2248">
        <f>D2248*C2248</f>
        <v>0</v>
      </c>
      <c r="F2248" s="1" t="s">
        <v>6509</v>
      </c>
      <c r="G2248" s="17">
        <v>85283</v>
      </c>
    </row>
    <row r="2249" spans="1:7">
      <c r="A2249" s="1" t="s">
        <v>6510</v>
      </c>
      <c r="B2249" s="1" t="s">
        <v>6511</v>
      </c>
      <c r="C2249">
        <f>(1-(B7/100))*335.6</f>
        <v>335.6</v>
      </c>
      <c r="D2249" s="1">
        <v>0</v>
      </c>
      <c r="E2249">
        <f>D2249*C2249</f>
        <v>0</v>
      </c>
      <c r="F2249" s="1" t="s">
        <v>6512</v>
      </c>
      <c r="G2249" s="17">
        <v>85284</v>
      </c>
    </row>
    <row r="2250" spans="1:7">
      <c r="A2250" s="1" t="s">
        <v>6513</v>
      </c>
      <c r="B2250" s="1" t="s">
        <v>6514</v>
      </c>
      <c r="C2250">
        <f>(1-(B7/100))*335.6</f>
        <v>335.6</v>
      </c>
      <c r="D2250" s="1">
        <v>0</v>
      </c>
      <c r="E2250">
        <f>D2250*C2250</f>
        <v>0</v>
      </c>
      <c r="F2250" s="1" t="s">
        <v>6515</v>
      </c>
      <c r="G2250" s="17">
        <v>85285</v>
      </c>
    </row>
    <row r="2251" spans="1:7">
      <c r="A2251" s="1" t="s">
        <v>6516</v>
      </c>
      <c r="B2251" s="1" t="s">
        <v>6517</v>
      </c>
      <c r="C2251">
        <f>(1-(B7/100))*1318.7</f>
        <v>1318.7</v>
      </c>
      <c r="D2251" s="1">
        <v>0</v>
      </c>
      <c r="E2251">
        <f>D2251*C2251</f>
        <v>0</v>
      </c>
      <c r="F2251" s="1" t="s">
        <v>6518</v>
      </c>
      <c r="G2251" s="17">
        <v>85292</v>
      </c>
    </row>
    <row r="2252" spans="1:7">
      <c r="A2252" s="1" t="s">
        <v>6519</v>
      </c>
      <c r="B2252" s="1" t="s">
        <v>6520</v>
      </c>
      <c r="C2252">
        <f>(1-(B7/100))*1318.7</f>
        <v>1318.7</v>
      </c>
      <c r="D2252" s="1">
        <v>0</v>
      </c>
      <c r="E2252">
        <f>D2252*C2252</f>
        <v>0</v>
      </c>
      <c r="F2252" s="1" t="s">
        <v>6521</v>
      </c>
      <c r="G2252" s="17">
        <v>85293</v>
      </c>
    </row>
    <row r="2253" spans="1:7">
      <c r="A2253" s="1" t="s">
        <v>6522</v>
      </c>
      <c r="B2253" s="1" t="s">
        <v>6523</v>
      </c>
      <c r="C2253">
        <f>(1-(B7/100))*1275.16</f>
        <v>1275.16</v>
      </c>
      <c r="D2253" s="1">
        <v>0</v>
      </c>
      <c r="E2253">
        <f>D2253*C2253</f>
        <v>0</v>
      </c>
      <c r="F2253" s="1" t="s">
        <v>6524</v>
      </c>
      <c r="G2253" s="17">
        <v>85294</v>
      </c>
    </row>
    <row r="2254" spans="1:7">
      <c r="A2254" s="1" t="s">
        <v>6525</v>
      </c>
      <c r="B2254" s="1" t="s">
        <v>6526</v>
      </c>
      <c r="C2254">
        <f>(1-(B7/100))*1318.7</f>
        <v>1318.7</v>
      </c>
      <c r="D2254" s="1">
        <v>0</v>
      </c>
      <c r="E2254">
        <f>D2254*C2254</f>
        <v>0</v>
      </c>
      <c r="F2254" s="1" t="s">
        <v>6527</v>
      </c>
      <c r="G2254" s="17">
        <v>85295</v>
      </c>
    </row>
    <row r="2255" spans="1:7">
      <c r="A2255" s="1" t="s">
        <v>6528</v>
      </c>
      <c r="B2255" s="1" t="s">
        <v>6529</v>
      </c>
      <c r="C2255">
        <f>(1-(B7/100))*1318.7</f>
        <v>1318.7</v>
      </c>
      <c r="D2255" s="1">
        <v>0</v>
      </c>
      <c r="E2255">
        <f>D2255*C2255</f>
        <v>0</v>
      </c>
      <c r="F2255" s="1" t="s">
        <v>6530</v>
      </c>
      <c r="G2255" s="17">
        <v>85296</v>
      </c>
    </row>
    <row r="2256" spans="1:7">
      <c r="A2256" s="16"/>
      <c r="B2256" s="16" t="s">
        <v>6531</v>
      </c>
      <c r="C2256" s="16"/>
      <c r="D2256" s="16"/>
      <c r="E2256" s="16"/>
      <c r="F2256" s="16"/>
    </row>
    <row r="2257" spans="1:7">
      <c r="A2257" s="1" t="s">
        <v>6532</v>
      </c>
      <c r="B2257" s="1" t="s">
        <v>6533</v>
      </c>
      <c r="C2257">
        <f>(1-(B7/100))*168.44</f>
        <v>168.44</v>
      </c>
      <c r="D2257" s="1">
        <v>0</v>
      </c>
      <c r="E2257">
        <f>D2257*C2257</f>
        <v>0</v>
      </c>
      <c r="F2257" s="1" t="s">
        <v>6534</v>
      </c>
      <c r="G2257" s="17">
        <v>69147</v>
      </c>
    </row>
    <row r="2258" spans="1:7">
      <c r="A2258" s="1" t="s">
        <v>6535</v>
      </c>
      <c r="B2258" s="1" t="s">
        <v>6536</v>
      </c>
      <c r="C2258">
        <f>(1-(B7/100))*19.08</f>
        <v>19.08</v>
      </c>
      <c r="D2258" s="1">
        <v>0</v>
      </c>
      <c r="E2258">
        <f>D2258*C2258</f>
        <v>0</v>
      </c>
      <c r="F2258" s="1" t="s">
        <v>6537</v>
      </c>
      <c r="G2258" s="17">
        <v>69156</v>
      </c>
    </row>
    <row r="2259" spans="1:7">
      <c r="A2259" s="1" t="s">
        <v>6538</v>
      </c>
      <c r="B2259" s="1" t="s">
        <v>6539</v>
      </c>
      <c r="C2259">
        <f>(1-(B7/100))*97.1</f>
        <v>97.1</v>
      </c>
      <c r="D2259" s="1">
        <v>0</v>
      </c>
      <c r="E2259">
        <f>D2259*C2259</f>
        <v>0</v>
      </c>
      <c r="F2259" s="1" t="s">
        <v>6540</v>
      </c>
      <c r="G2259" s="17">
        <v>84797</v>
      </c>
    </row>
    <row r="2260" spans="1:7">
      <c r="A2260" s="1" t="s">
        <v>6541</v>
      </c>
      <c r="B2260" s="1" t="s">
        <v>6542</v>
      </c>
      <c r="C2260">
        <f>(1-(B7/100))*19.08</f>
        <v>19.08</v>
      </c>
      <c r="D2260" s="1">
        <v>0</v>
      </c>
      <c r="E2260">
        <f>D2260*C2260</f>
        <v>0</v>
      </c>
      <c r="F2260" s="1" t="s">
        <v>6543</v>
      </c>
      <c r="G2260" s="17">
        <v>84833</v>
      </c>
    </row>
    <row r="2261" spans="1:7">
      <c r="A2261" s="1" t="s">
        <v>6544</v>
      </c>
      <c r="B2261" s="1" t="s">
        <v>6545</v>
      </c>
      <c r="C2261">
        <f>(1-(B7/100))*18.74</f>
        <v>18.74</v>
      </c>
      <c r="D2261" s="1">
        <v>0</v>
      </c>
      <c r="E2261">
        <f>D2261*C2261</f>
        <v>0</v>
      </c>
      <c r="F2261" s="1" t="s">
        <v>6546</v>
      </c>
      <c r="G2261" s="17">
        <v>84835</v>
      </c>
    </row>
    <row r="2262" spans="1:7">
      <c r="A2262" s="1" t="s">
        <v>6547</v>
      </c>
      <c r="B2262" s="1" t="s">
        <v>6548</v>
      </c>
      <c r="C2262">
        <f>(1-(B7/100))*19.08</f>
        <v>19.08</v>
      </c>
      <c r="D2262" s="1">
        <v>0</v>
      </c>
      <c r="E2262">
        <f>D2262*C2262</f>
        <v>0</v>
      </c>
      <c r="F2262" s="1" t="s">
        <v>6549</v>
      </c>
      <c r="G2262" s="17">
        <v>84836</v>
      </c>
    </row>
    <row r="2263" spans="1:7">
      <c r="A2263" s="16"/>
      <c r="B2263" s="16" t="s">
        <v>6550</v>
      </c>
      <c r="C2263" s="16"/>
      <c r="D2263" s="16"/>
      <c r="E2263" s="16"/>
      <c r="F2263" s="16"/>
    </row>
    <row r="2264" spans="1:7">
      <c r="A2264" s="1" t="s">
        <v>6551</v>
      </c>
      <c r="B2264" s="1" t="s">
        <v>6552</v>
      </c>
      <c r="C2264">
        <f>(1-(B7/100))*612.18</f>
        <v>612.18</v>
      </c>
      <c r="D2264" s="1">
        <v>0</v>
      </c>
      <c r="E2264">
        <f>D2264*C2264</f>
        <v>0</v>
      </c>
      <c r="F2264" s="1" t="s">
        <v>6553</v>
      </c>
      <c r="G2264" s="17">
        <v>71217</v>
      </c>
    </row>
    <row r="2265" spans="1:7">
      <c r="A2265" s="1" t="s">
        <v>6554</v>
      </c>
      <c r="B2265" s="1" t="s">
        <v>6555</v>
      </c>
      <c r="C2265">
        <f>(1-(B7/100))*612.18</f>
        <v>612.18</v>
      </c>
      <c r="D2265" s="1">
        <v>0</v>
      </c>
      <c r="E2265">
        <f>D2265*C2265</f>
        <v>0</v>
      </c>
      <c r="F2265" s="1" t="s">
        <v>6556</v>
      </c>
      <c r="G2265" s="17">
        <v>71218</v>
      </c>
    </row>
    <row r="2266" spans="1:7">
      <c r="A2266" s="1" t="s">
        <v>6557</v>
      </c>
      <c r="B2266" s="1" t="s">
        <v>6558</v>
      </c>
      <c r="C2266">
        <f>(1-(B7/100))*692.61</f>
        <v>692.61</v>
      </c>
      <c r="D2266" s="1">
        <v>0</v>
      </c>
      <c r="E2266">
        <f>D2266*C2266</f>
        <v>0</v>
      </c>
      <c r="F2266" s="1" t="s">
        <v>6559</v>
      </c>
      <c r="G2266" s="17">
        <v>81576</v>
      </c>
    </row>
    <row r="2267" spans="1:7">
      <c r="A2267" s="1" t="s">
        <v>6560</v>
      </c>
      <c r="B2267" s="1" t="s">
        <v>6561</v>
      </c>
      <c r="C2267">
        <f>(1-(B7/100))*9.1</f>
        <v>9.1</v>
      </c>
      <c r="D2267" s="1">
        <v>0</v>
      </c>
      <c r="E2267">
        <f>D2267*C2267</f>
        <v>0</v>
      </c>
      <c r="F2267" s="1" t="s">
        <v>6562</v>
      </c>
      <c r="G2267" s="17">
        <v>84750</v>
      </c>
    </row>
    <row r="2268" spans="1:7">
      <c r="A2268" s="16"/>
      <c r="B2268" s="16" t="s">
        <v>6563</v>
      </c>
      <c r="C2268" s="16"/>
      <c r="D2268" s="16"/>
      <c r="E2268" s="16"/>
      <c r="F2268" s="16"/>
    </row>
    <row r="2269" spans="1:7">
      <c r="A2269" s="1" t="s">
        <v>6564</v>
      </c>
      <c r="B2269" s="1" t="s">
        <v>6565</v>
      </c>
      <c r="C2269">
        <f>(1-(B7/100))*372.33</f>
        <v>372.33</v>
      </c>
      <c r="D2269" s="1">
        <v>0</v>
      </c>
      <c r="E2269">
        <f>D2269*C2269</f>
        <v>0</v>
      </c>
      <c r="F2269" s="1" t="s">
        <v>6566</v>
      </c>
      <c r="G2269" s="17">
        <v>66511</v>
      </c>
    </row>
    <row r="2270" spans="1:7">
      <c r="A2270" s="1" t="s">
        <v>6567</v>
      </c>
      <c r="B2270" s="1" t="s">
        <v>6568</v>
      </c>
      <c r="C2270">
        <f>(1-(B7/100))*23.94</f>
        <v>23.94</v>
      </c>
      <c r="D2270" s="1">
        <v>0</v>
      </c>
      <c r="E2270">
        <f>D2270*C2270</f>
        <v>0</v>
      </c>
      <c r="F2270" s="1" t="s">
        <v>6569</v>
      </c>
      <c r="G2270" s="17">
        <v>69193</v>
      </c>
    </row>
    <row r="2271" spans="1:7">
      <c r="A2271" s="1" t="s">
        <v>6570</v>
      </c>
      <c r="B2271" s="1" t="s">
        <v>6571</v>
      </c>
      <c r="C2271">
        <f>(1-(B7/100))*114.5</f>
        <v>114.5</v>
      </c>
      <c r="D2271" s="1">
        <v>0</v>
      </c>
      <c r="E2271">
        <f>D2271*C2271</f>
        <v>0</v>
      </c>
      <c r="F2271" s="1" t="s">
        <v>6572</v>
      </c>
      <c r="G2271" s="17">
        <v>69195</v>
      </c>
    </row>
    <row r="2272" spans="1:7">
      <c r="A2272" s="1" t="s">
        <v>6573</v>
      </c>
      <c r="B2272" s="1" t="s">
        <v>6574</v>
      </c>
      <c r="C2272">
        <f>(1-(B7/100))*114.5</f>
        <v>114.5</v>
      </c>
      <c r="D2272" s="1">
        <v>0</v>
      </c>
      <c r="E2272">
        <f>D2272*C2272</f>
        <v>0</v>
      </c>
      <c r="F2272" s="1" t="s">
        <v>6575</v>
      </c>
      <c r="G2272" s="17">
        <v>69197</v>
      </c>
    </row>
    <row r="2273" spans="1:7">
      <c r="A2273" s="1" t="s">
        <v>6576</v>
      </c>
      <c r="B2273" s="1" t="s">
        <v>6577</v>
      </c>
      <c r="C2273">
        <f>(1-(B7/100))*652.51</f>
        <v>652.51</v>
      </c>
      <c r="D2273" s="1">
        <v>0</v>
      </c>
      <c r="E2273">
        <f>D2273*C2273</f>
        <v>0</v>
      </c>
      <c r="F2273" s="1" t="s">
        <v>6578</v>
      </c>
      <c r="G2273" s="17">
        <v>71086</v>
      </c>
    </row>
    <row r="2274" spans="1:7">
      <c r="A2274" s="1" t="s">
        <v>6579</v>
      </c>
      <c r="B2274" s="1" t="s">
        <v>6580</v>
      </c>
      <c r="C2274">
        <f>(1-(B7/100))*847.99</f>
        <v>847.99</v>
      </c>
      <c r="D2274" s="1">
        <v>0</v>
      </c>
      <c r="E2274">
        <f>D2274*C2274</f>
        <v>0</v>
      </c>
      <c r="F2274" s="1" t="s">
        <v>6581</v>
      </c>
      <c r="G2274" s="17">
        <v>71181</v>
      </c>
    </row>
    <row r="2275" spans="1:7">
      <c r="A2275" s="1" t="s">
        <v>6582</v>
      </c>
      <c r="B2275" s="1" t="s">
        <v>6583</v>
      </c>
      <c r="C2275">
        <f>(1-(B7/100))*319.14</f>
        <v>319.14</v>
      </c>
      <c r="D2275" s="1">
        <v>0</v>
      </c>
      <c r="E2275">
        <f>D2275*C2275</f>
        <v>0</v>
      </c>
      <c r="F2275" s="1" t="s">
        <v>6584</v>
      </c>
      <c r="G2275" s="17">
        <v>73072</v>
      </c>
    </row>
    <row r="2276" spans="1:7">
      <c r="A2276" s="1" t="s">
        <v>6585</v>
      </c>
      <c r="B2276" s="1" t="s">
        <v>6586</v>
      </c>
      <c r="C2276">
        <f>(1-(B7/100))*1092.98</f>
        <v>1092.98</v>
      </c>
      <c r="D2276" s="1">
        <v>0</v>
      </c>
      <c r="E2276">
        <f>D2276*C2276</f>
        <v>0</v>
      </c>
      <c r="F2276" s="1" t="s">
        <v>6587</v>
      </c>
      <c r="G2276" s="17">
        <v>73763</v>
      </c>
    </row>
    <row r="2277" spans="1:7">
      <c r="A2277" s="1" t="s">
        <v>6588</v>
      </c>
      <c r="B2277" s="1" t="s">
        <v>6589</v>
      </c>
      <c r="C2277">
        <f>(1-(B7/100))*326.59</f>
        <v>326.59</v>
      </c>
      <c r="D2277" s="1">
        <v>0</v>
      </c>
      <c r="E2277">
        <f>D2277*C2277</f>
        <v>0</v>
      </c>
      <c r="F2277" s="1" t="s">
        <v>6590</v>
      </c>
      <c r="G2277" s="17">
        <v>74124</v>
      </c>
    </row>
    <row r="2278" spans="1:7">
      <c r="A2278" s="1" t="s">
        <v>6591</v>
      </c>
      <c r="B2278" s="1" t="s">
        <v>6592</v>
      </c>
      <c r="C2278">
        <f>(1-(B7/100))*258.07</f>
        <v>258.07</v>
      </c>
      <c r="D2278" s="1">
        <v>0</v>
      </c>
      <c r="E2278">
        <f>D2278*C2278</f>
        <v>0</v>
      </c>
      <c r="F2278" s="1" t="s">
        <v>6593</v>
      </c>
      <c r="G2278" s="17">
        <v>84332</v>
      </c>
    </row>
    <row r="2279" spans="1:7">
      <c r="A2279" s="1" t="s">
        <v>6594</v>
      </c>
      <c r="B2279" s="1" t="s">
        <v>6595</v>
      </c>
      <c r="C2279">
        <f>(1-(B7/100))*327.41</f>
        <v>327.41</v>
      </c>
      <c r="D2279" s="1">
        <v>0</v>
      </c>
      <c r="E2279">
        <f>D2279*C2279</f>
        <v>0</v>
      </c>
      <c r="F2279" s="1" t="s">
        <v>6596</v>
      </c>
      <c r="G2279" s="17">
        <v>84333</v>
      </c>
    </row>
    <row r="2280" spans="1:7">
      <c r="A2280" s="1" t="s">
        <v>6597</v>
      </c>
      <c r="B2280" s="1" t="s">
        <v>6598</v>
      </c>
      <c r="C2280">
        <f>(1-(B7/100))*246.24</f>
        <v>246.24</v>
      </c>
      <c r="D2280" s="1">
        <v>0</v>
      </c>
      <c r="E2280">
        <f>D2280*C2280</f>
        <v>0</v>
      </c>
      <c r="F2280" s="1" t="s">
        <v>6599</v>
      </c>
      <c r="G2280" s="17">
        <v>84897</v>
      </c>
    </row>
    <row r="2281" spans="1:7">
      <c r="A2281" s="1" t="s">
        <v>6600</v>
      </c>
      <c r="B2281" s="1" t="s">
        <v>6601</v>
      </c>
      <c r="C2281">
        <f>(1-(B7/100))*187.05</f>
        <v>187.05</v>
      </c>
      <c r="D2281" s="1">
        <v>0</v>
      </c>
      <c r="E2281">
        <f>D2281*C2281</f>
        <v>0</v>
      </c>
      <c r="F2281" s="1" t="s">
        <v>6602</v>
      </c>
      <c r="G2281" s="17">
        <v>84899</v>
      </c>
    </row>
    <row r="2282" spans="1:7">
      <c r="A2282" s="1" t="s">
        <v>6603</v>
      </c>
      <c r="B2282" s="1" t="s">
        <v>6604</v>
      </c>
      <c r="C2282">
        <f>(1-(B7/100))*21.25</f>
        <v>21.25</v>
      </c>
      <c r="D2282" s="1">
        <v>0</v>
      </c>
      <c r="E2282">
        <f>D2282*C2282</f>
        <v>0</v>
      </c>
      <c r="F2282" s="1" t="s">
        <v>16</v>
      </c>
      <c r="G2282" s="17">
        <v>84906</v>
      </c>
    </row>
    <row r="2283" spans="1:7">
      <c r="A2283" s="1" t="s">
        <v>6605</v>
      </c>
      <c r="B2283" s="1" t="s">
        <v>6606</v>
      </c>
      <c r="C2283">
        <f>(1-(B7/100))*114.5</f>
        <v>114.5</v>
      </c>
      <c r="D2283" s="1">
        <v>0</v>
      </c>
      <c r="E2283">
        <f>D2283*C2283</f>
        <v>0</v>
      </c>
      <c r="F2283" s="1" t="s">
        <v>6607</v>
      </c>
      <c r="G2283" s="17">
        <v>84907</v>
      </c>
    </row>
    <row r="2284" spans="1:7">
      <c r="A2284" s="1" t="s">
        <v>6608</v>
      </c>
      <c r="B2284" s="1" t="s">
        <v>6609</v>
      </c>
      <c r="C2284">
        <f>(1-(B7/100))*263.54</f>
        <v>263.54</v>
      </c>
      <c r="D2284" s="1">
        <v>0</v>
      </c>
      <c r="E2284">
        <f>D2284*C2284</f>
        <v>0</v>
      </c>
      <c r="F2284" s="1" t="s">
        <v>6610</v>
      </c>
      <c r="G2284" s="17">
        <v>85011</v>
      </c>
    </row>
    <row r="2285" spans="1:7">
      <c r="A2285" s="1" t="s">
        <v>6611</v>
      </c>
      <c r="B2285" s="1" t="s">
        <v>6612</v>
      </c>
      <c r="C2285">
        <f>(1-(B7/100))*1032.58</f>
        <v>1032.58</v>
      </c>
      <c r="D2285" s="1">
        <v>0</v>
      </c>
      <c r="E2285">
        <f>D2285*C2285</f>
        <v>0</v>
      </c>
      <c r="F2285" s="1" t="s">
        <v>6613</v>
      </c>
      <c r="G2285" s="17">
        <v>85031</v>
      </c>
    </row>
    <row r="2286" spans="1:7">
      <c r="A2286" s="1" t="s">
        <v>6614</v>
      </c>
      <c r="B2286" s="1" t="s">
        <v>6615</v>
      </c>
      <c r="C2286">
        <f>(1-(B7/100))*84.57</f>
        <v>84.57</v>
      </c>
      <c r="D2286" s="1">
        <v>0</v>
      </c>
      <c r="E2286">
        <f>D2286*C2286</f>
        <v>0</v>
      </c>
      <c r="F2286" s="1" t="s">
        <v>6616</v>
      </c>
      <c r="G2286" s="17">
        <v>85144</v>
      </c>
    </row>
    <row r="2287" spans="1:7">
      <c r="A2287" s="1" t="s">
        <v>6617</v>
      </c>
      <c r="B2287" s="1" t="s">
        <v>6618</v>
      </c>
      <c r="C2287">
        <f>(1-(B7/100))*212.61</f>
        <v>212.61</v>
      </c>
      <c r="D2287" s="1">
        <v>0</v>
      </c>
      <c r="E2287">
        <f>D2287*C2287</f>
        <v>0</v>
      </c>
      <c r="F2287" s="1" t="s">
        <v>6619</v>
      </c>
      <c r="G2287" s="17">
        <v>85500</v>
      </c>
    </row>
    <row r="2288" spans="1:7">
      <c r="A2288" s="1" t="s">
        <v>6620</v>
      </c>
      <c r="B2288" s="1" t="s">
        <v>6621</v>
      </c>
      <c r="C2288">
        <f>(1-(B7/100))*347.99</f>
        <v>347.99</v>
      </c>
      <c r="D2288" s="1">
        <v>0</v>
      </c>
      <c r="E2288">
        <f>D2288*C2288</f>
        <v>0</v>
      </c>
      <c r="F2288" s="1" t="s">
        <v>6622</v>
      </c>
      <c r="G2288" s="17">
        <v>86195</v>
      </c>
    </row>
    <row r="2289" spans="1:7">
      <c r="A2289" s="1" t="s">
        <v>6623</v>
      </c>
      <c r="B2289" s="1" t="s">
        <v>6624</v>
      </c>
      <c r="C2289">
        <f>(1-(B7/100))*487.23</f>
        <v>487.23</v>
      </c>
      <c r="D2289" s="1">
        <v>0</v>
      </c>
      <c r="E2289">
        <f>D2289*C2289</f>
        <v>0</v>
      </c>
      <c r="F2289" s="1" t="s">
        <v>6625</v>
      </c>
      <c r="G2289" s="17">
        <v>86196</v>
      </c>
    </row>
    <row r="2290" spans="1:7">
      <c r="A2290" s="1" t="s">
        <v>6626</v>
      </c>
      <c r="B2290" s="1" t="s">
        <v>6627</v>
      </c>
      <c r="C2290">
        <f>(1-(B7/100))*27.29</f>
        <v>27.29</v>
      </c>
      <c r="D2290" s="1">
        <v>0</v>
      </c>
      <c r="E2290">
        <f>D2290*C2290</f>
        <v>0</v>
      </c>
      <c r="F2290" s="1" t="s">
        <v>6628</v>
      </c>
      <c r="G2290" s="17">
        <v>86530</v>
      </c>
    </row>
    <row r="2291" spans="1:7">
      <c r="A2291" s="1" t="s">
        <v>6629</v>
      </c>
      <c r="B2291" s="1" t="s">
        <v>6630</v>
      </c>
      <c r="C2291">
        <f>(1-(B7/100))*21.84</f>
        <v>21.84</v>
      </c>
      <c r="D2291" s="1">
        <v>0</v>
      </c>
      <c r="E2291">
        <f>D2291*C2291</f>
        <v>0</v>
      </c>
      <c r="F2291" s="1" t="s">
        <v>6631</v>
      </c>
      <c r="G2291" s="17">
        <v>86531</v>
      </c>
    </row>
    <row r="2292" spans="1:7">
      <c r="A2292" s="1" t="s">
        <v>6632</v>
      </c>
      <c r="B2292" s="1" t="s">
        <v>6633</v>
      </c>
      <c r="C2292">
        <f>(1-(B7/100))*260.23</f>
        <v>260.23</v>
      </c>
      <c r="D2292" s="1">
        <v>0</v>
      </c>
      <c r="E2292">
        <f>D2292*C2292</f>
        <v>0</v>
      </c>
      <c r="F2292" s="1" t="s">
        <v>6634</v>
      </c>
      <c r="G2292" s="17">
        <v>87311</v>
      </c>
    </row>
    <row r="2293" spans="1:7">
      <c r="A2293" s="16"/>
      <c r="B2293" s="16" t="s">
        <v>6635</v>
      </c>
      <c r="C2293" s="16"/>
      <c r="D2293" s="16"/>
      <c r="E2293" s="16"/>
      <c r="F2293" s="16"/>
    </row>
    <row r="2294" spans="1:7">
      <c r="A2294" s="1" t="s">
        <v>6636</v>
      </c>
      <c r="B2294" s="1" t="s">
        <v>6637</v>
      </c>
      <c r="C2294">
        <f>(1-(B7/100))*1868.35</f>
        <v>1868.35</v>
      </c>
      <c r="D2294" s="1">
        <v>0</v>
      </c>
      <c r="E2294">
        <f>D2294*C2294</f>
        <v>0</v>
      </c>
      <c r="F2294" s="1" t="s">
        <v>6638</v>
      </c>
      <c r="G2294" s="17">
        <v>63812</v>
      </c>
    </row>
    <row r="2295" spans="1:7">
      <c r="A2295" s="1" t="s">
        <v>6639</v>
      </c>
      <c r="B2295" s="1" t="s">
        <v>6640</v>
      </c>
      <c r="C2295">
        <f>(1-(B7/100))*1876.33</f>
        <v>1876.33</v>
      </c>
      <c r="D2295" s="1">
        <v>0</v>
      </c>
      <c r="E2295">
        <f>D2295*C2295</f>
        <v>0</v>
      </c>
      <c r="F2295" s="1" t="s">
        <v>6641</v>
      </c>
      <c r="G2295" s="17">
        <v>63813</v>
      </c>
    </row>
    <row r="2296" spans="1:7">
      <c r="A2296" s="1" t="s">
        <v>6642</v>
      </c>
      <c r="B2296" s="1" t="s">
        <v>6643</v>
      </c>
      <c r="C2296">
        <f>(1-(B7/100))*1255.25</f>
        <v>1255.25</v>
      </c>
      <c r="D2296" s="1">
        <v>0</v>
      </c>
      <c r="E2296">
        <f>D2296*C2296</f>
        <v>0</v>
      </c>
      <c r="F2296" s="1" t="s">
        <v>6644</v>
      </c>
      <c r="G2296" s="17">
        <v>63818</v>
      </c>
    </row>
    <row r="2297" spans="1:7">
      <c r="A2297" s="1" t="s">
        <v>6645</v>
      </c>
      <c r="B2297" s="1" t="s">
        <v>6646</v>
      </c>
      <c r="C2297">
        <f>(1-(B7/100))*716.21</f>
        <v>716.21</v>
      </c>
      <c r="D2297" s="1">
        <v>0</v>
      </c>
      <c r="E2297">
        <f>D2297*C2297</f>
        <v>0</v>
      </c>
      <c r="F2297" s="1" t="s">
        <v>6647</v>
      </c>
      <c r="G2297" s="17">
        <v>64817</v>
      </c>
    </row>
    <row r="2298" spans="1:7">
      <c r="A2298" s="1" t="s">
        <v>6648</v>
      </c>
      <c r="B2298" s="1" t="s">
        <v>6649</v>
      </c>
      <c r="C2298">
        <f>(1-(B7/100))*123.74</f>
        <v>123.74</v>
      </c>
      <c r="D2298" s="1">
        <v>0</v>
      </c>
      <c r="E2298">
        <f>D2298*C2298</f>
        <v>0</v>
      </c>
      <c r="F2298" s="1" t="s">
        <v>6650</v>
      </c>
      <c r="G2298" s="17">
        <v>64930</v>
      </c>
    </row>
    <row r="2299" spans="1:7">
      <c r="A2299" s="1" t="s">
        <v>6651</v>
      </c>
      <c r="B2299" s="1" t="s">
        <v>6652</v>
      </c>
      <c r="C2299">
        <f>(1-(B7/100))*21.99</f>
        <v>21.99</v>
      </c>
      <c r="D2299" s="1">
        <v>0</v>
      </c>
      <c r="E2299">
        <f>D2299*C2299</f>
        <v>0</v>
      </c>
      <c r="F2299" s="1" t="s">
        <v>6653</v>
      </c>
      <c r="G2299" s="17">
        <v>65012</v>
      </c>
    </row>
    <row r="2300" spans="1:7">
      <c r="A2300" s="1" t="s">
        <v>6654</v>
      </c>
      <c r="B2300" s="1" t="s">
        <v>6655</v>
      </c>
      <c r="C2300">
        <f>(1-(B7/100))*949.35</f>
        <v>949.35</v>
      </c>
      <c r="D2300" s="1">
        <v>0</v>
      </c>
      <c r="E2300">
        <f>D2300*C2300</f>
        <v>0</v>
      </c>
      <c r="F2300" s="1" t="s">
        <v>6656</v>
      </c>
      <c r="G2300" s="17">
        <v>67441</v>
      </c>
    </row>
    <row r="2301" spans="1:7">
      <c r="A2301" s="1" t="s">
        <v>6657</v>
      </c>
      <c r="B2301" s="1" t="s">
        <v>6658</v>
      </c>
      <c r="C2301">
        <f>(1-(B7/100))*104.09</f>
        <v>104.09</v>
      </c>
      <c r="D2301" s="1">
        <v>0</v>
      </c>
      <c r="E2301">
        <f>D2301*C2301</f>
        <v>0</v>
      </c>
      <c r="F2301" s="1" t="s">
        <v>6659</v>
      </c>
      <c r="G2301" s="17">
        <v>68942</v>
      </c>
    </row>
    <row r="2302" spans="1:7">
      <c r="A2302" s="1" t="s">
        <v>6660</v>
      </c>
      <c r="B2302" s="1" t="s">
        <v>6661</v>
      </c>
      <c r="C2302">
        <f>(1-(B7/100))*36.09</f>
        <v>36.09</v>
      </c>
      <c r="D2302" s="1">
        <v>0</v>
      </c>
      <c r="E2302">
        <f>D2302*C2302</f>
        <v>0</v>
      </c>
      <c r="F2302" s="1" t="s">
        <v>6662</v>
      </c>
      <c r="G2302" s="17">
        <v>68944</v>
      </c>
    </row>
    <row r="2303" spans="1:7">
      <c r="A2303" s="1" t="s">
        <v>6663</v>
      </c>
      <c r="B2303" s="1" t="s">
        <v>6664</v>
      </c>
      <c r="C2303">
        <f>(1-(B7/100))*749.13</f>
        <v>749.13</v>
      </c>
      <c r="D2303" s="1">
        <v>0</v>
      </c>
      <c r="E2303">
        <f>D2303*C2303</f>
        <v>0</v>
      </c>
      <c r="F2303" s="1" t="s">
        <v>6665</v>
      </c>
      <c r="G2303" s="17">
        <v>69200</v>
      </c>
    </row>
    <row r="2304" spans="1:7">
      <c r="A2304" s="1" t="s">
        <v>6666</v>
      </c>
      <c r="B2304" s="1" t="s">
        <v>6667</v>
      </c>
      <c r="C2304">
        <f>(1-(B7/100))*545.76</f>
        <v>545.76</v>
      </c>
      <c r="D2304" s="1">
        <v>0</v>
      </c>
      <c r="E2304">
        <f>D2304*C2304</f>
        <v>0</v>
      </c>
      <c r="F2304" s="1" t="s">
        <v>6668</v>
      </c>
      <c r="G2304" s="17">
        <v>69201</v>
      </c>
    </row>
    <row r="2305" spans="1:7">
      <c r="A2305" s="1" t="s">
        <v>6669</v>
      </c>
      <c r="B2305" s="1" t="s">
        <v>6670</v>
      </c>
      <c r="C2305">
        <f>(1-(B7/100))*582.22</f>
        <v>582.22</v>
      </c>
      <c r="D2305" s="1">
        <v>0</v>
      </c>
      <c r="E2305">
        <f>D2305*C2305</f>
        <v>0</v>
      </c>
      <c r="F2305" s="1" t="s">
        <v>6671</v>
      </c>
      <c r="G2305" s="17">
        <v>69202</v>
      </c>
    </row>
    <row r="2306" spans="1:7">
      <c r="A2306" s="1" t="s">
        <v>6672</v>
      </c>
      <c r="B2306" s="1" t="s">
        <v>6673</v>
      </c>
      <c r="C2306">
        <f>(1-(B7/100))*604.08</f>
        <v>604.08</v>
      </c>
      <c r="D2306" s="1">
        <v>0</v>
      </c>
      <c r="E2306">
        <f>D2306*C2306</f>
        <v>0</v>
      </c>
      <c r="F2306" s="1" t="s">
        <v>6674</v>
      </c>
      <c r="G2306" s="17">
        <v>69203</v>
      </c>
    </row>
    <row r="2307" spans="1:7">
      <c r="A2307" s="1" t="s">
        <v>6675</v>
      </c>
      <c r="B2307" s="1" t="s">
        <v>6676</v>
      </c>
      <c r="C2307">
        <f>(1-(B7/100))*567.57</f>
        <v>567.57</v>
      </c>
      <c r="D2307" s="1">
        <v>0</v>
      </c>
      <c r="E2307">
        <f>D2307*C2307</f>
        <v>0</v>
      </c>
      <c r="F2307" s="1" t="s">
        <v>6677</v>
      </c>
      <c r="G2307" s="17">
        <v>69205</v>
      </c>
    </row>
    <row r="2308" spans="1:7">
      <c r="A2308" s="1" t="s">
        <v>6678</v>
      </c>
      <c r="B2308" s="1" t="s">
        <v>6679</v>
      </c>
      <c r="C2308">
        <f>(1-(B7/100))*688.77</f>
        <v>688.77</v>
      </c>
      <c r="D2308" s="1">
        <v>0</v>
      </c>
      <c r="E2308">
        <f>D2308*C2308</f>
        <v>0</v>
      </c>
      <c r="F2308" s="1" t="s">
        <v>6680</v>
      </c>
      <c r="G2308" s="17">
        <v>69207</v>
      </c>
    </row>
    <row r="2309" spans="1:7">
      <c r="A2309" s="1" t="s">
        <v>6681</v>
      </c>
      <c r="B2309" s="1" t="s">
        <v>6682</v>
      </c>
      <c r="C2309">
        <f>(1-(B7/100))*698.45</f>
        <v>698.45</v>
      </c>
      <c r="D2309" s="1">
        <v>0</v>
      </c>
      <c r="E2309">
        <f>D2309*C2309</f>
        <v>0</v>
      </c>
      <c r="F2309" s="1" t="s">
        <v>6683</v>
      </c>
      <c r="G2309" s="17">
        <v>69211</v>
      </c>
    </row>
    <row r="2310" spans="1:7">
      <c r="A2310" s="1" t="s">
        <v>6684</v>
      </c>
      <c r="B2310" s="1" t="s">
        <v>6685</v>
      </c>
      <c r="C2310">
        <f>(1-(B7/100))*1257.34</f>
        <v>1257.34</v>
      </c>
      <c r="D2310" s="1">
        <v>0</v>
      </c>
      <c r="E2310">
        <f>D2310*C2310</f>
        <v>0</v>
      </c>
      <c r="F2310" s="1" t="s">
        <v>6686</v>
      </c>
      <c r="G2310" s="17">
        <v>69226</v>
      </c>
    </row>
    <row r="2311" spans="1:7">
      <c r="A2311" s="1" t="s">
        <v>6687</v>
      </c>
      <c r="B2311" s="1" t="s">
        <v>6688</v>
      </c>
      <c r="C2311">
        <f>(1-(B7/100))*545.76</f>
        <v>545.76</v>
      </c>
      <c r="D2311" s="1">
        <v>0</v>
      </c>
      <c r="E2311">
        <f>D2311*C2311</f>
        <v>0</v>
      </c>
      <c r="F2311" s="1" t="s">
        <v>6689</v>
      </c>
      <c r="G2311" s="17">
        <v>69229</v>
      </c>
    </row>
    <row r="2312" spans="1:7">
      <c r="A2312" s="1" t="s">
        <v>6690</v>
      </c>
      <c r="B2312" s="1" t="s">
        <v>6691</v>
      </c>
      <c r="C2312">
        <f>(1-(B7/100))*672.73</f>
        <v>672.73</v>
      </c>
      <c r="D2312" s="1">
        <v>0</v>
      </c>
      <c r="E2312">
        <f>D2312*C2312</f>
        <v>0</v>
      </c>
      <c r="F2312" s="1" t="s">
        <v>6692</v>
      </c>
      <c r="G2312" s="17">
        <v>69231</v>
      </c>
    </row>
    <row r="2313" spans="1:7">
      <c r="A2313" s="1" t="s">
        <v>6693</v>
      </c>
      <c r="B2313" s="1" t="s">
        <v>6694</v>
      </c>
      <c r="C2313">
        <f>(1-(B7/100))*1402.82</f>
        <v>1402.82</v>
      </c>
      <c r="D2313" s="1">
        <v>0</v>
      </c>
      <c r="E2313">
        <f>D2313*C2313</f>
        <v>0</v>
      </c>
      <c r="F2313" s="1" t="s">
        <v>6695</v>
      </c>
      <c r="G2313" s="17">
        <v>69235</v>
      </c>
    </row>
    <row r="2314" spans="1:7">
      <c r="A2314" s="1" t="s">
        <v>6696</v>
      </c>
      <c r="B2314" s="1" t="s">
        <v>6697</v>
      </c>
      <c r="C2314">
        <f>(1-(B7/100))*1635.29</f>
        <v>1635.29</v>
      </c>
      <c r="D2314" s="1">
        <v>0</v>
      </c>
      <c r="E2314">
        <f>D2314*C2314</f>
        <v>0</v>
      </c>
      <c r="F2314" s="1" t="s">
        <v>6698</v>
      </c>
      <c r="G2314" s="17">
        <v>69240</v>
      </c>
    </row>
    <row r="2315" spans="1:7">
      <c r="A2315" s="1" t="s">
        <v>6699</v>
      </c>
      <c r="B2315" s="1" t="s">
        <v>6700</v>
      </c>
      <c r="C2315">
        <f>(1-(B7/100))*2960.39</f>
        <v>2960.39</v>
      </c>
      <c r="D2315" s="1">
        <v>0</v>
      </c>
      <c r="E2315">
        <f>D2315*C2315</f>
        <v>0</v>
      </c>
      <c r="F2315" s="1" t="s">
        <v>6701</v>
      </c>
      <c r="G2315" s="17">
        <v>69242</v>
      </c>
    </row>
    <row r="2316" spans="1:7">
      <c r="A2316" s="1" t="s">
        <v>6702</v>
      </c>
      <c r="B2316" s="1" t="s">
        <v>6703</v>
      </c>
      <c r="C2316">
        <f>(1-(B7/100))*672.82</f>
        <v>672.82</v>
      </c>
      <c r="D2316" s="1">
        <v>0</v>
      </c>
      <c r="E2316">
        <f>D2316*C2316</f>
        <v>0</v>
      </c>
      <c r="F2316" s="1" t="s">
        <v>6704</v>
      </c>
      <c r="G2316" s="17">
        <v>74048</v>
      </c>
    </row>
    <row r="2317" spans="1:7">
      <c r="A2317" s="1" t="s">
        <v>6705</v>
      </c>
      <c r="B2317" s="1" t="s">
        <v>6706</v>
      </c>
      <c r="C2317">
        <f>(1-(B7/100))*729.59</f>
        <v>729.59</v>
      </c>
      <c r="D2317" s="1">
        <v>0</v>
      </c>
      <c r="E2317">
        <f>D2317*C2317</f>
        <v>0</v>
      </c>
      <c r="F2317" s="1" t="s">
        <v>6707</v>
      </c>
      <c r="G2317" s="17">
        <v>74051</v>
      </c>
    </row>
    <row r="2318" spans="1:7">
      <c r="A2318" s="1" t="s">
        <v>6708</v>
      </c>
      <c r="B2318" s="1" t="s">
        <v>6709</v>
      </c>
      <c r="C2318">
        <f>(1-(B7/100))*1092.81</f>
        <v>1092.81</v>
      </c>
      <c r="D2318" s="1">
        <v>0</v>
      </c>
      <c r="E2318">
        <f>D2318*C2318</f>
        <v>0</v>
      </c>
      <c r="F2318" s="1" t="s">
        <v>6710</v>
      </c>
      <c r="G2318" s="17">
        <v>74158</v>
      </c>
    </row>
    <row r="2319" spans="1:7">
      <c r="A2319" s="1" t="s">
        <v>6711</v>
      </c>
      <c r="B2319" s="1" t="s">
        <v>6712</v>
      </c>
      <c r="C2319">
        <f>(1-(B7/100))*407.97</f>
        <v>407.97</v>
      </c>
      <c r="D2319" s="1">
        <v>0</v>
      </c>
      <c r="E2319">
        <f>D2319*C2319</f>
        <v>0</v>
      </c>
      <c r="F2319" s="1" t="s">
        <v>6713</v>
      </c>
      <c r="G2319" s="17">
        <v>84275</v>
      </c>
    </row>
    <row r="2320" spans="1:7">
      <c r="A2320" s="1" t="s">
        <v>6714</v>
      </c>
      <c r="B2320" s="1" t="s">
        <v>6715</v>
      </c>
      <c r="C2320">
        <f>(1-(B7/100))*453.77</f>
        <v>453.77</v>
      </c>
      <c r="D2320" s="1">
        <v>0</v>
      </c>
      <c r="E2320">
        <f>D2320*C2320</f>
        <v>0</v>
      </c>
      <c r="F2320" s="1" t="s">
        <v>6716</v>
      </c>
      <c r="G2320" s="17">
        <v>84277</v>
      </c>
    </row>
    <row r="2321" spans="1:7">
      <c r="A2321" s="1" t="s">
        <v>6717</v>
      </c>
      <c r="B2321" s="1" t="s">
        <v>6718</v>
      </c>
      <c r="C2321">
        <f>(1-(B7/100))*123.74</f>
        <v>123.74</v>
      </c>
      <c r="D2321" s="1">
        <v>0</v>
      </c>
      <c r="E2321">
        <f>D2321*C2321</f>
        <v>0</v>
      </c>
      <c r="F2321" s="1" t="s">
        <v>6719</v>
      </c>
      <c r="G2321" s="17">
        <v>86600</v>
      </c>
    </row>
    <row r="2322" spans="1:7">
      <c r="A2322" s="16"/>
      <c r="B2322" s="16" t="s">
        <v>6720</v>
      </c>
      <c r="C2322" s="16"/>
      <c r="D2322" s="16"/>
      <c r="E2322" s="16"/>
      <c r="F2322" s="16"/>
    </row>
    <row r="2323" spans="1:7">
      <c r="A2323" s="1" t="s">
        <v>6721</v>
      </c>
      <c r="B2323" s="1" t="s">
        <v>6722</v>
      </c>
      <c r="C2323">
        <f>(1-(B7/100))*64.73</f>
        <v>64.73</v>
      </c>
      <c r="D2323" s="1">
        <v>0</v>
      </c>
      <c r="E2323">
        <f>D2323*C2323</f>
        <v>0</v>
      </c>
      <c r="F2323" s="1" t="s">
        <v>6723</v>
      </c>
      <c r="G2323" s="17">
        <v>69257</v>
      </c>
    </row>
    <row r="2324" spans="1:7">
      <c r="A2324" s="1" t="s">
        <v>6724</v>
      </c>
      <c r="B2324" s="1" t="s">
        <v>6725</v>
      </c>
      <c r="C2324">
        <f>(1-(B7/100))*64.73</f>
        <v>64.73</v>
      </c>
      <c r="D2324" s="1">
        <v>0</v>
      </c>
      <c r="E2324">
        <f>D2324*C2324</f>
        <v>0</v>
      </c>
      <c r="F2324" s="1" t="s">
        <v>6726</v>
      </c>
      <c r="G2324" s="17">
        <v>69260</v>
      </c>
    </row>
    <row r="2325" spans="1:7">
      <c r="A2325" s="1" t="s">
        <v>6727</v>
      </c>
      <c r="B2325" s="1" t="s">
        <v>6728</v>
      </c>
      <c r="C2325">
        <f>(1-(B7/100))*64.73</f>
        <v>64.73</v>
      </c>
      <c r="D2325" s="1">
        <v>0</v>
      </c>
      <c r="E2325">
        <f>D2325*C2325</f>
        <v>0</v>
      </c>
      <c r="F2325" s="1" t="s">
        <v>6729</v>
      </c>
      <c r="G2325" s="17">
        <v>69263</v>
      </c>
    </row>
    <row r="2326" spans="1:7">
      <c r="A2326" s="1" t="s">
        <v>6730</v>
      </c>
      <c r="B2326" s="1" t="s">
        <v>6731</v>
      </c>
      <c r="C2326">
        <f>(1-(B7/100))*64.73</f>
        <v>64.73</v>
      </c>
      <c r="D2326" s="1">
        <v>0</v>
      </c>
      <c r="E2326">
        <f>D2326*C2326</f>
        <v>0</v>
      </c>
      <c r="F2326" s="1" t="s">
        <v>6732</v>
      </c>
      <c r="G2326" s="17">
        <v>69265</v>
      </c>
    </row>
    <row r="2327" spans="1:7">
      <c r="A2327" s="1" t="s">
        <v>6733</v>
      </c>
      <c r="B2327" s="1" t="s">
        <v>6734</v>
      </c>
      <c r="C2327">
        <f>(1-(B7/100))*911.83</f>
        <v>911.83</v>
      </c>
      <c r="D2327" s="1">
        <v>0</v>
      </c>
      <c r="E2327">
        <f>D2327*C2327</f>
        <v>0</v>
      </c>
      <c r="F2327" s="1" t="s">
        <v>6735</v>
      </c>
      <c r="G2327" s="17">
        <v>69266</v>
      </c>
    </row>
    <row r="2328" spans="1:7">
      <c r="A2328" s="1" t="s">
        <v>6736</v>
      </c>
      <c r="B2328" s="1" t="s">
        <v>6737</v>
      </c>
      <c r="C2328">
        <f>(1-(B7/100))*911.83</f>
        <v>911.83</v>
      </c>
      <c r="D2328" s="1">
        <v>0</v>
      </c>
      <c r="E2328">
        <f>D2328*C2328</f>
        <v>0</v>
      </c>
      <c r="F2328" s="1" t="s">
        <v>6738</v>
      </c>
      <c r="G2328" s="17">
        <v>69268</v>
      </c>
    </row>
    <row r="2329" spans="1:7">
      <c r="A2329" s="1" t="s">
        <v>6739</v>
      </c>
      <c r="B2329" s="1" t="s">
        <v>6740</v>
      </c>
      <c r="C2329">
        <f>(1-(B7/100))*254.04</f>
        <v>254.04</v>
      </c>
      <c r="D2329" s="1">
        <v>0</v>
      </c>
      <c r="E2329">
        <f>D2329*C2329</f>
        <v>0</v>
      </c>
      <c r="F2329" s="1" t="s">
        <v>6741</v>
      </c>
      <c r="G2329" s="17">
        <v>69276</v>
      </c>
    </row>
    <row r="2330" spans="1:7">
      <c r="A2330" s="1" t="s">
        <v>6742</v>
      </c>
      <c r="B2330" s="1" t="s">
        <v>6743</v>
      </c>
      <c r="C2330">
        <f>(1-(B7/100))*326.99</f>
        <v>326.99</v>
      </c>
      <c r="D2330" s="1">
        <v>0</v>
      </c>
      <c r="E2330">
        <f>D2330*C2330</f>
        <v>0</v>
      </c>
      <c r="F2330" s="1" t="s">
        <v>6744</v>
      </c>
      <c r="G2330" s="17">
        <v>69277</v>
      </c>
    </row>
    <row r="2331" spans="1:7">
      <c r="A2331" s="1" t="s">
        <v>6745</v>
      </c>
      <c r="B2331" s="1" t="s">
        <v>6746</v>
      </c>
      <c r="C2331">
        <f>(1-(B7/100))*911.83</f>
        <v>911.83</v>
      </c>
      <c r="D2331" s="1">
        <v>0</v>
      </c>
      <c r="E2331">
        <f>D2331*C2331</f>
        <v>0</v>
      </c>
      <c r="F2331" s="1" t="s">
        <v>6747</v>
      </c>
      <c r="G2331" s="17">
        <v>72941</v>
      </c>
    </row>
    <row r="2332" spans="1:7">
      <c r="A2332" s="1" t="s">
        <v>6748</v>
      </c>
      <c r="B2332" s="1" t="s">
        <v>6749</v>
      </c>
      <c r="C2332">
        <f>(1-(B7/100))*286.15</f>
        <v>286.15</v>
      </c>
      <c r="D2332" s="1">
        <v>0</v>
      </c>
      <c r="E2332">
        <f>D2332*C2332</f>
        <v>0</v>
      </c>
      <c r="F2332" s="1" t="s">
        <v>6750</v>
      </c>
      <c r="G2332" s="17">
        <v>84684</v>
      </c>
    </row>
    <row r="2333" spans="1:7">
      <c r="A2333" s="1" t="s">
        <v>6751</v>
      </c>
      <c r="B2333" s="1" t="s">
        <v>6752</v>
      </c>
      <c r="C2333">
        <f>(1-(B7/100))*350.33</f>
        <v>350.33</v>
      </c>
      <c r="D2333" s="1">
        <v>0</v>
      </c>
      <c r="E2333">
        <f>D2333*C2333</f>
        <v>0</v>
      </c>
      <c r="F2333" s="1" t="s">
        <v>6753</v>
      </c>
      <c r="G2333" s="17">
        <v>84756</v>
      </c>
    </row>
    <row r="2334" spans="1:7">
      <c r="A2334" s="1" t="s">
        <v>6754</v>
      </c>
      <c r="B2334" s="1" t="s">
        <v>6755</v>
      </c>
      <c r="C2334">
        <f>(1-(B7/100))*360.15</f>
        <v>360.15</v>
      </c>
      <c r="D2334" s="1">
        <v>0</v>
      </c>
      <c r="E2334">
        <f>D2334*C2334</f>
        <v>0</v>
      </c>
      <c r="F2334" s="1" t="s">
        <v>6756</v>
      </c>
      <c r="G2334" s="17">
        <v>84757</v>
      </c>
    </row>
    <row r="2335" spans="1:7">
      <c r="A2335" s="1" t="s">
        <v>6757</v>
      </c>
      <c r="B2335" s="1" t="s">
        <v>6758</v>
      </c>
      <c r="C2335">
        <f>(1-(B7/100))*911.83</f>
        <v>911.83</v>
      </c>
      <c r="D2335" s="1">
        <v>0</v>
      </c>
      <c r="E2335">
        <f>D2335*C2335</f>
        <v>0</v>
      </c>
      <c r="F2335" s="1" t="s">
        <v>6759</v>
      </c>
      <c r="G2335" s="17">
        <v>84796</v>
      </c>
    </row>
    <row r="2336" spans="1:7">
      <c r="A2336" s="1" t="s">
        <v>6760</v>
      </c>
      <c r="B2336" s="1" t="s">
        <v>6761</v>
      </c>
      <c r="C2336">
        <f>(1-(B7/100))*12661.81</f>
        <v>12661.81</v>
      </c>
      <c r="D2336" s="1">
        <v>0</v>
      </c>
      <c r="E2336">
        <f>D2336*C2336</f>
        <v>0</v>
      </c>
      <c r="F2336" s="1" t="s">
        <v>6762</v>
      </c>
      <c r="G2336" s="17">
        <v>84840</v>
      </c>
    </row>
    <row r="2337" spans="1:7">
      <c r="A2337" s="1" t="s">
        <v>6763</v>
      </c>
      <c r="B2337" s="1" t="s">
        <v>6764</v>
      </c>
      <c r="C2337">
        <f>(1-(B7/100))*64.73</f>
        <v>64.73</v>
      </c>
      <c r="D2337" s="1">
        <v>0</v>
      </c>
      <c r="E2337">
        <f>D2337*C2337</f>
        <v>0</v>
      </c>
      <c r="F2337" s="1" t="s">
        <v>6765</v>
      </c>
      <c r="G2337" s="17">
        <v>87432</v>
      </c>
    </row>
    <row r="2338" spans="1:7">
      <c r="A2338" s="16"/>
      <c r="B2338" s="16" t="s">
        <v>6766</v>
      </c>
      <c r="C2338" s="16"/>
      <c r="D2338" s="16"/>
      <c r="E2338" s="16"/>
      <c r="F2338" s="16"/>
    </row>
    <row r="2339" spans="1:7">
      <c r="A2339" s="16"/>
      <c r="B2339" s="16" t="s">
        <v>258</v>
      </c>
      <c r="C2339" s="16"/>
      <c r="D2339" s="16"/>
      <c r="E2339" s="16"/>
      <c r="F2339" s="16"/>
    </row>
    <row r="2340" spans="1:7">
      <c r="A2340" s="1" t="s">
        <v>6767</v>
      </c>
      <c r="B2340" s="1" t="s">
        <v>6768</v>
      </c>
      <c r="C2340">
        <f>(1-(B7/100))*207.19</f>
        <v>207.19</v>
      </c>
      <c r="D2340" s="1">
        <v>0</v>
      </c>
      <c r="E2340">
        <f>D2340*C2340</f>
        <v>0</v>
      </c>
      <c r="F2340" s="1" t="s">
        <v>6769</v>
      </c>
      <c r="G2340" s="17">
        <v>63161</v>
      </c>
    </row>
    <row r="2341" spans="1:7">
      <c r="A2341" s="1" t="s">
        <v>6770</v>
      </c>
      <c r="B2341" s="1" t="s">
        <v>6771</v>
      </c>
      <c r="C2341">
        <f>(1-(B7/100))*2157.16</f>
        <v>2157.16</v>
      </c>
      <c r="D2341" s="1">
        <v>0</v>
      </c>
      <c r="E2341">
        <f>D2341*C2341</f>
        <v>0</v>
      </c>
      <c r="F2341" s="1" t="s">
        <v>6772</v>
      </c>
      <c r="G2341" s="17">
        <v>64507</v>
      </c>
    </row>
    <row r="2342" spans="1:7">
      <c r="A2342" s="1" t="s">
        <v>6773</v>
      </c>
      <c r="B2342" s="1" t="s">
        <v>6774</v>
      </c>
      <c r="C2342">
        <f>(1-(B7/100))*72.05</f>
        <v>72.05</v>
      </c>
      <c r="D2342" s="1">
        <v>0</v>
      </c>
      <c r="E2342">
        <f>D2342*C2342</f>
        <v>0</v>
      </c>
      <c r="F2342" s="1" t="s">
        <v>6775</v>
      </c>
      <c r="G2342" s="17">
        <v>64808</v>
      </c>
    </row>
    <row r="2343" spans="1:7">
      <c r="A2343" s="1" t="s">
        <v>6776</v>
      </c>
      <c r="B2343" s="1" t="s">
        <v>6777</v>
      </c>
      <c r="C2343">
        <f>(1-(B7/100))*92.58</f>
        <v>92.58</v>
      </c>
      <c r="D2343" s="1">
        <v>0</v>
      </c>
      <c r="E2343">
        <f>D2343*C2343</f>
        <v>0</v>
      </c>
      <c r="F2343" s="1" t="s">
        <v>6778</v>
      </c>
      <c r="G2343" s="17">
        <v>65930</v>
      </c>
    </row>
    <row r="2344" spans="1:7">
      <c r="A2344" s="1" t="s">
        <v>6779</v>
      </c>
      <c r="B2344" s="1" t="s">
        <v>6780</v>
      </c>
      <c r="C2344">
        <f>(1-(B7/100))*218.21</f>
        <v>218.21</v>
      </c>
      <c r="D2344" s="1">
        <v>0</v>
      </c>
      <c r="E2344">
        <f>D2344*C2344</f>
        <v>0</v>
      </c>
      <c r="F2344" s="1" t="s">
        <v>6781</v>
      </c>
      <c r="G2344" s="17">
        <v>68940</v>
      </c>
    </row>
    <row r="2345" spans="1:7">
      <c r="A2345" s="1" t="s">
        <v>6782</v>
      </c>
      <c r="B2345" s="1" t="s">
        <v>6783</v>
      </c>
      <c r="C2345">
        <f>(1-(B7/100))*66.21</f>
        <v>66.21</v>
      </c>
      <c r="D2345" s="1">
        <v>0</v>
      </c>
      <c r="E2345">
        <f>D2345*C2345</f>
        <v>0</v>
      </c>
      <c r="F2345" s="1" t="s">
        <v>6784</v>
      </c>
      <c r="G2345" s="17">
        <v>68955</v>
      </c>
    </row>
    <row r="2346" spans="1:7">
      <c r="A2346" s="1" t="s">
        <v>6785</v>
      </c>
      <c r="B2346" s="1" t="s">
        <v>6786</v>
      </c>
      <c r="C2346">
        <f>(1-(B7/100))*26.68</f>
        <v>26.68</v>
      </c>
      <c r="D2346" s="1">
        <v>0</v>
      </c>
      <c r="E2346">
        <f>D2346*C2346</f>
        <v>0</v>
      </c>
      <c r="F2346" s="1" t="s">
        <v>6787</v>
      </c>
      <c r="G2346" s="17">
        <v>68979</v>
      </c>
    </row>
    <row r="2347" spans="1:7">
      <c r="A2347" s="1" t="s">
        <v>6788</v>
      </c>
      <c r="B2347" s="1" t="s">
        <v>6789</v>
      </c>
      <c r="C2347">
        <f>(1-(B7/100))*26.05</f>
        <v>26.05</v>
      </c>
      <c r="D2347" s="1">
        <v>0</v>
      </c>
      <c r="E2347">
        <f>D2347*C2347</f>
        <v>0</v>
      </c>
      <c r="F2347" s="1" t="s">
        <v>6790</v>
      </c>
      <c r="G2347" s="17">
        <v>68988</v>
      </c>
    </row>
    <row r="2348" spans="1:7">
      <c r="A2348" s="1" t="s">
        <v>6791</v>
      </c>
      <c r="B2348" s="1" t="s">
        <v>6792</v>
      </c>
      <c r="C2348">
        <f>(1-(B7/100))*385.21</f>
        <v>385.21</v>
      </c>
      <c r="D2348" s="1">
        <v>0</v>
      </c>
      <c r="E2348">
        <f>D2348*C2348</f>
        <v>0</v>
      </c>
      <c r="F2348" s="1" t="s">
        <v>6793</v>
      </c>
      <c r="G2348" s="17">
        <v>72854</v>
      </c>
    </row>
    <row r="2349" spans="1:7">
      <c r="A2349" s="1" t="s">
        <v>6794</v>
      </c>
      <c r="B2349" s="1" t="s">
        <v>6795</v>
      </c>
      <c r="C2349">
        <f>(1-(B7/100))*205.73</f>
        <v>205.73</v>
      </c>
      <c r="D2349" s="1">
        <v>0</v>
      </c>
      <c r="E2349">
        <f>D2349*C2349</f>
        <v>0</v>
      </c>
      <c r="F2349" s="1" t="s">
        <v>6796</v>
      </c>
      <c r="G2349" s="17">
        <v>73269</v>
      </c>
    </row>
    <row r="2350" spans="1:7">
      <c r="A2350" s="1" t="s">
        <v>6797</v>
      </c>
      <c r="B2350" s="1" t="s">
        <v>6798</v>
      </c>
      <c r="C2350">
        <f>(1-(B7/100))*46.81</f>
        <v>46.81</v>
      </c>
      <c r="D2350" s="1">
        <v>0</v>
      </c>
      <c r="E2350">
        <f>D2350*C2350</f>
        <v>0</v>
      </c>
      <c r="F2350" s="1" t="s">
        <v>6799</v>
      </c>
      <c r="G2350" s="17">
        <v>84258</v>
      </c>
    </row>
    <row r="2351" spans="1:7">
      <c r="A2351" s="1" t="s">
        <v>6800</v>
      </c>
      <c r="B2351" s="1" t="s">
        <v>6801</v>
      </c>
      <c r="C2351">
        <f>(1-(B7/100))*75.8</f>
        <v>75.8</v>
      </c>
      <c r="D2351" s="1">
        <v>0</v>
      </c>
      <c r="E2351">
        <f>D2351*C2351</f>
        <v>0</v>
      </c>
      <c r="F2351" s="1" t="s">
        <v>6802</v>
      </c>
      <c r="G2351" s="17">
        <v>84262</v>
      </c>
    </row>
    <row r="2352" spans="1:7">
      <c r="A2352" s="1" t="s">
        <v>6803</v>
      </c>
      <c r="B2352" s="1" t="s">
        <v>6804</v>
      </c>
      <c r="C2352">
        <f>(1-(B7/100))*74.16</f>
        <v>74.16</v>
      </c>
      <c r="D2352" s="1">
        <v>0</v>
      </c>
      <c r="E2352">
        <f>D2352*C2352</f>
        <v>0</v>
      </c>
      <c r="F2352" s="1" t="s">
        <v>6805</v>
      </c>
      <c r="G2352" s="17">
        <v>84264</v>
      </c>
    </row>
    <row r="2353" spans="1:7">
      <c r="A2353" s="1" t="s">
        <v>6806</v>
      </c>
      <c r="B2353" s="1" t="s">
        <v>6807</v>
      </c>
      <c r="C2353">
        <f>(1-(B7/100))*55.35</f>
        <v>55.35</v>
      </c>
      <c r="D2353" s="1">
        <v>0</v>
      </c>
      <c r="E2353">
        <f>D2353*C2353</f>
        <v>0</v>
      </c>
      <c r="F2353" s="1" t="s">
        <v>6808</v>
      </c>
      <c r="G2353" s="17">
        <v>84267</v>
      </c>
    </row>
    <row r="2354" spans="1:7">
      <c r="A2354" s="1" t="s">
        <v>6809</v>
      </c>
      <c r="B2354" s="1" t="s">
        <v>6810</v>
      </c>
      <c r="C2354">
        <f>(1-(B7/100))*1275.75</f>
        <v>1275.75</v>
      </c>
      <c r="D2354" s="1">
        <v>0</v>
      </c>
      <c r="E2354">
        <f>D2354*C2354</f>
        <v>0</v>
      </c>
      <c r="F2354" s="1" t="s">
        <v>6811</v>
      </c>
      <c r="G2354" s="17">
        <v>84300</v>
      </c>
    </row>
    <row r="2355" spans="1:7">
      <c r="A2355" s="1" t="s">
        <v>6812</v>
      </c>
      <c r="B2355" s="1" t="s">
        <v>6813</v>
      </c>
      <c r="C2355">
        <f>(1-(B7/100))*1705.95</f>
        <v>1705.95</v>
      </c>
      <c r="D2355" s="1">
        <v>0</v>
      </c>
      <c r="E2355">
        <f>D2355*C2355</f>
        <v>0</v>
      </c>
      <c r="F2355" s="1" t="s">
        <v>6814</v>
      </c>
      <c r="G2355" s="17">
        <v>84301</v>
      </c>
    </row>
    <row r="2356" spans="1:7">
      <c r="A2356" s="1" t="s">
        <v>6815</v>
      </c>
      <c r="B2356" s="1" t="s">
        <v>6816</v>
      </c>
      <c r="C2356">
        <f>(1-(B7/100))*260.43</f>
        <v>260.43</v>
      </c>
      <c r="D2356" s="1">
        <v>0</v>
      </c>
      <c r="E2356">
        <f>D2356*C2356</f>
        <v>0</v>
      </c>
      <c r="F2356" s="1" t="s">
        <v>6817</v>
      </c>
      <c r="G2356" s="17">
        <v>84302</v>
      </c>
    </row>
    <row r="2357" spans="1:7">
      <c r="A2357" s="1" t="s">
        <v>6818</v>
      </c>
      <c r="B2357" s="1" t="s">
        <v>6819</v>
      </c>
      <c r="C2357">
        <f>(1-(B7/100))*30.35</f>
        <v>30.35</v>
      </c>
      <c r="D2357" s="1">
        <v>0</v>
      </c>
      <c r="E2357">
        <f>D2357*C2357</f>
        <v>0</v>
      </c>
      <c r="F2357" s="1" t="s">
        <v>6820</v>
      </c>
      <c r="G2357" s="17">
        <v>84304</v>
      </c>
    </row>
    <row r="2358" spans="1:7">
      <c r="A2358" s="1" t="s">
        <v>6821</v>
      </c>
      <c r="B2358" s="1" t="s">
        <v>6822</v>
      </c>
      <c r="C2358">
        <f>(1-(B7/100))*211.59</f>
        <v>211.59</v>
      </c>
      <c r="D2358" s="1">
        <v>0</v>
      </c>
      <c r="E2358">
        <f>D2358*C2358</f>
        <v>0</v>
      </c>
      <c r="F2358" s="1" t="s">
        <v>6823</v>
      </c>
      <c r="G2358" s="17">
        <v>84305</v>
      </c>
    </row>
    <row r="2359" spans="1:7">
      <c r="A2359" s="1" t="s">
        <v>6824</v>
      </c>
      <c r="B2359" s="1" t="s">
        <v>6825</v>
      </c>
      <c r="C2359">
        <f>(1-(B7/100))*163.01</f>
        <v>163.01</v>
      </c>
      <c r="D2359" s="1">
        <v>0</v>
      </c>
      <c r="E2359">
        <f>D2359*C2359</f>
        <v>0</v>
      </c>
      <c r="F2359" s="1" t="s">
        <v>6826</v>
      </c>
      <c r="G2359" s="17">
        <v>84306</v>
      </c>
    </row>
    <row r="2360" spans="1:7">
      <c r="A2360" s="1" t="s">
        <v>6827</v>
      </c>
      <c r="B2360" s="1" t="s">
        <v>6828</v>
      </c>
      <c r="C2360">
        <f>(1-(B7/100))*147.86</f>
        <v>147.86</v>
      </c>
      <c r="D2360" s="1">
        <v>0</v>
      </c>
      <c r="E2360">
        <f>D2360*C2360</f>
        <v>0</v>
      </c>
      <c r="F2360" s="1" t="s">
        <v>6829</v>
      </c>
      <c r="G2360" s="17">
        <v>84308</v>
      </c>
    </row>
    <row r="2361" spans="1:7">
      <c r="A2361" s="1" t="s">
        <v>6830</v>
      </c>
      <c r="B2361" s="1" t="s">
        <v>6831</v>
      </c>
      <c r="C2361">
        <f>(1-(B7/100))*240.48</f>
        <v>240.48</v>
      </c>
      <c r="D2361" s="1">
        <v>0</v>
      </c>
      <c r="E2361">
        <f>D2361*C2361</f>
        <v>0</v>
      </c>
      <c r="F2361" s="1" t="s">
        <v>6832</v>
      </c>
      <c r="G2361" s="17">
        <v>84309</v>
      </c>
    </row>
    <row r="2362" spans="1:7">
      <c r="A2362" s="1" t="s">
        <v>6833</v>
      </c>
      <c r="B2362" s="1" t="s">
        <v>6834</v>
      </c>
      <c r="C2362">
        <f>(1-(B7/100))*4828.52</f>
        <v>4828.52</v>
      </c>
      <c r="D2362" s="1">
        <v>0</v>
      </c>
      <c r="E2362">
        <f>D2362*C2362</f>
        <v>0</v>
      </c>
      <c r="F2362" s="1" t="s">
        <v>6835</v>
      </c>
      <c r="G2362" s="17">
        <v>84320</v>
      </c>
    </row>
    <row r="2363" spans="1:7">
      <c r="A2363" s="1" t="s">
        <v>6836</v>
      </c>
      <c r="B2363" s="1" t="s">
        <v>6837</v>
      </c>
      <c r="C2363">
        <f>(1-(B7/100))*4855.35</f>
        <v>4855.35</v>
      </c>
      <c r="D2363" s="1">
        <v>0</v>
      </c>
      <c r="E2363">
        <f>D2363*C2363</f>
        <v>0</v>
      </c>
      <c r="F2363" s="1" t="s">
        <v>6838</v>
      </c>
      <c r="G2363" s="17">
        <v>84321</v>
      </c>
    </row>
    <row r="2364" spans="1:7">
      <c r="A2364" s="1" t="s">
        <v>6839</v>
      </c>
      <c r="B2364" s="1" t="s">
        <v>6840</v>
      </c>
      <c r="C2364">
        <f>(1-(B7/100))*189.57</f>
        <v>189.57</v>
      </c>
      <c r="D2364" s="1">
        <v>0</v>
      </c>
      <c r="E2364">
        <f>D2364*C2364</f>
        <v>0</v>
      </c>
      <c r="F2364" s="1" t="s">
        <v>6841</v>
      </c>
      <c r="G2364" s="17">
        <v>84322</v>
      </c>
    </row>
    <row r="2365" spans="1:7">
      <c r="A2365" s="1" t="s">
        <v>6842</v>
      </c>
      <c r="B2365" s="1" t="s">
        <v>6843</v>
      </c>
      <c r="C2365">
        <f>(1-(B7/100))*23.72</f>
        <v>23.72</v>
      </c>
      <c r="D2365" s="1">
        <v>0</v>
      </c>
      <c r="E2365">
        <f>D2365*C2365</f>
        <v>0</v>
      </c>
      <c r="F2365" s="1" t="s">
        <v>6844</v>
      </c>
      <c r="G2365" s="17">
        <v>84361</v>
      </c>
    </row>
    <row r="2366" spans="1:7">
      <c r="A2366" s="1" t="s">
        <v>6845</v>
      </c>
      <c r="B2366" s="1" t="s">
        <v>6846</v>
      </c>
      <c r="C2366">
        <f>(1-(B7/100))*59.67</f>
        <v>59.67</v>
      </c>
      <c r="D2366" s="1">
        <v>0</v>
      </c>
      <c r="E2366">
        <f>D2366*C2366</f>
        <v>0</v>
      </c>
      <c r="F2366" s="1" t="s">
        <v>6847</v>
      </c>
      <c r="G2366" s="17">
        <v>84396</v>
      </c>
    </row>
    <row r="2367" spans="1:7">
      <c r="A2367" s="1" t="s">
        <v>6848</v>
      </c>
      <c r="B2367" s="1" t="s">
        <v>6849</v>
      </c>
      <c r="C2367">
        <f>(1-(B7/100))*59.67</f>
        <v>59.67</v>
      </c>
      <c r="D2367" s="1">
        <v>0</v>
      </c>
      <c r="E2367">
        <f>D2367*C2367</f>
        <v>0</v>
      </c>
      <c r="F2367" s="1" t="s">
        <v>6850</v>
      </c>
      <c r="G2367" s="17">
        <v>84397</v>
      </c>
    </row>
    <row r="2368" spans="1:7">
      <c r="A2368" s="1" t="s">
        <v>6851</v>
      </c>
      <c r="B2368" s="1" t="s">
        <v>6852</v>
      </c>
      <c r="C2368">
        <f>(1-(B7/100))*52.37</f>
        <v>52.37</v>
      </c>
      <c r="D2368" s="1">
        <v>0</v>
      </c>
      <c r="E2368">
        <f>D2368*C2368</f>
        <v>0</v>
      </c>
      <c r="F2368" s="1" t="s">
        <v>6853</v>
      </c>
      <c r="G2368" s="17">
        <v>84398</v>
      </c>
    </row>
    <row r="2369" spans="1:7">
      <c r="A2369" s="1" t="s">
        <v>6854</v>
      </c>
      <c r="B2369" s="1" t="s">
        <v>6855</v>
      </c>
      <c r="C2369">
        <f>(1-(B7/100))*52.37</f>
        <v>52.37</v>
      </c>
      <c r="D2369" s="1">
        <v>0</v>
      </c>
      <c r="E2369">
        <f>D2369*C2369</f>
        <v>0</v>
      </c>
      <c r="F2369" s="1" t="s">
        <v>6856</v>
      </c>
      <c r="G2369" s="17">
        <v>84404</v>
      </c>
    </row>
    <row r="2370" spans="1:7">
      <c r="A2370" s="1" t="s">
        <v>6857</v>
      </c>
      <c r="B2370" s="1" t="s">
        <v>6858</v>
      </c>
      <c r="C2370">
        <f>(1-(B7/100))*65.71</f>
        <v>65.71</v>
      </c>
      <c r="D2370" s="1">
        <v>0</v>
      </c>
      <c r="E2370">
        <f>D2370*C2370</f>
        <v>0</v>
      </c>
      <c r="F2370" s="1" t="s">
        <v>6859</v>
      </c>
      <c r="G2370" s="17">
        <v>84406</v>
      </c>
    </row>
    <row r="2371" spans="1:7">
      <c r="A2371" s="1" t="s">
        <v>6860</v>
      </c>
      <c r="B2371" s="1" t="s">
        <v>6861</v>
      </c>
      <c r="C2371">
        <f>(1-(B7/100))*65.71</f>
        <v>65.71</v>
      </c>
      <c r="D2371" s="1">
        <v>0</v>
      </c>
      <c r="E2371">
        <f>D2371*C2371</f>
        <v>0</v>
      </c>
      <c r="F2371" s="1" t="s">
        <v>6862</v>
      </c>
      <c r="G2371" s="17">
        <v>84408</v>
      </c>
    </row>
    <row r="2372" spans="1:7">
      <c r="A2372" s="1" t="s">
        <v>6863</v>
      </c>
      <c r="B2372" s="1" t="s">
        <v>6864</v>
      </c>
      <c r="C2372">
        <f>(1-(B7/100))*210.29</f>
        <v>210.29</v>
      </c>
      <c r="D2372" s="1">
        <v>0</v>
      </c>
      <c r="E2372">
        <f>D2372*C2372</f>
        <v>0</v>
      </c>
      <c r="F2372" s="1" t="s">
        <v>6865</v>
      </c>
      <c r="G2372" s="17">
        <v>84497</v>
      </c>
    </row>
    <row r="2373" spans="1:7">
      <c r="A2373" s="1" t="s">
        <v>6866</v>
      </c>
      <c r="B2373" s="1" t="s">
        <v>6867</v>
      </c>
      <c r="C2373">
        <f>(1-(B7/100))*210.29</f>
        <v>210.29</v>
      </c>
      <c r="D2373" s="1">
        <v>0</v>
      </c>
      <c r="E2373">
        <f>D2373*C2373</f>
        <v>0</v>
      </c>
      <c r="F2373" s="1" t="s">
        <v>6868</v>
      </c>
      <c r="G2373" s="17">
        <v>84499</v>
      </c>
    </row>
    <row r="2374" spans="1:7">
      <c r="A2374" s="1" t="s">
        <v>6869</v>
      </c>
      <c r="B2374" s="1" t="s">
        <v>6870</v>
      </c>
      <c r="C2374">
        <f>(1-(B7/100))*209.84</f>
        <v>209.84</v>
      </c>
      <c r="D2374" s="1">
        <v>0</v>
      </c>
      <c r="E2374">
        <f>D2374*C2374</f>
        <v>0</v>
      </c>
      <c r="F2374" s="1" t="s">
        <v>6871</v>
      </c>
      <c r="G2374" s="17">
        <v>84500</v>
      </c>
    </row>
    <row r="2375" spans="1:7">
      <c r="A2375" s="1" t="s">
        <v>6872</v>
      </c>
      <c r="B2375" s="1" t="s">
        <v>6873</v>
      </c>
      <c r="C2375">
        <f>(1-(B7/100))*237.49</f>
        <v>237.49</v>
      </c>
      <c r="D2375" s="1">
        <v>0</v>
      </c>
      <c r="E2375">
        <f>D2375*C2375</f>
        <v>0</v>
      </c>
      <c r="F2375" s="1" t="s">
        <v>6874</v>
      </c>
      <c r="G2375" s="17">
        <v>84501</v>
      </c>
    </row>
    <row r="2376" spans="1:7">
      <c r="A2376" s="1" t="s">
        <v>6875</v>
      </c>
      <c r="B2376" s="1" t="s">
        <v>6876</v>
      </c>
      <c r="C2376">
        <f>(1-(B7/100))*35.38</f>
        <v>35.38</v>
      </c>
      <c r="D2376" s="1">
        <v>0</v>
      </c>
      <c r="E2376">
        <f>D2376*C2376</f>
        <v>0</v>
      </c>
      <c r="F2376" s="1" t="s">
        <v>6877</v>
      </c>
      <c r="G2376" s="17">
        <v>84577</v>
      </c>
    </row>
    <row r="2377" spans="1:7">
      <c r="A2377" s="1" t="s">
        <v>6878</v>
      </c>
      <c r="B2377" s="1" t="s">
        <v>6879</v>
      </c>
      <c r="C2377">
        <f>(1-(B7/100))*73.99</f>
        <v>73.99</v>
      </c>
      <c r="D2377" s="1">
        <v>0</v>
      </c>
      <c r="E2377">
        <f>D2377*C2377</f>
        <v>0</v>
      </c>
      <c r="F2377" s="1" t="s">
        <v>6880</v>
      </c>
      <c r="G2377" s="17">
        <v>84604</v>
      </c>
    </row>
    <row r="2378" spans="1:7">
      <c r="A2378" s="1" t="s">
        <v>6881</v>
      </c>
      <c r="B2378" s="1" t="s">
        <v>6882</v>
      </c>
      <c r="C2378">
        <f>(1-(B7/100))*75.86</f>
        <v>75.86</v>
      </c>
      <c r="D2378" s="1">
        <v>0</v>
      </c>
      <c r="E2378">
        <f>D2378*C2378</f>
        <v>0</v>
      </c>
      <c r="F2378" s="1" t="s">
        <v>6883</v>
      </c>
      <c r="G2378" s="17">
        <v>84607</v>
      </c>
    </row>
    <row r="2379" spans="1:7">
      <c r="A2379" s="1" t="s">
        <v>6884</v>
      </c>
      <c r="B2379" s="1" t="s">
        <v>6885</v>
      </c>
      <c r="C2379">
        <f>(1-(B7/100))*79.45</f>
        <v>79.45</v>
      </c>
      <c r="D2379" s="1">
        <v>0</v>
      </c>
      <c r="E2379">
        <f>D2379*C2379</f>
        <v>0</v>
      </c>
      <c r="F2379" s="1" t="s">
        <v>6886</v>
      </c>
      <c r="G2379" s="17">
        <v>84609</v>
      </c>
    </row>
    <row r="2380" spans="1:7">
      <c r="A2380" s="1" t="s">
        <v>6887</v>
      </c>
      <c r="B2380" s="1" t="s">
        <v>6888</v>
      </c>
      <c r="C2380">
        <f>(1-(B7/100))*112.84</f>
        <v>112.84</v>
      </c>
      <c r="D2380" s="1">
        <v>0</v>
      </c>
      <c r="E2380">
        <f>D2380*C2380</f>
        <v>0</v>
      </c>
      <c r="F2380" s="1" t="s">
        <v>6889</v>
      </c>
      <c r="G2380" s="17">
        <v>84610</v>
      </c>
    </row>
    <row r="2381" spans="1:7">
      <c r="A2381" s="1" t="s">
        <v>6890</v>
      </c>
      <c r="B2381" s="1" t="s">
        <v>6891</v>
      </c>
      <c r="C2381">
        <f>(1-(B7/100))*303.21</f>
        <v>303.21</v>
      </c>
      <c r="D2381" s="1">
        <v>0</v>
      </c>
      <c r="E2381">
        <f>D2381*C2381</f>
        <v>0</v>
      </c>
      <c r="F2381" s="1" t="s">
        <v>6892</v>
      </c>
      <c r="G2381" s="17">
        <v>84754</v>
      </c>
    </row>
    <row r="2382" spans="1:7">
      <c r="A2382" s="1" t="s">
        <v>6893</v>
      </c>
      <c r="B2382" s="1" t="s">
        <v>6894</v>
      </c>
      <c r="C2382">
        <f>(1-(B7/100))*124.37</f>
        <v>124.37</v>
      </c>
      <c r="D2382" s="1">
        <v>0</v>
      </c>
      <c r="E2382">
        <f>D2382*C2382</f>
        <v>0</v>
      </c>
      <c r="F2382" s="1" t="s">
        <v>6895</v>
      </c>
      <c r="G2382" s="17">
        <v>84755</v>
      </c>
    </row>
    <row r="2383" spans="1:7">
      <c r="A2383" s="1" t="s">
        <v>6896</v>
      </c>
      <c r="B2383" s="1" t="s">
        <v>6897</v>
      </c>
      <c r="C2383">
        <f>(1-(B7/100))*254.83</f>
        <v>254.83</v>
      </c>
      <c r="D2383" s="1">
        <v>0</v>
      </c>
      <c r="E2383">
        <f>D2383*C2383</f>
        <v>0</v>
      </c>
      <c r="F2383" s="1" t="s">
        <v>6898</v>
      </c>
      <c r="G2383" s="17">
        <v>84777</v>
      </c>
    </row>
    <row r="2384" spans="1:7">
      <c r="A2384" s="1" t="s">
        <v>6899</v>
      </c>
      <c r="B2384" s="1" t="s">
        <v>6900</v>
      </c>
      <c r="C2384">
        <f>(1-(B7/100))*1538.87</f>
        <v>1538.87</v>
      </c>
      <c r="D2384" s="1">
        <v>0</v>
      </c>
      <c r="E2384">
        <f>D2384*C2384</f>
        <v>0</v>
      </c>
      <c r="F2384" s="1" t="s">
        <v>6901</v>
      </c>
      <c r="G2384" s="17">
        <v>84780</v>
      </c>
    </row>
    <row r="2385" spans="1:7">
      <c r="A2385" s="1" t="s">
        <v>6902</v>
      </c>
      <c r="B2385" s="1" t="s">
        <v>6903</v>
      </c>
      <c r="C2385">
        <f>(1-(B7/100))*1379.71</f>
        <v>1379.71</v>
      </c>
      <c r="D2385" s="1">
        <v>0</v>
      </c>
      <c r="E2385">
        <f>D2385*C2385</f>
        <v>0</v>
      </c>
      <c r="F2385" s="1" t="s">
        <v>6904</v>
      </c>
      <c r="G2385" s="17">
        <v>84781</v>
      </c>
    </row>
    <row r="2386" spans="1:7">
      <c r="A2386" s="1" t="s">
        <v>6905</v>
      </c>
      <c r="B2386" s="1" t="s">
        <v>6906</v>
      </c>
      <c r="C2386">
        <f>(1-(B7/100))*377.33</f>
        <v>377.33</v>
      </c>
      <c r="D2386" s="1">
        <v>0</v>
      </c>
      <c r="E2386">
        <f>D2386*C2386</f>
        <v>0</v>
      </c>
      <c r="F2386" s="1" t="s">
        <v>6907</v>
      </c>
      <c r="G2386" s="17">
        <v>84799</v>
      </c>
    </row>
    <row r="2387" spans="1:7">
      <c r="A2387" s="1" t="s">
        <v>6908</v>
      </c>
      <c r="B2387" s="1" t="s">
        <v>6909</v>
      </c>
      <c r="C2387">
        <f>(1-(B7/100))*371.3</f>
        <v>371.3</v>
      </c>
      <c r="D2387" s="1">
        <v>0</v>
      </c>
      <c r="E2387">
        <f>D2387*C2387</f>
        <v>0</v>
      </c>
      <c r="F2387" s="1" t="s">
        <v>6910</v>
      </c>
      <c r="G2387" s="17">
        <v>84800</v>
      </c>
    </row>
    <row r="2388" spans="1:7">
      <c r="A2388" s="1" t="s">
        <v>6911</v>
      </c>
      <c r="B2388" s="1" t="s">
        <v>6912</v>
      </c>
      <c r="C2388">
        <f>(1-(B7/100))*183.95</f>
        <v>183.95</v>
      </c>
      <c r="D2388" s="1">
        <v>0</v>
      </c>
      <c r="E2388">
        <f>D2388*C2388</f>
        <v>0</v>
      </c>
      <c r="F2388" s="1" t="s">
        <v>6913</v>
      </c>
      <c r="G2388" s="17">
        <v>84807</v>
      </c>
    </row>
    <row r="2389" spans="1:7">
      <c r="A2389" s="1" t="s">
        <v>6914</v>
      </c>
      <c r="B2389" s="1" t="s">
        <v>6915</v>
      </c>
      <c r="C2389">
        <f>(1-(B7/100))*463.66</f>
        <v>463.66</v>
      </c>
      <c r="D2389" s="1">
        <v>0</v>
      </c>
      <c r="E2389">
        <f>D2389*C2389</f>
        <v>0</v>
      </c>
      <c r="F2389" s="1" t="s">
        <v>6916</v>
      </c>
      <c r="G2389" s="17">
        <v>84809</v>
      </c>
    </row>
    <row r="2390" spans="1:7">
      <c r="A2390" s="1" t="s">
        <v>6917</v>
      </c>
      <c r="B2390" s="1" t="s">
        <v>6918</v>
      </c>
      <c r="C2390">
        <f>(1-(B7/100))*404.29</f>
        <v>404.29</v>
      </c>
      <c r="D2390" s="1">
        <v>0</v>
      </c>
      <c r="E2390">
        <f>D2390*C2390</f>
        <v>0</v>
      </c>
      <c r="F2390" s="1" t="s">
        <v>6919</v>
      </c>
      <c r="G2390" s="17">
        <v>84813</v>
      </c>
    </row>
    <row r="2391" spans="1:7">
      <c r="A2391" s="1" t="s">
        <v>6920</v>
      </c>
      <c r="B2391" s="1" t="s">
        <v>6921</v>
      </c>
      <c r="C2391">
        <f>(1-(B7/100))*221.27</f>
        <v>221.27</v>
      </c>
      <c r="D2391" s="1">
        <v>0</v>
      </c>
      <c r="E2391">
        <f>D2391*C2391</f>
        <v>0</v>
      </c>
      <c r="F2391" s="1" t="s">
        <v>6922</v>
      </c>
      <c r="G2391" s="17">
        <v>84814</v>
      </c>
    </row>
    <row r="2392" spans="1:7">
      <c r="A2392" s="1" t="s">
        <v>6923</v>
      </c>
      <c r="B2392" s="1" t="s">
        <v>6924</v>
      </c>
      <c r="C2392">
        <f>(1-(B7/100))*386.27</f>
        <v>386.27</v>
      </c>
      <c r="D2392" s="1">
        <v>0</v>
      </c>
      <c r="E2392">
        <f>D2392*C2392</f>
        <v>0</v>
      </c>
      <c r="F2392" s="1" t="s">
        <v>6925</v>
      </c>
      <c r="G2392" s="17">
        <v>84815</v>
      </c>
    </row>
    <row r="2393" spans="1:7">
      <c r="A2393" s="1" t="s">
        <v>6926</v>
      </c>
      <c r="B2393" s="1" t="s">
        <v>6927</v>
      </c>
      <c r="C2393">
        <f>(1-(B7/100))*386.27</f>
        <v>386.27</v>
      </c>
      <c r="D2393" s="1">
        <v>0</v>
      </c>
      <c r="E2393">
        <f>D2393*C2393</f>
        <v>0</v>
      </c>
      <c r="F2393" s="1" t="s">
        <v>6928</v>
      </c>
      <c r="G2393" s="17">
        <v>84816</v>
      </c>
    </row>
    <row r="2394" spans="1:7">
      <c r="A2394" s="1" t="s">
        <v>6929</v>
      </c>
      <c r="B2394" s="1" t="s">
        <v>6930</v>
      </c>
      <c r="C2394">
        <f>(1-(B7/100))*335.96</f>
        <v>335.96</v>
      </c>
      <c r="D2394" s="1">
        <v>0</v>
      </c>
      <c r="E2394">
        <f>D2394*C2394</f>
        <v>0</v>
      </c>
      <c r="F2394" s="1" t="s">
        <v>6931</v>
      </c>
      <c r="G2394" s="17">
        <v>84817</v>
      </c>
    </row>
    <row r="2395" spans="1:7">
      <c r="A2395" s="1" t="s">
        <v>6932</v>
      </c>
      <c r="B2395" s="1" t="s">
        <v>6933</v>
      </c>
      <c r="C2395">
        <f>(1-(B7/100))*314.11</f>
        <v>314.11</v>
      </c>
      <c r="D2395" s="1">
        <v>0</v>
      </c>
      <c r="E2395">
        <f>D2395*C2395</f>
        <v>0</v>
      </c>
      <c r="F2395" s="1" t="s">
        <v>6934</v>
      </c>
      <c r="G2395" s="17">
        <v>84818</v>
      </c>
    </row>
    <row r="2396" spans="1:7">
      <c r="A2396" s="1" t="s">
        <v>6935</v>
      </c>
      <c r="B2396" s="1" t="s">
        <v>6936</v>
      </c>
      <c r="C2396">
        <f>(1-(B7/100))*244.07</f>
        <v>244.07</v>
      </c>
      <c r="D2396" s="1">
        <v>0</v>
      </c>
      <c r="E2396">
        <f>D2396*C2396</f>
        <v>0</v>
      </c>
      <c r="F2396" s="1" t="s">
        <v>6937</v>
      </c>
      <c r="G2396" s="17">
        <v>84819</v>
      </c>
    </row>
    <row r="2397" spans="1:7">
      <c r="A2397" s="1" t="s">
        <v>6938</v>
      </c>
      <c r="B2397" s="1" t="s">
        <v>6939</v>
      </c>
      <c r="C2397">
        <f>(1-(B7/100))*222.46</f>
        <v>222.46</v>
      </c>
      <c r="D2397" s="1">
        <v>0</v>
      </c>
      <c r="E2397">
        <f>D2397*C2397</f>
        <v>0</v>
      </c>
      <c r="F2397" s="1" t="s">
        <v>6940</v>
      </c>
      <c r="G2397" s="17">
        <v>84820</v>
      </c>
    </row>
    <row r="2398" spans="1:7">
      <c r="A2398" s="1" t="s">
        <v>6941</v>
      </c>
      <c r="B2398" s="1" t="s">
        <v>6942</v>
      </c>
      <c r="C2398">
        <f>(1-(B7/100))*262</f>
        <v>262</v>
      </c>
      <c r="D2398" s="1">
        <v>0</v>
      </c>
      <c r="E2398">
        <f>D2398*C2398</f>
        <v>0</v>
      </c>
      <c r="F2398" s="1" t="s">
        <v>6943</v>
      </c>
      <c r="G2398" s="17">
        <v>84823</v>
      </c>
    </row>
    <row r="2399" spans="1:7">
      <c r="A2399" s="1" t="s">
        <v>6944</v>
      </c>
      <c r="B2399" s="1" t="s">
        <v>6945</v>
      </c>
      <c r="C2399">
        <f>(1-(B7/100))*331.44</f>
        <v>331.44</v>
      </c>
      <c r="D2399" s="1">
        <v>0</v>
      </c>
      <c r="E2399">
        <f>D2399*C2399</f>
        <v>0</v>
      </c>
      <c r="F2399" s="1" t="s">
        <v>6946</v>
      </c>
      <c r="G2399" s="17">
        <v>84824</v>
      </c>
    </row>
    <row r="2400" spans="1:7">
      <c r="A2400" s="1" t="s">
        <v>6947</v>
      </c>
      <c r="B2400" s="1" t="s">
        <v>6948</v>
      </c>
      <c r="C2400">
        <f>(1-(B7/100))*330.5</f>
        <v>330.5</v>
      </c>
      <c r="D2400" s="1">
        <v>0</v>
      </c>
      <c r="E2400">
        <f>D2400*C2400</f>
        <v>0</v>
      </c>
      <c r="F2400" s="1" t="s">
        <v>6949</v>
      </c>
      <c r="G2400" s="17">
        <v>84825</v>
      </c>
    </row>
    <row r="2401" spans="1:7">
      <c r="A2401" s="1" t="s">
        <v>6950</v>
      </c>
      <c r="B2401" s="1" t="s">
        <v>6951</v>
      </c>
      <c r="C2401">
        <f>(1-(B7/100))*385.38</f>
        <v>385.38</v>
      </c>
      <c r="D2401" s="1">
        <v>0</v>
      </c>
      <c r="E2401">
        <f>D2401*C2401</f>
        <v>0</v>
      </c>
      <c r="F2401" s="1" t="s">
        <v>6952</v>
      </c>
      <c r="G2401" s="17">
        <v>84826</v>
      </c>
    </row>
    <row r="2402" spans="1:7">
      <c r="A2402" s="1" t="s">
        <v>6953</v>
      </c>
      <c r="B2402" s="1" t="s">
        <v>6954</v>
      </c>
      <c r="C2402">
        <f>(1-(B7/100))*240.24</f>
        <v>240.24</v>
      </c>
      <c r="D2402" s="1">
        <v>0</v>
      </c>
      <c r="E2402">
        <f>D2402*C2402</f>
        <v>0</v>
      </c>
      <c r="F2402" s="1" t="s">
        <v>6955</v>
      </c>
      <c r="G2402" s="17">
        <v>84827</v>
      </c>
    </row>
    <row r="2403" spans="1:7">
      <c r="A2403" s="1" t="s">
        <v>6956</v>
      </c>
      <c r="B2403" s="1" t="s">
        <v>6957</v>
      </c>
      <c r="C2403">
        <f>(1-(B7/100))*1238.04</f>
        <v>1238.04</v>
      </c>
      <c r="D2403" s="1">
        <v>0</v>
      </c>
      <c r="E2403">
        <f>D2403*C2403</f>
        <v>0</v>
      </c>
      <c r="F2403" s="1" t="s">
        <v>6958</v>
      </c>
      <c r="G2403" s="17">
        <v>84917</v>
      </c>
    </row>
    <row r="2404" spans="1:7">
      <c r="A2404" s="1" t="s">
        <v>6959</v>
      </c>
      <c r="B2404" s="1" t="s">
        <v>6960</v>
      </c>
      <c r="C2404">
        <f>(1-(B7/100))*1122.24</f>
        <v>1122.24</v>
      </c>
      <c r="D2404" s="1">
        <v>0</v>
      </c>
      <c r="E2404">
        <f>D2404*C2404</f>
        <v>0</v>
      </c>
      <c r="F2404" s="1" t="s">
        <v>6961</v>
      </c>
      <c r="G2404" s="17">
        <v>84918</v>
      </c>
    </row>
    <row r="2405" spans="1:7">
      <c r="A2405" s="1" t="s">
        <v>6962</v>
      </c>
      <c r="B2405" s="1" t="s">
        <v>6963</v>
      </c>
      <c r="C2405">
        <f>(1-(B7/100))*144.44</f>
        <v>144.44</v>
      </c>
      <c r="D2405" s="1">
        <v>0</v>
      </c>
      <c r="E2405">
        <f>D2405*C2405</f>
        <v>0</v>
      </c>
      <c r="F2405" s="1" t="s">
        <v>6964</v>
      </c>
      <c r="G2405" s="17">
        <v>84955</v>
      </c>
    </row>
    <row r="2406" spans="1:7">
      <c r="A2406" s="1" t="s">
        <v>6965</v>
      </c>
      <c r="B2406" s="1" t="s">
        <v>6966</v>
      </c>
      <c r="C2406">
        <f>(1-(B7/100))*63.87</f>
        <v>63.87</v>
      </c>
      <c r="D2406" s="1">
        <v>0</v>
      </c>
      <c r="E2406">
        <f>D2406*C2406</f>
        <v>0</v>
      </c>
      <c r="F2406" s="1" t="s">
        <v>6967</v>
      </c>
      <c r="G2406" s="17">
        <v>84967</v>
      </c>
    </row>
    <row r="2407" spans="1:7">
      <c r="A2407" s="1" t="s">
        <v>6968</v>
      </c>
      <c r="B2407" s="1" t="s">
        <v>6969</v>
      </c>
      <c r="C2407">
        <f>(1-(B7/100))*1038.58</f>
        <v>1038.58</v>
      </c>
      <c r="D2407" s="1">
        <v>0</v>
      </c>
      <c r="E2407">
        <f>D2407*C2407</f>
        <v>0</v>
      </c>
      <c r="F2407" s="1" t="s">
        <v>6970</v>
      </c>
      <c r="G2407" s="17">
        <v>84981</v>
      </c>
    </row>
    <row r="2408" spans="1:7">
      <c r="A2408" s="1" t="s">
        <v>6971</v>
      </c>
      <c r="B2408" s="1" t="s">
        <v>6972</v>
      </c>
      <c r="C2408">
        <f>(1-(B7/100))*1319.62</f>
        <v>1319.62</v>
      </c>
      <c r="D2408" s="1">
        <v>0</v>
      </c>
      <c r="E2408">
        <f>D2408*C2408</f>
        <v>0</v>
      </c>
      <c r="F2408" s="1" t="s">
        <v>6973</v>
      </c>
      <c r="G2408" s="17">
        <v>84983</v>
      </c>
    </row>
    <row r="2409" spans="1:7">
      <c r="A2409" s="1" t="s">
        <v>6974</v>
      </c>
      <c r="B2409" s="1" t="s">
        <v>6975</v>
      </c>
      <c r="C2409">
        <f>(1-(B7/100))*3576.73</f>
        <v>3576.73</v>
      </c>
      <c r="D2409" s="1">
        <v>0</v>
      </c>
      <c r="E2409">
        <f>D2409*C2409</f>
        <v>0</v>
      </c>
      <c r="F2409" s="1" t="s">
        <v>6976</v>
      </c>
      <c r="G2409" s="17">
        <v>84984</v>
      </c>
    </row>
    <row r="2410" spans="1:7">
      <c r="A2410" s="1" t="s">
        <v>6977</v>
      </c>
      <c r="B2410" s="1" t="s">
        <v>6978</v>
      </c>
      <c r="C2410">
        <f>(1-(B7/100))*3578.39</f>
        <v>3578.39</v>
      </c>
      <c r="D2410" s="1">
        <v>0</v>
      </c>
      <c r="E2410">
        <f>D2410*C2410</f>
        <v>0</v>
      </c>
      <c r="F2410" s="1" t="s">
        <v>6979</v>
      </c>
      <c r="G2410" s="17">
        <v>84985</v>
      </c>
    </row>
    <row r="2411" spans="1:7">
      <c r="A2411" s="1" t="s">
        <v>6980</v>
      </c>
      <c r="B2411" s="1" t="s">
        <v>6981</v>
      </c>
      <c r="C2411">
        <f>(1-(B7/100))*4620.25</f>
        <v>4620.25</v>
      </c>
      <c r="D2411" s="1">
        <v>0</v>
      </c>
      <c r="E2411">
        <f>D2411*C2411</f>
        <v>0</v>
      </c>
      <c r="F2411" s="1" t="s">
        <v>6982</v>
      </c>
      <c r="G2411" s="17">
        <v>84986</v>
      </c>
    </row>
    <row r="2412" spans="1:7">
      <c r="A2412" s="1" t="s">
        <v>6983</v>
      </c>
      <c r="B2412" s="1" t="s">
        <v>6984</v>
      </c>
      <c r="C2412">
        <f>(1-(B7/100))*2934.94</f>
        <v>2934.94</v>
      </c>
      <c r="D2412" s="1">
        <v>0</v>
      </c>
      <c r="E2412">
        <f>D2412*C2412</f>
        <v>0</v>
      </c>
      <c r="F2412" s="1" t="s">
        <v>6985</v>
      </c>
      <c r="G2412" s="17">
        <v>84987</v>
      </c>
    </row>
    <row r="2413" spans="1:7">
      <c r="A2413" s="1" t="s">
        <v>6986</v>
      </c>
      <c r="B2413" s="1" t="s">
        <v>6987</v>
      </c>
      <c r="C2413">
        <f>(1-(B7/100))*94.17</f>
        <v>94.17</v>
      </c>
      <c r="D2413" s="1">
        <v>0</v>
      </c>
      <c r="E2413">
        <f>D2413*C2413</f>
        <v>0</v>
      </c>
      <c r="F2413" s="1" t="s">
        <v>6988</v>
      </c>
      <c r="G2413" s="17">
        <v>84988</v>
      </c>
    </row>
    <row r="2414" spans="1:7">
      <c r="A2414" s="1" t="s">
        <v>6989</v>
      </c>
      <c r="B2414" s="1" t="s">
        <v>6990</v>
      </c>
      <c r="C2414">
        <f>(1-(B7/100))*187.94</f>
        <v>187.94</v>
      </c>
      <c r="D2414" s="1">
        <v>0</v>
      </c>
      <c r="E2414">
        <f>D2414*C2414</f>
        <v>0</v>
      </c>
      <c r="F2414" s="1" t="s">
        <v>6991</v>
      </c>
      <c r="G2414" s="17">
        <v>84990</v>
      </c>
    </row>
    <row r="2415" spans="1:7">
      <c r="A2415" s="1" t="s">
        <v>6992</v>
      </c>
      <c r="B2415" s="1" t="s">
        <v>6993</v>
      </c>
      <c r="C2415">
        <f>(1-(B7/100))*56.91</f>
        <v>56.91</v>
      </c>
      <c r="D2415" s="1">
        <v>0</v>
      </c>
      <c r="E2415">
        <f>D2415*C2415</f>
        <v>0</v>
      </c>
      <c r="F2415" s="1" t="s">
        <v>6994</v>
      </c>
      <c r="G2415" s="17">
        <v>84992</v>
      </c>
    </row>
    <row r="2416" spans="1:7">
      <c r="A2416" s="1" t="s">
        <v>6995</v>
      </c>
      <c r="B2416" s="1" t="s">
        <v>6996</v>
      </c>
      <c r="C2416">
        <f>(1-(B7/100))*47.58</f>
        <v>47.58</v>
      </c>
      <c r="D2416" s="1">
        <v>0</v>
      </c>
      <c r="E2416">
        <f>D2416*C2416</f>
        <v>0</v>
      </c>
      <c r="F2416" s="1" t="s">
        <v>6997</v>
      </c>
      <c r="G2416" s="17">
        <v>84993</v>
      </c>
    </row>
    <row r="2417" spans="1:7">
      <c r="A2417" s="1" t="s">
        <v>6998</v>
      </c>
      <c r="B2417" s="1" t="s">
        <v>6999</v>
      </c>
      <c r="C2417">
        <f>(1-(B7/100))*187.48</f>
        <v>187.48</v>
      </c>
      <c r="D2417" s="1">
        <v>0</v>
      </c>
      <c r="E2417">
        <f>D2417*C2417</f>
        <v>0</v>
      </c>
      <c r="F2417" s="1" t="s">
        <v>7000</v>
      </c>
      <c r="G2417" s="17">
        <v>84994</v>
      </c>
    </row>
    <row r="2418" spans="1:7">
      <c r="A2418" s="1" t="s">
        <v>7001</v>
      </c>
      <c r="B2418" s="1" t="s">
        <v>7002</v>
      </c>
      <c r="C2418">
        <f>(1-(B7/100))*187.48</f>
        <v>187.48</v>
      </c>
      <c r="D2418" s="1">
        <v>0</v>
      </c>
      <c r="E2418">
        <f>D2418*C2418</f>
        <v>0</v>
      </c>
      <c r="F2418" s="1" t="s">
        <v>7003</v>
      </c>
      <c r="G2418" s="17">
        <v>84995</v>
      </c>
    </row>
    <row r="2419" spans="1:7">
      <c r="A2419" s="1" t="s">
        <v>7004</v>
      </c>
      <c r="B2419" s="1" t="s">
        <v>7005</v>
      </c>
      <c r="C2419">
        <f>(1-(B7/100))*187.48</f>
        <v>187.48</v>
      </c>
      <c r="D2419" s="1">
        <v>0</v>
      </c>
      <c r="E2419">
        <f>D2419*C2419</f>
        <v>0</v>
      </c>
      <c r="F2419" s="1" t="s">
        <v>7006</v>
      </c>
      <c r="G2419" s="17">
        <v>84996</v>
      </c>
    </row>
    <row r="2420" spans="1:7">
      <c r="A2420" s="1" t="s">
        <v>7007</v>
      </c>
      <c r="B2420" s="1" t="s">
        <v>7008</v>
      </c>
      <c r="C2420">
        <f>(1-(B7/100))*84.86</f>
        <v>84.86</v>
      </c>
      <c r="D2420" s="1">
        <v>0</v>
      </c>
      <c r="E2420">
        <f>D2420*C2420</f>
        <v>0</v>
      </c>
      <c r="F2420" s="1" t="s">
        <v>7009</v>
      </c>
      <c r="G2420" s="17">
        <v>84997</v>
      </c>
    </row>
    <row r="2421" spans="1:7">
      <c r="A2421" s="1" t="s">
        <v>7010</v>
      </c>
      <c r="B2421" s="1" t="s">
        <v>7011</v>
      </c>
      <c r="C2421">
        <f>(1-(B7/100))*280.29</f>
        <v>280.29</v>
      </c>
      <c r="D2421" s="1">
        <v>0</v>
      </c>
      <c r="E2421">
        <f>D2421*C2421</f>
        <v>0</v>
      </c>
      <c r="F2421" s="1" t="s">
        <v>7012</v>
      </c>
      <c r="G2421" s="17">
        <v>84998</v>
      </c>
    </row>
    <row r="2422" spans="1:7">
      <c r="A2422" s="1" t="s">
        <v>7013</v>
      </c>
      <c r="B2422" s="1" t="s">
        <v>7014</v>
      </c>
      <c r="C2422">
        <f>(1-(B7/100))*243.41</f>
        <v>243.41</v>
      </c>
      <c r="D2422" s="1">
        <v>0</v>
      </c>
      <c r="E2422">
        <f>D2422*C2422</f>
        <v>0</v>
      </c>
      <c r="F2422" s="1" t="s">
        <v>7015</v>
      </c>
      <c r="G2422" s="17">
        <v>84999</v>
      </c>
    </row>
    <row r="2423" spans="1:7">
      <c r="A2423" s="1" t="s">
        <v>7016</v>
      </c>
      <c r="B2423" s="1" t="s">
        <v>7017</v>
      </c>
      <c r="C2423">
        <f>(1-(B7/100))*94.17</f>
        <v>94.17</v>
      </c>
      <c r="D2423" s="1">
        <v>0</v>
      </c>
      <c r="E2423">
        <f>D2423*C2423</f>
        <v>0</v>
      </c>
      <c r="F2423" s="1" t="s">
        <v>7018</v>
      </c>
      <c r="G2423" s="17">
        <v>85000</v>
      </c>
    </row>
    <row r="2424" spans="1:7">
      <c r="A2424" s="1" t="s">
        <v>7019</v>
      </c>
      <c r="B2424" s="1" t="s">
        <v>7020</v>
      </c>
      <c r="C2424">
        <f>(1-(B7/100))*93.43</f>
        <v>93.43</v>
      </c>
      <c r="D2424" s="1">
        <v>0</v>
      </c>
      <c r="E2424">
        <f>D2424*C2424</f>
        <v>0</v>
      </c>
      <c r="F2424" s="1" t="s">
        <v>7021</v>
      </c>
      <c r="G2424" s="17">
        <v>85001</v>
      </c>
    </row>
    <row r="2425" spans="1:7">
      <c r="A2425" s="1" t="s">
        <v>7022</v>
      </c>
      <c r="B2425" s="1" t="s">
        <v>7023</v>
      </c>
      <c r="C2425">
        <f>(1-(B7/100))*65.49</f>
        <v>65.49</v>
      </c>
      <c r="D2425" s="1">
        <v>0</v>
      </c>
      <c r="E2425">
        <f>D2425*C2425</f>
        <v>0</v>
      </c>
      <c r="F2425" s="1" t="s">
        <v>7024</v>
      </c>
      <c r="G2425" s="17">
        <v>85002</v>
      </c>
    </row>
    <row r="2426" spans="1:7">
      <c r="A2426" s="1" t="s">
        <v>7025</v>
      </c>
      <c r="B2426" s="1" t="s">
        <v>7026</v>
      </c>
      <c r="C2426">
        <f>(1-(B7/100))*725.01</f>
        <v>725.01</v>
      </c>
      <c r="D2426" s="1">
        <v>0</v>
      </c>
      <c r="E2426">
        <f>D2426*C2426</f>
        <v>0</v>
      </c>
      <c r="F2426" s="1" t="s">
        <v>7027</v>
      </c>
      <c r="G2426" s="17">
        <v>85003</v>
      </c>
    </row>
    <row r="2427" spans="1:7">
      <c r="A2427" s="1" t="s">
        <v>7028</v>
      </c>
      <c r="B2427" s="1" t="s">
        <v>7029</v>
      </c>
      <c r="C2427">
        <f>(1-(B7/100))*143.58</f>
        <v>143.58</v>
      </c>
      <c r="D2427" s="1">
        <v>0</v>
      </c>
      <c r="E2427">
        <f>D2427*C2427</f>
        <v>0</v>
      </c>
      <c r="F2427" s="1" t="s">
        <v>7030</v>
      </c>
      <c r="G2427" s="17">
        <v>85006</v>
      </c>
    </row>
    <row r="2428" spans="1:7">
      <c r="A2428" s="1" t="s">
        <v>7031</v>
      </c>
      <c r="B2428" s="1" t="s">
        <v>7032</v>
      </c>
      <c r="C2428">
        <f>(1-(B7/100))*191.09</f>
        <v>191.09</v>
      </c>
      <c r="D2428" s="1">
        <v>0</v>
      </c>
      <c r="E2428">
        <f>D2428*C2428</f>
        <v>0</v>
      </c>
      <c r="F2428" s="1" t="s">
        <v>7033</v>
      </c>
      <c r="G2428" s="17">
        <v>85007</v>
      </c>
    </row>
    <row r="2429" spans="1:7">
      <c r="A2429" s="1" t="s">
        <v>7034</v>
      </c>
      <c r="B2429" s="1" t="s">
        <v>7035</v>
      </c>
      <c r="C2429">
        <f>(1-(B7/100))*187.52</f>
        <v>187.52</v>
      </c>
      <c r="D2429" s="1">
        <v>0</v>
      </c>
      <c r="E2429">
        <f>D2429*C2429</f>
        <v>0</v>
      </c>
      <c r="F2429" s="1" t="s">
        <v>7036</v>
      </c>
      <c r="G2429" s="17">
        <v>85048</v>
      </c>
    </row>
    <row r="2430" spans="1:7">
      <c r="A2430" s="1" t="s">
        <v>7037</v>
      </c>
      <c r="B2430" s="1" t="s">
        <v>7038</v>
      </c>
      <c r="C2430">
        <f>(1-(B7/100))*188.87</f>
        <v>188.87</v>
      </c>
      <c r="D2430" s="1">
        <v>0</v>
      </c>
      <c r="E2430">
        <f>D2430*C2430</f>
        <v>0</v>
      </c>
      <c r="F2430" s="1" t="s">
        <v>7039</v>
      </c>
      <c r="G2430" s="17">
        <v>85049</v>
      </c>
    </row>
    <row r="2431" spans="1:7">
      <c r="A2431" s="1" t="s">
        <v>7040</v>
      </c>
      <c r="B2431" s="1" t="s">
        <v>7041</v>
      </c>
      <c r="C2431">
        <f>(1-(B7/100))*4995.53</f>
        <v>4995.53</v>
      </c>
      <c r="D2431" s="1">
        <v>0</v>
      </c>
      <c r="E2431">
        <f>D2431*C2431</f>
        <v>0</v>
      </c>
      <c r="F2431" s="1" t="s">
        <v>7042</v>
      </c>
      <c r="G2431" s="17">
        <v>85097</v>
      </c>
    </row>
    <row r="2432" spans="1:7">
      <c r="A2432" s="1" t="s">
        <v>7043</v>
      </c>
      <c r="B2432" s="1" t="s">
        <v>7044</v>
      </c>
      <c r="C2432">
        <f>(1-(B7/100))*4455.64</f>
        <v>4455.64</v>
      </c>
      <c r="D2432" s="1">
        <v>0</v>
      </c>
      <c r="E2432">
        <f>D2432*C2432</f>
        <v>0</v>
      </c>
      <c r="F2432" s="1" t="s">
        <v>7045</v>
      </c>
      <c r="G2432" s="17">
        <v>85098</v>
      </c>
    </row>
    <row r="2433" spans="1:7">
      <c r="A2433" s="1" t="s">
        <v>7046</v>
      </c>
      <c r="B2433" s="1" t="s">
        <v>7047</v>
      </c>
      <c r="C2433">
        <f>(1-(B7/100))*1199.92</f>
        <v>1199.92</v>
      </c>
      <c r="D2433" s="1">
        <v>0</v>
      </c>
      <c r="E2433">
        <f>D2433*C2433</f>
        <v>0</v>
      </c>
      <c r="F2433" s="1" t="s">
        <v>7048</v>
      </c>
      <c r="G2433" s="17">
        <v>85099</v>
      </c>
    </row>
    <row r="2434" spans="1:7">
      <c r="A2434" s="1" t="s">
        <v>7049</v>
      </c>
      <c r="B2434" s="1" t="s">
        <v>7050</v>
      </c>
      <c r="C2434">
        <f>(1-(B7/100))*1215.97</f>
        <v>1215.97</v>
      </c>
      <c r="D2434" s="1">
        <v>0</v>
      </c>
      <c r="E2434">
        <f>D2434*C2434</f>
        <v>0</v>
      </c>
      <c r="F2434" s="1" t="s">
        <v>7051</v>
      </c>
      <c r="G2434" s="17">
        <v>85100</v>
      </c>
    </row>
    <row r="2435" spans="1:7">
      <c r="A2435" s="1" t="s">
        <v>7052</v>
      </c>
      <c r="B2435" s="1" t="s">
        <v>7053</v>
      </c>
      <c r="C2435">
        <f>(1-(B7/100))*10.23</f>
        <v>10.23</v>
      </c>
      <c r="D2435" s="1">
        <v>0</v>
      </c>
      <c r="E2435">
        <f>D2435*C2435</f>
        <v>0</v>
      </c>
      <c r="F2435" s="1" t="s">
        <v>7054</v>
      </c>
      <c r="G2435" s="17">
        <v>85114</v>
      </c>
    </row>
    <row r="2436" spans="1:7">
      <c r="A2436" s="1" t="s">
        <v>7055</v>
      </c>
      <c r="B2436" s="1" t="s">
        <v>7056</v>
      </c>
      <c r="C2436">
        <f>(1-(B7/100))*18.77</f>
        <v>18.77</v>
      </c>
      <c r="D2436" s="1">
        <v>0</v>
      </c>
      <c r="E2436">
        <f>D2436*C2436</f>
        <v>0</v>
      </c>
      <c r="F2436" s="1" t="s">
        <v>7057</v>
      </c>
      <c r="G2436" s="17">
        <v>85126</v>
      </c>
    </row>
    <row r="2437" spans="1:7">
      <c r="A2437" s="1" t="s">
        <v>7058</v>
      </c>
      <c r="B2437" s="1" t="s">
        <v>7059</v>
      </c>
      <c r="C2437">
        <f>(1-(B7/100))*18.77</f>
        <v>18.77</v>
      </c>
      <c r="D2437" s="1">
        <v>0</v>
      </c>
      <c r="E2437">
        <f>D2437*C2437</f>
        <v>0</v>
      </c>
      <c r="F2437" s="1" t="s">
        <v>7060</v>
      </c>
      <c r="G2437" s="17">
        <v>85127</v>
      </c>
    </row>
    <row r="2438" spans="1:7">
      <c r="A2438" s="1" t="s">
        <v>7061</v>
      </c>
      <c r="B2438" s="1" t="s">
        <v>7062</v>
      </c>
      <c r="C2438">
        <f>(1-(B7/100))*94.03</f>
        <v>94.03</v>
      </c>
      <c r="D2438" s="1">
        <v>0</v>
      </c>
      <c r="E2438">
        <f>D2438*C2438</f>
        <v>0</v>
      </c>
      <c r="F2438" s="1" t="s">
        <v>7063</v>
      </c>
      <c r="G2438" s="17">
        <v>85129</v>
      </c>
    </row>
    <row r="2439" spans="1:7">
      <c r="A2439" s="1" t="s">
        <v>7064</v>
      </c>
      <c r="B2439" s="1" t="s">
        <v>7065</v>
      </c>
      <c r="C2439">
        <f>(1-(B7/100))*47.48</f>
        <v>47.48</v>
      </c>
      <c r="D2439" s="1">
        <v>0</v>
      </c>
      <c r="E2439">
        <f>D2439*C2439</f>
        <v>0</v>
      </c>
      <c r="F2439" s="1" t="s">
        <v>7066</v>
      </c>
      <c r="G2439" s="17">
        <v>85133</v>
      </c>
    </row>
    <row r="2440" spans="1:7">
      <c r="A2440" s="1" t="s">
        <v>7067</v>
      </c>
      <c r="B2440" s="1" t="s">
        <v>7068</v>
      </c>
      <c r="C2440">
        <f>(1-(B7/100))*49.3</f>
        <v>49.3</v>
      </c>
      <c r="D2440" s="1">
        <v>0</v>
      </c>
      <c r="E2440">
        <f>D2440*C2440</f>
        <v>0</v>
      </c>
      <c r="F2440" s="1" t="s">
        <v>7069</v>
      </c>
      <c r="G2440" s="17">
        <v>85135</v>
      </c>
    </row>
    <row r="2441" spans="1:7">
      <c r="A2441" s="1" t="s">
        <v>7070</v>
      </c>
      <c r="B2441" s="1" t="s">
        <v>7071</v>
      </c>
      <c r="C2441">
        <f>(1-(B7/100))*1412.39</f>
        <v>1412.39</v>
      </c>
      <c r="D2441" s="1">
        <v>0</v>
      </c>
      <c r="E2441">
        <f>D2441*C2441</f>
        <v>0</v>
      </c>
      <c r="F2441" s="1" t="s">
        <v>7072</v>
      </c>
      <c r="G2441" s="17">
        <v>85198</v>
      </c>
    </row>
    <row r="2442" spans="1:7">
      <c r="A2442" s="1" t="s">
        <v>7073</v>
      </c>
      <c r="B2442" s="1" t="s">
        <v>7074</v>
      </c>
      <c r="C2442">
        <f>(1-(B7/100))*1412.39</f>
        <v>1412.39</v>
      </c>
      <c r="D2442" s="1">
        <v>0</v>
      </c>
      <c r="E2442">
        <f>D2442*C2442</f>
        <v>0</v>
      </c>
      <c r="F2442" s="1" t="s">
        <v>7075</v>
      </c>
      <c r="G2442" s="17">
        <v>85199</v>
      </c>
    </row>
    <row r="2443" spans="1:7">
      <c r="A2443" s="1" t="s">
        <v>7076</v>
      </c>
      <c r="B2443" s="1" t="s">
        <v>7077</v>
      </c>
      <c r="C2443">
        <f>(1-(B7/100))*1673.82</f>
        <v>1673.82</v>
      </c>
      <c r="D2443" s="1">
        <v>0</v>
      </c>
      <c r="E2443">
        <f>D2443*C2443</f>
        <v>0</v>
      </c>
      <c r="F2443" s="1" t="s">
        <v>7078</v>
      </c>
      <c r="G2443" s="17">
        <v>85205</v>
      </c>
    </row>
    <row r="2444" spans="1:7">
      <c r="A2444" s="1" t="s">
        <v>7079</v>
      </c>
      <c r="B2444" s="1" t="s">
        <v>7080</v>
      </c>
      <c r="C2444">
        <f>(1-(B7/100))*75.07</f>
        <v>75.07</v>
      </c>
      <c r="D2444" s="1">
        <v>0</v>
      </c>
      <c r="E2444">
        <f>D2444*C2444</f>
        <v>0</v>
      </c>
      <c r="F2444" s="1" t="s">
        <v>7081</v>
      </c>
      <c r="G2444" s="17">
        <v>85263</v>
      </c>
    </row>
    <row r="2445" spans="1:7">
      <c r="A2445" s="1" t="s">
        <v>7082</v>
      </c>
      <c r="B2445" s="1" t="s">
        <v>7083</v>
      </c>
      <c r="C2445">
        <f>(1-(B7/100))*75.56</f>
        <v>75.56</v>
      </c>
      <c r="D2445" s="1">
        <v>0</v>
      </c>
      <c r="E2445">
        <f>D2445*C2445</f>
        <v>0</v>
      </c>
      <c r="F2445" s="1" t="s">
        <v>7084</v>
      </c>
      <c r="G2445" s="17">
        <v>85269</v>
      </c>
    </row>
    <row r="2446" spans="1:7">
      <c r="A2446" s="1" t="s">
        <v>7085</v>
      </c>
      <c r="B2446" s="1" t="s">
        <v>7086</v>
      </c>
      <c r="C2446">
        <f>(1-(B7/100))*680.66</f>
        <v>680.66</v>
      </c>
      <c r="D2446" s="1">
        <v>0</v>
      </c>
      <c r="E2446">
        <f>D2446*C2446</f>
        <v>0</v>
      </c>
      <c r="F2446" s="1" t="s">
        <v>7087</v>
      </c>
      <c r="G2446" s="17">
        <v>85306</v>
      </c>
    </row>
    <row r="2447" spans="1:7">
      <c r="A2447" s="1" t="s">
        <v>7088</v>
      </c>
      <c r="B2447" s="1" t="s">
        <v>7089</v>
      </c>
      <c r="C2447">
        <f>(1-(B7/100))*252.63</f>
        <v>252.63</v>
      </c>
      <c r="D2447" s="1">
        <v>0</v>
      </c>
      <c r="E2447">
        <f>D2447*C2447</f>
        <v>0</v>
      </c>
      <c r="F2447" s="1" t="s">
        <v>7090</v>
      </c>
      <c r="G2447" s="17">
        <v>85327</v>
      </c>
    </row>
    <row r="2448" spans="1:7">
      <c r="A2448" s="1" t="s">
        <v>7091</v>
      </c>
      <c r="B2448" s="1" t="s">
        <v>7092</v>
      </c>
      <c r="C2448">
        <f>(1-(B7/100))*286.05</f>
        <v>286.05</v>
      </c>
      <c r="D2448" s="1">
        <v>0</v>
      </c>
      <c r="E2448">
        <f>D2448*C2448</f>
        <v>0</v>
      </c>
      <c r="F2448" s="1" t="s">
        <v>7093</v>
      </c>
      <c r="G2448" s="17">
        <v>85342</v>
      </c>
    </row>
    <row r="2449" spans="1:7">
      <c r="A2449" s="1" t="s">
        <v>7094</v>
      </c>
      <c r="B2449" s="1" t="s">
        <v>7095</v>
      </c>
      <c r="C2449">
        <f>(1-(B7/100))*252.63</f>
        <v>252.63</v>
      </c>
      <c r="D2449" s="1">
        <v>0</v>
      </c>
      <c r="E2449">
        <f>D2449*C2449</f>
        <v>0</v>
      </c>
      <c r="F2449" s="1" t="s">
        <v>7096</v>
      </c>
      <c r="G2449" s="17">
        <v>85347</v>
      </c>
    </row>
    <row r="2450" spans="1:7">
      <c r="A2450" s="1" t="s">
        <v>7097</v>
      </c>
      <c r="B2450" s="1" t="s">
        <v>7098</v>
      </c>
      <c r="C2450">
        <f>(1-(B7/100))*257.16</f>
        <v>257.16</v>
      </c>
      <c r="D2450" s="1">
        <v>0</v>
      </c>
      <c r="E2450">
        <f>D2450*C2450</f>
        <v>0</v>
      </c>
      <c r="F2450" s="1" t="s">
        <v>7099</v>
      </c>
      <c r="G2450" s="17">
        <v>85349</v>
      </c>
    </row>
    <row r="2451" spans="1:7">
      <c r="A2451" s="1" t="s">
        <v>7100</v>
      </c>
      <c r="B2451" s="1" t="s">
        <v>7101</v>
      </c>
      <c r="C2451">
        <f>(1-(B7/100))*252.63</f>
        <v>252.63</v>
      </c>
      <c r="D2451" s="1">
        <v>0</v>
      </c>
      <c r="E2451">
        <f>D2451*C2451</f>
        <v>0</v>
      </c>
      <c r="F2451" s="1" t="s">
        <v>7102</v>
      </c>
      <c r="G2451" s="17">
        <v>85350</v>
      </c>
    </row>
    <row r="2452" spans="1:7">
      <c r="A2452" s="1" t="s">
        <v>7103</v>
      </c>
      <c r="B2452" s="1" t="s">
        <v>7104</v>
      </c>
      <c r="C2452">
        <f>(1-(B7/100))*152.88</f>
        <v>152.88</v>
      </c>
      <c r="D2452" s="1">
        <v>0</v>
      </c>
      <c r="E2452">
        <f>D2452*C2452</f>
        <v>0</v>
      </c>
      <c r="F2452" s="1" t="s">
        <v>7105</v>
      </c>
      <c r="G2452" s="17">
        <v>85426</v>
      </c>
    </row>
    <row r="2453" spans="1:7">
      <c r="A2453" s="1" t="s">
        <v>7106</v>
      </c>
      <c r="B2453" s="1" t="s">
        <v>7107</v>
      </c>
      <c r="C2453">
        <f>(1-(B7/100))*374.08</f>
        <v>374.08</v>
      </c>
      <c r="D2453" s="1">
        <v>0</v>
      </c>
      <c r="E2453">
        <f>D2453*C2453</f>
        <v>0</v>
      </c>
      <c r="F2453" s="1" t="s">
        <v>7108</v>
      </c>
      <c r="G2453" s="17">
        <v>85427</v>
      </c>
    </row>
    <row r="2454" spans="1:7">
      <c r="A2454" s="1" t="s">
        <v>7109</v>
      </c>
      <c r="B2454" s="1" t="s">
        <v>7110</v>
      </c>
      <c r="C2454">
        <f>(1-(B7/100))*374.08</f>
        <v>374.08</v>
      </c>
      <c r="D2454" s="1">
        <v>0</v>
      </c>
      <c r="E2454">
        <f>D2454*C2454</f>
        <v>0</v>
      </c>
      <c r="F2454" s="1" t="s">
        <v>7111</v>
      </c>
      <c r="G2454" s="17">
        <v>85428</v>
      </c>
    </row>
    <row r="2455" spans="1:7">
      <c r="A2455" s="1" t="s">
        <v>7112</v>
      </c>
      <c r="B2455" s="1" t="s">
        <v>7113</v>
      </c>
      <c r="C2455">
        <f>(1-(B7/100))*374.41</f>
        <v>374.41</v>
      </c>
      <c r="D2455" s="1">
        <v>0</v>
      </c>
      <c r="E2455">
        <f>D2455*C2455</f>
        <v>0</v>
      </c>
      <c r="F2455" s="1" t="s">
        <v>7114</v>
      </c>
      <c r="G2455" s="17">
        <v>85429</v>
      </c>
    </row>
    <row r="2456" spans="1:7">
      <c r="A2456" s="1" t="s">
        <v>7115</v>
      </c>
      <c r="B2456" s="1" t="s">
        <v>7116</v>
      </c>
      <c r="C2456">
        <f>(1-(B7/100))*323.85</f>
        <v>323.85</v>
      </c>
      <c r="D2456" s="1">
        <v>0</v>
      </c>
      <c r="E2456">
        <f>D2456*C2456</f>
        <v>0</v>
      </c>
      <c r="F2456" s="1" t="s">
        <v>7117</v>
      </c>
      <c r="G2456" s="17">
        <v>85431</v>
      </c>
    </row>
    <row r="2457" spans="1:7">
      <c r="A2457" s="1" t="s">
        <v>7118</v>
      </c>
      <c r="B2457" s="1" t="s">
        <v>7119</v>
      </c>
      <c r="C2457">
        <f>(1-(B7/100))*377.33</f>
        <v>377.33</v>
      </c>
      <c r="D2457" s="1">
        <v>0</v>
      </c>
      <c r="E2457">
        <f>D2457*C2457</f>
        <v>0</v>
      </c>
      <c r="F2457" s="1" t="s">
        <v>7120</v>
      </c>
      <c r="G2457" s="17">
        <v>85432</v>
      </c>
    </row>
    <row r="2458" spans="1:7">
      <c r="A2458" s="1" t="s">
        <v>7121</v>
      </c>
      <c r="B2458" s="1" t="s">
        <v>7122</v>
      </c>
      <c r="C2458">
        <f>(1-(B7/100))*377.33</f>
        <v>377.33</v>
      </c>
      <c r="D2458" s="1">
        <v>0</v>
      </c>
      <c r="E2458">
        <f>D2458*C2458</f>
        <v>0</v>
      </c>
      <c r="F2458" s="1" t="s">
        <v>7123</v>
      </c>
      <c r="G2458" s="17">
        <v>85433</v>
      </c>
    </row>
    <row r="2459" spans="1:7">
      <c r="A2459" s="1" t="s">
        <v>7124</v>
      </c>
      <c r="B2459" s="1" t="s">
        <v>7125</v>
      </c>
      <c r="C2459">
        <f>(1-(B7/100))*349.19</f>
        <v>349.19</v>
      </c>
      <c r="D2459" s="1">
        <v>0</v>
      </c>
      <c r="E2459">
        <f>D2459*C2459</f>
        <v>0</v>
      </c>
      <c r="F2459" s="1" t="s">
        <v>7126</v>
      </c>
      <c r="G2459" s="17">
        <v>85437</v>
      </c>
    </row>
    <row r="2460" spans="1:7">
      <c r="A2460" s="1" t="s">
        <v>7127</v>
      </c>
      <c r="B2460" s="1" t="s">
        <v>7128</v>
      </c>
      <c r="C2460">
        <f>(1-(B7/100))*352.8</f>
        <v>352.8</v>
      </c>
      <c r="D2460" s="1">
        <v>0</v>
      </c>
      <c r="E2460">
        <f>D2460*C2460</f>
        <v>0</v>
      </c>
      <c r="F2460" s="1" t="s">
        <v>7129</v>
      </c>
      <c r="G2460" s="17">
        <v>85438</v>
      </c>
    </row>
    <row r="2461" spans="1:7">
      <c r="A2461" s="1" t="s">
        <v>7130</v>
      </c>
      <c r="B2461" s="1" t="s">
        <v>7131</v>
      </c>
      <c r="C2461">
        <f>(1-(B7/100))*186.7</f>
        <v>186.7</v>
      </c>
      <c r="D2461" s="1">
        <v>0</v>
      </c>
      <c r="E2461">
        <f>D2461*C2461</f>
        <v>0</v>
      </c>
      <c r="F2461" s="1" t="s">
        <v>7132</v>
      </c>
      <c r="G2461" s="17">
        <v>85442</v>
      </c>
    </row>
    <row r="2462" spans="1:7">
      <c r="A2462" s="1" t="s">
        <v>7133</v>
      </c>
      <c r="B2462" s="1" t="s">
        <v>7134</v>
      </c>
      <c r="C2462">
        <f>(1-(B7/100))*226.83</f>
        <v>226.83</v>
      </c>
      <c r="D2462" s="1">
        <v>0</v>
      </c>
      <c r="E2462">
        <f>D2462*C2462</f>
        <v>0</v>
      </c>
      <c r="F2462" s="1" t="s">
        <v>7135</v>
      </c>
      <c r="G2462" s="17">
        <v>85451</v>
      </c>
    </row>
    <row r="2463" spans="1:7">
      <c r="A2463" s="1" t="s">
        <v>7136</v>
      </c>
      <c r="B2463" s="1" t="s">
        <v>7137</v>
      </c>
      <c r="C2463">
        <f>(1-(B7/100))*369.96</f>
        <v>369.96</v>
      </c>
      <c r="D2463" s="1">
        <v>0</v>
      </c>
      <c r="E2463">
        <f>D2463*C2463</f>
        <v>0</v>
      </c>
      <c r="F2463" s="1" t="s">
        <v>7138</v>
      </c>
      <c r="G2463" s="17">
        <v>85452</v>
      </c>
    </row>
    <row r="2464" spans="1:7">
      <c r="A2464" s="1" t="s">
        <v>7139</v>
      </c>
      <c r="B2464" s="1" t="s">
        <v>7140</v>
      </c>
      <c r="C2464">
        <f>(1-(B7/100))*441.94</f>
        <v>441.94</v>
      </c>
      <c r="D2464" s="1">
        <v>0</v>
      </c>
      <c r="E2464">
        <f>D2464*C2464</f>
        <v>0</v>
      </c>
      <c r="F2464" s="1" t="s">
        <v>7141</v>
      </c>
      <c r="G2464" s="17">
        <v>85453</v>
      </c>
    </row>
    <row r="2465" spans="1:7">
      <c r="A2465" s="1" t="s">
        <v>7142</v>
      </c>
      <c r="B2465" s="1" t="s">
        <v>7143</v>
      </c>
      <c r="C2465">
        <f>(1-(B7/100))*195.09</f>
        <v>195.09</v>
      </c>
      <c r="D2465" s="1">
        <v>0</v>
      </c>
      <c r="E2465">
        <f>D2465*C2465</f>
        <v>0</v>
      </c>
      <c r="F2465" s="1" t="s">
        <v>7144</v>
      </c>
      <c r="G2465" s="17">
        <v>85454</v>
      </c>
    </row>
    <row r="2466" spans="1:7">
      <c r="A2466" s="1" t="s">
        <v>7145</v>
      </c>
      <c r="B2466" s="1" t="s">
        <v>7146</v>
      </c>
      <c r="C2466">
        <f>(1-(B7/100))*302.39</f>
        <v>302.39</v>
      </c>
      <c r="D2466" s="1">
        <v>0</v>
      </c>
      <c r="E2466">
        <f>D2466*C2466</f>
        <v>0</v>
      </c>
      <c r="F2466" s="1" t="s">
        <v>7147</v>
      </c>
      <c r="G2466" s="17">
        <v>85455</v>
      </c>
    </row>
    <row r="2467" spans="1:7">
      <c r="A2467" s="1" t="s">
        <v>7148</v>
      </c>
      <c r="B2467" s="1" t="s">
        <v>7149</v>
      </c>
      <c r="C2467">
        <f>(1-(B7/100))*501.95</f>
        <v>501.95</v>
      </c>
      <c r="D2467" s="1">
        <v>0</v>
      </c>
      <c r="E2467">
        <f>D2467*C2467</f>
        <v>0</v>
      </c>
      <c r="F2467" s="1" t="s">
        <v>7150</v>
      </c>
      <c r="G2467" s="17">
        <v>85456</v>
      </c>
    </row>
    <row r="2468" spans="1:7">
      <c r="A2468" s="1" t="s">
        <v>7151</v>
      </c>
      <c r="B2468" s="1" t="s">
        <v>7152</v>
      </c>
      <c r="C2468">
        <f>(1-(B7/100))*501.95</f>
        <v>501.95</v>
      </c>
      <c r="D2468" s="1">
        <v>0</v>
      </c>
      <c r="E2468">
        <f>D2468*C2468</f>
        <v>0</v>
      </c>
      <c r="F2468" s="1" t="s">
        <v>7153</v>
      </c>
      <c r="G2468" s="17">
        <v>85457</v>
      </c>
    </row>
    <row r="2469" spans="1:7">
      <c r="A2469" s="1" t="s">
        <v>7154</v>
      </c>
      <c r="B2469" s="1" t="s">
        <v>6780</v>
      </c>
      <c r="C2469">
        <f>(1-(B7/100))*214.2</f>
        <v>214.2</v>
      </c>
      <c r="D2469" s="1">
        <v>0</v>
      </c>
      <c r="E2469">
        <f>D2469*C2469</f>
        <v>0</v>
      </c>
      <c r="F2469" s="1" t="s">
        <v>7155</v>
      </c>
      <c r="G2469" s="17">
        <v>85460</v>
      </c>
    </row>
    <row r="2470" spans="1:7">
      <c r="A2470" s="1" t="s">
        <v>7156</v>
      </c>
      <c r="B2470" s="1" t="s">
        <v>7157</v>
      </c>
      <c r="C2470">
        <f>(1-(B7/100))*214.2</f>
        <v>214.2</v>
      </c>
      <c r="D2470" s="1">
        <v>0</v>
      </c>
      <c r="E2470">
        <f>D2470*C2470</f>
        <v>0</v>
      </c>
      <c r="F2470" s="1" t="s">
        <v>7158</v>
      </c>
      <c r="G2470" s="17">
        <v>85461</v>
      </c>
    </row>
    <row r="2471" spans="1:7">
      <c r="A2471" s="1" t="s">
        <v>7159</v>
      </c>
      <c r="B2471" s="1" t="s">
        <v>7160</v>
      </c>
      <c r="C2471">
        <f>(1-(B7/100))*221.19</f>
        <v>221.19</v>
      </c>
      <c r="D2471" s="1">
        <v>0</v>
      </c>
      <c r="E2471">
        <f>D2471*C2471</f>
        <v>0</v>
      </c>
      <c r="F2471" s="1" t="s">
        <v>7161</v>
      </c>
      <c r="G2471" s="17">
        <v>85462</v>
      </c>
    </row>
    <row r="2472" spans="1:7">
      <c r="A2472" s="1" t="s">
        <v>7162</v>
      </c>
      <c r="B2472" s="1" t="s">
        <v>7163</v>
      </c>
      <c r="C2472">
        <f>(1-(B7/100))*214.2</f>
        <v>214.2</v>
      </c>
      <c r="D2472" s="1">
        <v>0</v>
      </c>
      <c r="E2472">
        <f>D2472*C2472</f>
        <v>0</v>
      </c>
      <c r="F2472" s="1" t="s">
        <v>7164</v>
      </c>
      <c r="G2472" s="17">
        <v>85463</v>
      </c>
    </row>
    <row r="2473" spans="1:7">
      <c r="A2473" s="1" t="s">
        <v>7165</v>
      </c>
      <c r="B2473" s="1" t="s">
        <v>7166</v>
      </c>
      <c r="C2473">
        <f>(1-(B7/100))*215.74</f>
        <v>215.74</v>
      </c>
      <c r="D2473" s="1">
        <v>0</v>
      </c>
      <c r="E2473">
        <f>D2473*C2473</f>
        <v>0</v>
      </c>
      <c r="F2473" s="1" t="s">
        <v>7167</v>
      </c>
      <c r="G2473" s="17">
        <v>85467</v>
      </c>
    </row>
    <row r="2474" spans="1:7">
      <c r="A2474" s="1" t="s">
        <v>7168</v>
      </c>
      <c r="B2474" s="1" t="s">
        <v>7157</v>
      </c>
      <c r="C2474">
        <f>(1-(B7/100))*259.73</f>
        <v>259.73</v>
      </c>
      <c r="D2474" s="1">
        <v>0</v>
      </c>
      <c r="E2474">
        <f>D2474*C2474</f>
        <v>0</v>
      </c>
      <c r="F2474" s="1" t="s">
        <v>7169</v>
      </c>
      <c r="G2474" s="17">
        <v>85468</v>
      </c>
    </row>
    <row r="2475" spans="1:7">
      <c r="A2475" s="1" t="s">
        <v>7170</v>
      </c>
      <c r="B2475" s="1" t="s">
        <v>7171</v>
      </c>
      <c r="C2475">
        <f>(1-(B7/100))*241.11</f>
        <v>241.11</v>
      </c>
      <c r="D2475" s="1">
        <v>0</v>
      </c>
      <c r="E2475">
        <f>D2475*C2475</f>
        <v>0</v>
      </c>
      <c r="F2475" s="1" t="s">
        <v>16</v>
      </c>
      <c r="G2475" s="17">
        <v>85470</v>
      </c>
    </row>
    <row r="2476" spans="1:7">
      <c r="A2476" s="1" t="s">
        <v>7172</v>
      </c>
      <c r="B2476" s="1" t="s">
        <v>7173</v>
      </c>
      <c r="C2476">
        <f>(1-(B7/100))*347.18</f>
        <v>347.18</v>
      </c>
      <c r="D2476" s="1">
        <v>0</v>
      </c>
      <c r="E2476">
        <f>D2476*C2476</f>
        <v>0</v>
      </c>
      <c r="F2476" s="1" t="s">
        <v>7174</v>
      </c>
      <c r="G2476" s="17">
        <v>85473</v>
      </c>
    </row>
    <row r="2477" spans="1:7">
      <c r="A2477" s="1" t="s">
        <v>7175</v>
      </c>
      <c r="B2477" s="1" t="s">
        <v>7176</v>
      </c>
      <c r="C2477">
        <f>(1-(B7/100))*277.95</f>
        <v>277.95</v>
      </c>
      <c r="D2477" s="1">
        <v>0</v>
      </c>
      <c r="E2477">
        <f>D2477*C2477</f>
        <v>0</v>
      </c>
      <c r="F2477" s="1" t="s">
        <v>7177</v>
      </c>
      <c r="G2477" s="17">
        <v>85477</v>
      </c>
    </row>
    <row r="2478" spans="1:7">
      <c r="A2478" s="1" t="s">
        <v>7178</v>
      </c>
      <c r="B2478" s="1" t="s">
        <v>7179</v>
      </c>
      <c r="C2478">
        <f>(1-(B7/100))*331.24</f>
        <v>331.24</v>
      </c>
      <c r="D2478" s="1">
        <v>0</v>
      </c>
      <c r="E2478">
        <f>D2478*C2478</f>
        <v>0</v>
      </c>
      <c r="F2478" s="1" t="s">
        <v>7180</v>
      </c>
      <c r="G2478" s="17">
        <v>85482</v>
      </c>
    </row>
    <row r="2479" spans="1:7">
      <c r="A2479" s="1" t="s">
        <v>7181</v>
      </c>
      <c r="B2479" s="1" t="s">
        <v>7182</v>
      </c>
      <c r="C2479">
        <f>(1-(B7/100))*418.66</f>
        <v>418.66</v>
      </c>
      <c r="D2479" s="1">
        <v>0</v>
      </c>
      <c r="E2479">
        <f>D2479*C2479</f>
        <v>0</v>
      </c>
      <c r="F2479" s="1" t="s">
        <v>7183</v>
      </c>
      <c r="G2479" s="17">
        <v>85483</v>
      </c>
    </row>
    <row r="2480" spans="1:7">
      <c r="A2480" s="1" t="s">
        <v>7184</v>
      </c>
      <c r="B2480" s="1" t="s">
        <v>7185</v>
      </c>
      <c r="C2480">
        <f>(1-(B7/100))*331.24</f>
        <v>331.24</v>
      </c>
      <c r="D2480" s="1">
        <v>0</v>
      </c>
      <c r="E2480">
        <f>D2480*C2480</f>
        <v>0</v>
      </c>
      <c r="F2480" s="1" t="s">
        <v>7186</v>
      </c>
      <c r="G2480" s="17">
        <v>85484</v>
      </c>
    </row>
    <row r="2481" spans="1:7">
      <c r="A2481" s="1" t="s">
        <v>7187</v>
      </c>
      <c r="B2481" s="1" t="s">
        <v>7188</v>
      </c>
      <c r="C2481">
        <f>(1-(B7/100))*142.61</f>
        <v>142.61</v>
      </c>
      <c r="D2481" s="1">
        <v>0</v>
      </c>
      <c r="E2481">
        <f>D2481*C2481</f>
        <v>0</v>
      </c>
      <c r="F2481" s="1" t="s">
        <v>7189</v>
      </c>
      <c r="G2481" s="17">
        <v>85504</v>
      </c>
    </row>
    <row r="2482" spans="1:7">
      <c r="A2482" s="1" t="s">
        <v>7190</v>
      </c>
      <c r="B2482" s="1" t="s">
        <v>7191</v>
      </c>
      <c r="C2482">
        <f>(1-(B7/100))*144.43</f>
        <v>144.43</v>
      </c>
      <c r="D2482" s="1">
        <v>0</v>
      </c>
      <c r="E2482">
        <f>D2482*C2482</f>
        <v>0</v>
      </c>
      <c r="F2482" s="1" t="s">
        <v>7192</v>
      </c>
      <c r="G2482" s="17">
        <v>85505</v>
      </c>
    </row>
    <row r="2483" spans="1:7">
      <c r="A2483" s="1" t="s">
        <v>7193</v>
      </c>
      <c r="B2483" s="1" t="s">
        <v>7194</v>
      </c>
      <c r="C2483">
        <f>(1-(B7/100))*142.61</f>
        <v>142.61</v>
      </c>
      <c r="D2483" s="1">
        <v>0</v>
      </c>
      <c r="E2483">
        <f>D2483*C2483</f>
        <v>0</v>
      </c>
      <c r="F2483" s="1" t="s">
        <v>7195</v>
      </c>
      <c r="G2483" s="17">
        <v>85506</v>
      </c>
    </row>
    <row r="2484" spans="1:7">
      <c r="A2484" s="1" t="s">
        <v>7196</v>
      </c>
      <c r="B2484" s="1" t="s">
        <v>7197</v>
      </c>
      <c r="C2484">
        <f>(1-(B7/100))*1317.33</f>
        <v>1317.33</v>
      </c>
      <c r="D2484" s="1">
        <v>0</v>
      </c>
      <c r="E2484">
        <f>D2484*C2484</f>
        <v>0</v>
      </c>
      <c r="F2484" s="1" t="s">
        <v>7198</v>
      </c>
      <c r="G2484" s="17">
        <v>85524</v>
      </c>
    </row>
    <row r="2485" spans="1:7">
      <c r="A2485" s="1" t="s">
        <v>7199</v>
      </c>
      <c r="B2485" s="1" t="s">
        <v>7200</v>
      </c>
      <c r="C2485">
        <f>(1-(B7/100))*1396.6</f>
        <v>1396.6</v>
      </c>
      <c r="D2485" s="1">
        <v>0</v>
      </c>
      <c r="E2485">
        <f>D2485*C2485</f>
        <v>0</v>
      </c>
      <c r="F2485" s="1" t="s">
        <v>7201</v>
      </c>
      <c r="G2485" s="17">
        <v>85525</v>
      </c>
    </row>
    <row r="2486" spans="1:7">
      <c r="A2486" s="1" t="s">
        <v>7202</v>
      </c>
      <c r="B2486" s="1" t="s">
        <v>7203</v>
      </c>
      <c r="C2486">
        <f>(1-(B7/100))*1515.54</f>
        <v>1515.54</v>
      </c>
      <c r="D2486" s="1">
        <v>0</v>
      </c>
      <c r="E2486">
        <f>D2486*C2486</f>
        <v>0</v>
      </c>
      <c r="F2486" s="1" t="s">
        <v>7204</v>
      </c>
      <c r="G2486" s="17">
        <v>85526</v>
      </c>
    </row>
    <row r="2487" spans="1:7">
      <c r="A2487" s="1" t="s">
        <v>7205</v>
      </c>
      <c r="B2487" s="1" t="s">
        <v>7206</v>
      </c>
      <c r="C2487">
        <f>(1-(B7/100))*1311.15</f>
        <v>1311.15</v>
      </c>
      <c r="D2487" s="1">
        <v>0</v>
      </c>
      <c r="E2487">
        <f>D2487*C2487</f>
        <v>0</v>
      </c>
      <c r="F2487" s="1" t="s">
        <v>7207</v>
      </c>
      <c r="G2487" s="17">
        <v>85527</v>
      </c>
    </row>
    <row r="2488" spans="1:7">
      <c r="A2488" s="1" t="s">
        <v>7208</v>
      </c>
      <c r="B2488" s="1" t="s">
        <v>7209</v>
      </c>
      <c r="C2488">
        <f>(1-(B7/100))*1396.6</f>
        <v>1396.6</v>
      </c>
      <c r="D2488" s="1">
        <v>0</v>
      </c>
      <c r="E2488">
        <f>D2488*C2488</f>
        <v>0</v>
      </c>
      <c r="F2488" s="1" t="s">
        <v>7210</v>
      </c>
      <c r="G2488" s="17">
        <v>85528</v>
      </c>
    </row>
    <row r="2489" spans="1:7">
      <c r="A2489" s="16"/>
      <c r="B2489" s="16" t="s">
        <v>7211</v>
      </c>
      <c r="C2489" s="16"/>
      <c r="D2489" s="16"/>
      <c r="E2489" s="16"/>
      <c r="F2489" s="16"/>
    </row>
    <row r="2490" spans="1:7">
      <c r="A2490" s="1" t="s">
        <v>7212</v>
      </c>
      <c r="B2490" s="1" t="s">
        <v>7213</v>
      </c>
      <c r="C2490">
        <f>(1-(B7/100))*385</f>
        <v>385</v>
      </c>
      <c r="D2490" s="1">
        <v>0</v>
      </c>
      <c r="E2490">
        <f>D2490*C2490</f>
        <v>0</v>
      </c>
      <c r="F2490" s="1" t="s">
        <v>7214</v>
      </c>
      <c r="G2490" s="17">
        <v>64443</v>
      </c>
    </row>
    <row r="2491" spans="1:7">
      <c r="A2491" s="1" t="s">
        <v>7215</v>
      </c>
      <c r="B2491" s="1" t="s">
        <v>7216</v>
      </c>
      <c r="C2491">
        <f>(1-(B7/100))*52.17</f>
        <v>52.17</v>
      </c>
      <c r="D2491" s="1">
        <v>0</v>
      </c>
      <c r="E2491">
        <f>D2491*C2491</f>
        <v>0</v>
      </c>
      <c r="F2491" s="1" t="s">
        <v>7217</v>
      </c>
      <c r="G2491" s="17">
        <v>79482</v>
      </c>
    </row>
    <row r="2492" spans="1:7">
      <c r="A2492" s="1" t="s">
        <v>7218</v>
      </c>
      <c r="B2492" s="1" t="s">
        <v>7219</v>
      </c>
      <c r="C2492">
        <f>(1-(B7/100))*52.17</f>
        <v>52.17</v>
      </c>
      <c r="D2492" s="1">
        <v>0</v>
      </c>
      <c r="E2492">
        <f>D2492*C2492</f>
        <v>0</v>
      </c>
      <c r="F2492" s="1" t="s">
        <v>7220</v>
      </c>
      <c r="G2492" s="17">
        <v>79483</v>
      </c>
    </row>
    <row r="2493" spans="1:7">
      <c r="A2493" s="1" t="s">
        <v>7221</v>
      </c>
      <c r="B2493" s="1" t="s">
        <v>7222</v>
      </c>
      <c r="C2493">
        <f>(1-(B7/100))*52.17</f>
        <v>52.17</v>
      </c>
      <c r="D2493" s="1">
        <v>0</v>
      </c>
      <c r="E2493">
        <f>D2493*C2493</f>
        <v>0</v>
      </c>
      <c r="F2493" s="1" t="s">
        <v>7223</v>
      </c>
      <c r="G2493" s="17">
        <v>79484</v>
      </c>
    </row>
    <row r="2494" spans="1:7">
      <c r="A2494" s="1" t="s">
        <v>7224</v>
      </c>
      <c r="B2494" s="1" t="s">
        <v>7225</v>
      </c>
      <c r="C2494">
        <f>(1-(B7/100))*52.17</f>
        <v>52.17</v>
      </c>
      <c r="D2494" s="1">
        <v>0</v>
      </c>
      <c r="E2494">
        <f>D2494*C2494</f>
        <v>0</v>
      </c>
      <c r="F2494" s="1" t="s">
        <v>7226</v>
      </c>
      <c r="G2494" s="17">
        <v>79485</v>
      </c>
    </row>
    <row r="2495" spans="1:7">
      <c r="A2495" s="1" t="s">
        <v>7227</v>
      </c>
      <c r="B2495" s="1" t="s">
        <v>7228</v>
      </c>
      <c r="C2495">
        <f>(1-(B7/100))*597.9</f>
        <v>597.9</v>
      </c>
      <c r="D2495" s="1">
        <v>0</v>
      </c>
      <c r="E2495">
        <f>D2495*C2495</f>
        <v>0</v>
      </c>
      <c r="F2495" s="1" t="s">
        <v>7229</v>
      </c>
      <c r="G2495" s="17">
        <v>84674</v>
      </c>
    </row>
    <row r="2496" spans="1:7">
      <c r="A2496" s="1" t="s">
        <v>7230</v>
      </c>
      <c r="B2496" s="1" t="s">
        <v>7231</v>
      </c>
      <c r="C2496">
        <f>(1-(B7/100))*596.15</f>
        <v>596.15</v>
      </c>
      <c r="D2496" s="1">
        <v>0</v>
      </c>
      <c r="E2496">
        <f>D2496*C2496</f>
        <v>0</v>
      </c>
      <c r="F2496" s="1" t="s">
        <v>7232</v>
      </c>
      <c r="G2496" s="17">
        <v>84675</v>
      </c>
    </row>
    <row r="2497" spans="1:7">
      <c r="A2497" s="1" t="s">
        <v>7233</v>
      </c>
      <c r="B2497" s="1" t="s">
        <v>7234</v>
      </c>
      <c r="C2497">
        <f>(1-(B7/100))*596.15</f>
        <v>596.15</v>
      </c>
      <c r="D2497" s="1">
        <v>0</v>
      </c>
      <c r="E2497">
        <f>D2497*C2497</f>
        <v>0</v>
      </c>
      <c r="F2497" s="1" t="s">
        <v>7235</v>
      </c>
      <c r="G2497" s="17">
        <v>85298</v>
      </c>
    </row>
    <row r="2498" spans="1:7">
      <c r="A2498" s="16"/>
      <c r="B2498" s="16" t="s">
        <v>7236</v>
      </c>
      <c r="C2498" s="16"/>
      <c r="D2498" s="16"/>
      <c r="E2498" s="16"/>
      <c r="F2498" s="16"/>
    </row>
    <row r="2499" spans="1:7">
      <c r="A2499" s="1">
        <v>17040101</v>
      </c>
      <c r="B2499" s="1" t="s">
        <v>7237</v>
      </c>
      <c r="C2499">
        <f>(1-(B7/100))*66.51</f>
        <v>66.51</v>
      </c>
      <c r="D2499" s="1">
        <v>0</v>
      </c>
      <c r="E2499">
        <f>D2499*C2499</f>
        <v>0</v>
      </c>
      <c r="F2499" s="1" t="s">
        <v>7238</v>
      </c>
      <c r="G2499" s="17">
        <v>64472</v>
      </c>
    </row>
    <row r="2500" spans="1:7">
      <c r="A2500" s="1" t="s">
        <v>7239</v>
      </c>
      <c r="B2500" s="1" t="s">
        <v>7240</v>
      </c>
      <c r="C2500">
        <f>(1-(B7/100))*49.99</f>
        <v>49.99</v>
      </c>
      <c r="D2500" s="1">
        <v>0</v>
      </c>
      <c r="E2500">
        <f>D2500*C2500</f>
        <v>0</v>
      </c>
      <c r="F2500" s="1" t="s">
        <v>7241</v>
      </c>
      <c r="G2500" s="17">
        <v>69166</v>
      </c>
    </row>
    <row r="2501" spans="1:7">
      <c r="A2501" s="1" t="s">
        <v>7242</v>
      </c>
      <c r="B2501" s="1" t="s">
        <v>7243</v>
      </c>
      <c r="C2501">
        <f>(1-(B7/100))*51.31</f>
        <v>51.31</v>
      </c>
      <c r="D2501" s="1">
        <v>0</v>
      </c>
      <c r="E2501">
        <f>D2501*C2501</f>
        <v>0</v>
      </c>
      <c r="F2501" s="1" t="s">
        <v>7244</v>
      </c>
      <c r="G2501" s="17">
        <v>84688</v>
      </c>
    </row>
    <row r="2502" spans="1:7">
      <c r="A2502" s="1" t="s">
        <v>7245</v>
      </c>
      <c r="B2502" s="1" t="s">
        <v>7246</v>
      </c>
      <c r="C2502">
        <f>(1-(B7/100))*57.32</f>
        <v>57.32</v>
      </c>
      <c r="D2502" s="1">
        <v>0</v>
      </c>
      <c r="E2502">
        <f>D2502*C2502</f>
        <v>0</v>
      </c>
      <c r="F2502" s="1" t="s">
        <v>7247</v>
      </c>
      <c r="G2502" s="17">
        <v>84689</v>
      </c>
    </row>
    <row r="2503" spans="1:7">
      <c r="A2503" s="1" t="s">
        <v>7248</v>
      </c>
      <c r="B2503" s="1" t="s">
        <v>7249</v>
      </c>
      <c r="C2503">
        <f>(1-(B7/100))*102.9</f>
        <v>102.9</v>
      </c>
      <c r="D2503" s="1">
        <v>0</v>
      </c>
      <c r="E2503">
        <f>D2503*C2503</f>
        <v>0</v>
      </c>
      <c r="F2503" s="1" t="s">
        <v>7250</v>
      </c>
      <c r="G2503" s="17">
        <v>84690</v>
      </c>
    </row>
    <row r="2504" spans="1:7">
      <c r="A2504" s="1" t="s">
        <v>7251</v>
      </c>
      <c r="B2504" s="1" t="s">
        <v>7252</v>
      </c>
      <c r="C2504">
        <f>(1-(B7/100))*102.9</f>
        <v>102.9</v>
      </c>
      <c r="D2504" s="1">
        <v>0</v>
      </c>
      <c r="E2504">
        <f>D2504*C2504</f>
        <v>0</v>
      </c>
      <c r="F2504" s="1" t="s">
        <v>7253</v>
      </c>
      <c r="G2504" s="17">
        <v>84691</v>
      </c>
    </row>
    <row r="2505" spans="1:7">
      <c r="A2505" s="1" t="s">
        <v>7254</v>
      </c>
      <c r="B2505" s="1" t="s">
        <v>7255</v>
      </c>
      <c r="C2505">
        <f>(1-(B7/100))*197.32</f>
        <v>197.32</v>
      </c>
      <c r="D2505" s="1">
        <v>0</v>
      </c>
      <c r="E2505">
        <f>D2505*C2505</f>
        <v>0</v>
      </c>
      <c r="F2505" s="1" t="s">
        <v>7256</v>
      </c>
      <c r="G2505" s="17">
        <v>84719</v>
      </c>
    </row>
    <row r="2506" spans="1:7">
      <c r="A2506" s="1" t="s">
        <v>7257</v>
      </c>
      <c r="B2506" s="1" t="s">
        <v>7258</v>
      </c>
      <c r="C2506">
        <f>(1-(B7/100))*180.57</f>
        <v>180.57</v>
      </c>
      <c r="D2506" s="1">
        <v>0</v>
      </c>
      <c r="E2506">
        <f>D2506*C2506</f>
        <v>0</v>
      </c>
      <c r="F2506" s="1" t="s">
        <v>7259</v>
      </c>
      <c r="G2506" s="17">
        <v>84720</v>
      </c>
    </row>
    <row r="2507" spans="1:7">
      <c r="A2507" s="1" t="s">
        <v>7260</v>
      </c>
      <c r="B2507" s="1" t="s">
        <v>7261</v>
      </c>
      <c r="C2507">
        <f>(1-(B7/100))*237.33</f>
        <v>237.33</v>
      </c>
      <c r="D2507" s="1">
        <v>0</v>
      </c>
      <c r="E2507">
        <f>D2507*C2507</f>
        <v>0</v>
      </c>
      <c r="F2507" s="1" t="s">
        <v>7262</v>
      </c>
      <c r="G2507" s="17">
        <v>84721</v>
      </c>
    </row>
    <row r="2508" spans="1:7">
      <c r="A2508" s="1" t="s">
        <v>7263</v>
      </c>
      <c r="B2508" s="1" t="s">
        <v>7264</v>
      </c>
      <c r="C2508">
        <f>(1-(B7/100))*267.81</f>
        <v>267.81</v>
      </c>
      <c r="D2508" s="1">
        <v>0</v>
      </c>
      <c r="E2508">
        <f>D2508*C2508</f>
        <v>0</v>
      </c>
      <c r="F2508" s="1" t="s">
        <v>7265</v>
      </c>
      <c r="G2508" s="17">
        <v>84722</v>
      </c>
    </row>
    <row r="2509" spans="1:7">
      <c r="A2509" s="1" t="s">
        <v>7266</v>
      </c>
      <c r="B2509" s="1" t="s">
        <v>7267</v>
      </c>
      <c r="C2509">
        <f>(1-(B7/100))*37.01</f>
        <v>37.01</v>
      </c>
      <c r="D2509" s="1">
        <v>0</v>
      </c>
      <c r="E2509">
        <f>D2509*C2509</f>
        <v>0</v>
      </c>
      <c r="F2509" s="1" t="s">
        <v>7268</v>
      </c>
      <c r="G2509" s="17">
        <v>84801</v>
      </c>
    </row>
    <row r="2510" spans="1:7">
      <c r="A2510" s="1" t="s">
        <v>7269</v>
      </c>
      <c r="B2510" s="1" t="s">
        <v>7270</v>
      </c>
      <c r="C2510">
        <f>(1-(B7/100))*34.96</f>
        <v>34.96</v>
      </c>
      <c r="D2510" s="1">
        <v>0</v>
      </c>
      <c r="E2510">
        <f>D2510*C2510</f>
        <v>0</v>
      </c>
      <c r="F2510" s="1" t="s">
        <v>7271</v>
      </c>
      <c r="G2510" s="17">
        <v>84802</v>
      </c>
    </row>
    <row r="2511" spans="1:7">
      <c r="A2511" s="1" t="s">
        <v>7272</v>
      </c>
      <c r="B2511" s="1" t="s">
        <v>7273</v>
      </c>
      <c r="C2511">
        <f>(1-(B7/100))*45.6</f>
        <v>45.6</v>
      </c>
      <c r="D2511" s="1">
        <v>0</v>
      </c>
      <c r="E2511">
        <f>D2511*C2511</f>
        <v>0</v>
      </c>
      <c r="F2511" s="1" t="s">
        <v>7274</v>
      </c>
      <c r="G2511" s="17">
        <v>84803</v>
      </c>
    </row>
    <row r="2512" spans="1:7">
      <c r="A2512" s="1" t="s">
        <v>7275</v>
      </c>
      <c r="B2512" s="1" t="s">
        <v>7276</v>
      </c>
      <c r="C2512">
        <f>(1-(B7/100))*68.92</f>
        <v>68.92</v>
      </c>
      <c r="D2512" s="1">
        <v>0</v>
      </c>
      <c r="E2512">
        <f>D2512*C2512</f>
        <v>0</v>
      </c>
      <c r="F2512" s="1" t="s">
        <v>7277</v>
      </c>
      <c r="G2512" s="17">
        <v>84855</v>
      </c>
    </row>
    <row r="2513" spans="1:7">
      <c r="A2513" s="1" t="s">
        <v>7278</v>
      </c>
      <c r="B2513" s="1" t="s">
        <v>7279</v>
      </c>
      <c r="C2513">
        <f>(1-(B7/100))*68.92</f>
        <v>68.92</v>
      </c>
      <c r="D2513" s="1">
        <v>0</v>
      </c>
      <c r="E2513">
        <f>D2513*C2513</f>
        <v>0</v>
      </c>
      <c r="F2513" s="1" t="s">
        <v>7280</v>
      </c>
      <c r="G2513" s="17">
        <v>84856</v>
      </c>
    </row>
    <row r="2514" spans="1:7">
      <c r="A2514" s="1" t="s">
        <v>7281</v>
      </c>
      <c r="B2514" s="1" t="s">
        <v>7282</v>
      </c>
      <c r="C2514">
        <f>(1-(B7/100))*91.25</f>
        <v>91.25</v>
      </c>
      <c r="D2514" s="1">
        <v>0</v>
      </c>
      <c r="E2514">
        <f>D2514*C2514</f>
        <v>0</v>
      </c>
      <c r="F2514" s="1" t="s">
        <v>7283</v>
      </c>
      <c r="G2514" s="17">
        <v>84857</v>
      </c>
    </row>
    <row r="2515" spans="1:7">
      <c r="A2515" s="1" t="s">
        <v>7284</v>
      </c>
      <c r="B2515" s="1" t="s">
        <v>7285</v>
      </c>
      <c r="C2515">
        <f>(1-(B7/100))*91.25</f>
        <v>91.25</v>
      </c>
      <c r="D2515" s="1">
        <v>0</v>
      </c>
      <c r="E2515">
        <f>D2515*C2515</f>
        <v>0</v>
      </c>
      <c r="F2515" s="1" t="s">
        <v>7286</v>
      </c>
      <c r="G2515" s="17">
        <v>84858</v>
      </c>
    </row>
    <row r="2516" spans="1:7">
      <c r="A2516" s="1" t="s">
        <v>7287</v>
      </c>
      <c r="B2516" s="1" t="s">
        <v>7288</v>
      </c>
      <c r="C2516">
        <f>(1-(B7/100))*102.9</f>
        <v>102.9</v>
      </c>
      <c r="D2516" s="1">
        <v>0</v>
      </c>
      <c r="E2516">
        <f>D2516*C2516</f>
        <v>0</v>
      </c>
      <c r="F2516" s="1" t="s">
        <v>7289</v>
      </c>
      <c r="G2516" s="17">
        <v>84859</v>
      </c>
    </row>
    <row r="2517" spans="1:7">
      <c r="A2517" s="1" t="s">
        <v>7290</v>
      </c>
      <c r="B2517" s="1" t="s">
        <v>7291</v>
      </c>
      <c r="C2517">
        <f>(1-(B7/100))*102.9</f>
        <v>102.9</v>
      </c>
      <c r="D2517" s="1">
        <v>0</v>
      </c>
      <c r="E2517">
        <f>D2517*C2517</f>
        <v>0</v>
      </c>
      <c r="F2517" s="1" t="s">
        <v>7292</v>
      </c>
      <c r="G2517" s="17">
        <v>84860</v>
      </c>
    </row>
    <row r="2518" spans="1:7">
      <c r="A2518" s="1" t="s">
        <v>7293</v>
      </c>
      <c r="B2518" s="1" t="s">
        <v>7294</v>
      </c>
      <c r="C2518">
        <f>(1-(B7/100))*114.54</f>
        <v>114.54</v>
      </c>
      <c r="D2518" s="1">
        <v>0</v>
      </c>
      <c r="E2518">
        <f>D2518*C2518</f>
        <v>0</v>
      </c>
      <c r="F2518" s="1" t="s">
        <v>7295</v>
      </c>
      <c r="G2518" s="17">
        <v>84865</v>
      </c>
    </row>
    <row r="2519" spans="1:7">
      <c r="A2519" s="1" t="s">
        <v>7296</v>
      </c>
      <c r="B2519" s="1" t="s">
        <v>7297</v>
      </c>
      <c r="C2519">
        <f>(1-(B7/100))*126.21</f>
        <v>126.21</v>
      </c>
      <c r="D2519" s="1">
        <v>0</v>
      </c>
      <c r="E2519">
        <f>D2519*C2519</f>
        <v>0</v>
      </c>
      <c r="F2519" s="1" t="s">
        <v>7298</v>
      </c>
      <c r="G2519" s="17">
        <v>84867</v>
      </c>
    </row>
    <row r="2520" spans="1:7">
      <c r="A2520" s="1" t="s">
        <v>7299</v>
      </c>
      <c r="B2520" s="1" t="s">
        <v>7300</v>
      </c>
      <c r="C2520">
        <f>(1-(B7/100))*137.87</f>
        <v>137.87</v>
      </c>
      <c r="D2520" s="1">
        <v>0</v>
      </c>
      <c r="E2520">
        <f>D2520*C2520</f>
        <v>0</v>
      </c>
      <c r="F2520" s="1" t="s">
        <v>7301</v>
      </c>
      <c r="G2520" s="17">
        <v>84868</v>
      </c>
    </row>
    <row r="2521" spans="1:7">
      <c r="A2521" s="1" t="s">
        <v>7302</v>
      </c>
      <c r="B2521" s="1" t="s">
        <v>7303</v>
      </c>
      <c r="C2521">
        <f>(1-(B7/100))*46.61</f>
        <v>46.61</v>
      </c>
      <c r="D2521" s="1">
        <v>0</v>
      </c>
      <c r="E2521">
        <f>D2521*C2521</f>
        <v>0</v>
      </c>
      <c r="F2521" s="1" t="s">
        <v>7304</v>
      </c>
      <c r="G2521" s="17">
        <v>84869</v>
      </c>
    </row>
    <row r="2522" spans="1:7">
      <c r="A2522" s="1" t="s">
        <v>7305</v>
      </c>
      <c r="B2522" s="1" t="s">
        <v>7306</v>
      </c>
      <c r="C2522">
        <f>(1-(B7/100))*57.32</f>
        <v>57.32</v>
      </c>
      <c r="D2522" s="1">
        <v>0</v>
      </c>
      <c r="E2522">
        <f>D2522*C2522</f>
        <v>0</v>
      </c>
      <c r="F2522" s="1" t="s">
        <v>7307</v>
      </c>
      <c r="G2522" s="17">
        <v>84873</v>
      </c>
    </row>
    <row r="2523" spans="1:7">
      <c r="A2523" s="1" t="s">
        <v>7308</v>
      </c>
      <c r="B2523" s="1" t="s">
        <v>7309</v>
      </c>
      <c r="C2523">
        <f>(1-(B7/100))*38.8</f>
        <v>38.8</v>
      </c>
      <c r="D2523" s="1">
        <v>0</v>
      </c>
      <c r="E2523">
        <f>D2523*C2523</f>
        <v>0</v>
      </c>
      <c r="F2523" s="1" t="s">
        <v>7310</v>
      </c>
      <c r="G2523" s="17">
        <v>84875</v>
      </c>
    </row>
    <row r="2524" spans="1:7">
      <c r="A2524" s="1" t="s">
        <v>7311</v>
      </c>
      <c r="B2524" s="1" t="s">
        <v>7312</v>
      </c>
      <c r="C2524">
        <f>(1-(B7/100))*48.55</f>
        <v>48.55</v>
      </c>
      <c r="D2524" s="1">
        <v>0</v>
      </c>
      <c r="E2524">
        <f>D2524*C2524</f>
        <v>0</v>
      </c>
      <c r="F2524" s="1" t="s">
        <v>7313</v>
      </c>
      <c r="G2524" s="17">
        <v>84876</v>
      </c>
    </row>
    <row r="2525" spans="1:7">
      <c r="A2525" s="1" t="s">
        <v>7314</v>
      </c>
      <c r="B2525" s="1" t="s">
        <v>7315</v>
      </c>
      <c r="C2525">
        <f>(1-(B7/100))*49.49</f>
        <v>49.49</v>
      </c>
      <c r="D2525" s="1">
        <v>0</v>
      </c>
      <c r="E2525">
        <f>D2525*C2525</f>
        <v>0</v>
      </c>
      <c r="F2525" s="1" t="s">
        <v>7316</v>
      </c>
      <c r="G2525" s="17">
        <v>84877</v>
      </c>
    </row>
    <row r="2526" spans="1:7">
      <c r="A2526" s="1" t="s">
        <v>7317</v>
      </c>
      <c r="B2526" s="1" t="s">
        <v>7318</v>
      </c>
      <c r="C2526">
        <f>(1-(B7/100))*49.49</f>
        <v>49.49</v>
      </c>
      <c r="D2526" s="1">
        <v>0</v>
      </c>
      <c r="E2526">
        <f>D2526*C2526</f>
        <v>0</v>
      </c>
      <c r="F2526" s="1" t="s">
        <v>7319</v>
      </c>
      <c r="G2526" s="17">
        <v>84878</v>
      </c>
    </row>
    <row r="2527" spans="1:7">
      <c r="A2527" s="1" t="s">
        <v>7320</v>
      </c>
      <c r="B2527" s="1" t="s">
        <v>7321</v>
      </c>
      <c r="C2527">
        <f>(1-(B7/100))*59.24</f>
        <v>59.24</v>
      </c>
      <c r="D2527" s="1">
        <v>0</v>
      </c>
      <c r="E2527">
        <f>D2527*C2527</f>
        <v>0</v>
      </c>
      <c r="F2527" s="1" t="s">
        <v>7322</v>
      </c>
      <c r="G2527" s="17">
        <v>84880</v>
      </c>
    </row>
    <row r="2528" spans="1:7">
      <c r="A2528" s="1" t="s">
        <v>7323</v>
      </c>
      <c r="B2528" s="1" t="s">
        <v>7324</v>
      </c>
      <c r="C2528">
        <f>(1-(B7/100))*53.37</f>
        <v>53.37</v>
      </c>
      <c r="D2528" s="1">
        <v>0</v>
      </c>
      <c r="E2528">
        <f>D2528*C2528</f>
        <v>0</v>
      </c>
      <c r="F2528" s="1" t="s">
        <v>7325</v>
      </c>
      <c r="G2528" s="17">
        <v>84884</v>
      </c>
    </row>
    <row r="2529" spans="1:7">
      <c r="A2529" s="1" t="s">
        <v>7326</v>
      </c>
      <c r="B2529" s="1" t="s">
        <v>7327</v>
      </c>
      <c r="C2529">
        <f>(1-(B7/100))*43.69</f>
        <v>43.69</v>
      </c>
      <c r="D2529" s="1">
        <v>0</v>
      </c>
      <c r="E2529">
        <f>D2529*C2529</f>
        <v>0</v>
      </c>
      <c r="F2529" s="1" t="s">
        <v>7328</v>
      </c>
      <c r="G2529" s="17">
        <v>84888</v>
      </c>
    </row>
    <row r="2530" spans="1:7">
      <c r="A2530" s="1" t="s">
        <v>7329</v>
      </c>
      <c r="B2530" s="1" t="s">
        <v>7330</v>
      </c>
      <c r="C2530">
        <f>(1-(B7/100))*69.92</f>
        <v>69.92</v>
      </c>
      <c r="D2530" s="1">
        <v>0</v>
      </c>
      <c r="E2530">
        <f>D2530*C2530</f>
        <v>0</v>
      </c>
      <c r="F2530" s="1" t="s">
        <v>7331</v>
      </c>
      <c r="G2530" s="17">
        <v>84891</v>
      </c>
    </row>
    <row r="2531" spans="1:7">
      <c r="A2531" s="1" t="s">
        <v>7332</v>
      </c>
      <c r="B2531" s="1" t="s">
        <v>7333</v>
      </c>
      <c r="C2531">
        <f>(1-(B7/100))*66.51</f>
        <v>66.51</v>
      </c>
      <c r="D2531" s="1">
        <v>0</v>
      </c>
      <c r="E2531">
        <f>D2531*C2531</f>
        <v>0</v>
      </c>
      <c r="F2531" s="1" t="s">
        <v>7334</v>
      </c>
      <c r="G2531" s="17">
        <v>84894</v>
      </c>
    </row>
    <row r="2532" spans="1:7">
      <c r="A2532" s="1" t="s">
        <v>7335</v>
      </c>
      <c r="B2532" s="1" t="s">
        <v>7336</v>
      </c>
      <c r="C2532">
        <f>(1-(B7/100))*66.51</f>
        <v>66.51</v>
      </c>
      <c r="D2532" s="1">
        <v>0</v>
      </c>
      <c r="E2532">
        <f>D2532*C2532</f>
        <v>0</v>
      </c>
      <c r="F2532" s="1" t="s">
        <v>7337</v>
      </c>
      <c r="G2532" s="17">
        <v>87477</v>
      </c>
    </row>
    <row r="2533" spans="1:7">
      <c r="A2533" s="16"/>
      <c r="B2533" s="16" t="s">
        <v>7338</v>
      </c>
      <c r="C2533" s="16"/>
      <c r="D2533" s="16"/>
      <c r="E2533" s="16"/>
      <c r="F2533" s="16"/>
    </row>
    <row r="2534" spans="1:7">
      <c r="A2534" s="1">
        <v>19113903</v>
      </c>
      <c r="B2534" s="1" t="s">
        <v>7339</v>
      </c>
      <c r="C2534">
        <f>(1-(B7/100))*279.2</f>
        <v>279.2</v>
      </c>
      <c r="D2534" s="1">
        <v>0</v>
      </c>
      <c r="E2534">
        <f>D2534*C2534</f>
        <v>0</v>
      </c>
      <c r="F2534" s="1" t="s">
        <v>7340</v>
      </c>
      <c r="G2534" s="17">
        <v>62951</v>
      </c>
    </row>
    <row r="2535" spans="1:7">
      <c r="A2535" s="1">
        <v>11239</v>
      </c>
      <c r="B2535" s="1" t="s">
        <v>7341</v>
      </c>
      <c r="C2535">
        <f>(1-(B7/100))*1092.93</f>
        <v>1092.93</v>
      </c>
      <c r="D2535" s="1">
        <v>0</v>
      </c>
      <c r="E2535">
        <f>D2535*C2535</f>
        <v>0</v>
      </c>
      <c r="F2535" s="1" t="s">
        <v>7342</v>
      </c>
      <c r="G2535" s="17">
        <v>63187</v>
      </c>
    </row>
    <row r="2536" spans="1:7">
      <c r="A2536" s="1" t="s">
        <v>7343</v>
      </c>
      <c r="B2536" s="1" t="s">
        <v>7344</v>
      </c>
      <c r="C2536">
        <f>(1-(B7/100))*957.22</f>
        <v>957.22</v>
      </c>
      <c r="D2536" s="1">
        <v>0</v>
      </c>
      <c r="E2536">
        <f>D2536*C2536</f>
        <v>0</v>
      </c>
      <c r="F2536" s="1" t="s">
        <v>7345</v>
      </c>
      <c r="G2536" s="17">
        <v>63497</v>
      </c>
    </row>
    <row r="2537" spans="1:7">
      <c r="A2537" s="1" t="s">
        <v>7346</v>
      </c>
      <c r="B2537" s="1" t="s">
        <v>7347</v>
      </c>
      <c r="C2537">
        <f>(1-(B7/100))*833.32</f>
        <v>833.32</v>
      </c>
      <c r="D2537" s="1">
        <v>0</v>
      </c>
      <c r="E2537">
        <f>D2537*C2537</f>
        <v>0</v>
      </c>
      <c r="F2537" s="1" t="s">
        <v>7348</v>
      </c>
      <c r="G2537" s="17">
        <v>64052</v>
      </c>
    </row>
    <row r="2538" spans="1:7">
      <c r="A2538" s="1">
        <v>18090066</v>
      </c>
      <c r="B2538" s="1" t="s">
        <v>7349</v>
      </c>
      <c r="C2538">
        <f>(1-(B7/100))*6517.92</f>
        <v>6517.92</v>
      </c>
      <c r="D2538" s="1">
        <v>0</v>
      </c>
      <c r="E2538">
        <f>D2538*C2538</f>
        <v>0</v>
      </c>
      <c r="F2538" s="1" t="s">
        <v>7350</v>
      </c>
      <c r="G2538" s="17">
        <v>64210</v>
      </c>
    </row>
    <row r="2539" spans="1:7">
      <c r="A2539" s="1">
        <v>10004921</v>
      </c>
      <c r="B2539" s="1" t="s">
        <v>7351</v>
      </c>
      <c r="C2539">
        <f>(1-(B7/100))*1185.75</f>
        <v>1185.75</v>
      </c>
      <c r="D2539" s="1">
        <v>0</v>
      </c>
      <c r="E2539">
        <f>D2539*C2539</f>
        <v>0</v>
      </c>
      <c r="F2539" s="1" t="s">
        <v>7352</v>
      </c>
      <c r="G2539" s="17">
        <v>64213</v>
      </c>
    </row>
    <row r="2540" spans="1:7">
      <c r="A2540" s="1">
        <v>10004894</v>
      </c>
      <c r="B2540" s="1" t="s">
        <v>7353</v>
      </c>
      <c r="C2540">
        <f>(1-(B7/100))*1185.75</f>
        <v>1185.75</v>
      </c>
      <c r="D2540" s="1">
        <v>0</v>
      </c>
      <c r="E2540">
        <f>D2540*C2540</f>
        <v>0</v>
      </c>
      <c r="F2540" s="1" t="s">
        <v>7354</v>
      </c>
      <c r="G2540" s="17">
        <v>64214</v>
      </c>
    </row>
    <row r="2541" spans="1:7">
      <c r="A2541" s="1" t="s">
        <v>7355</v>
      </c>
      <c r="B2541" s="1" t="s">
        <v>7356</v>
      </c>
      <c r="C2541">
        <f>(1-(B7/100))*1126.14</f>
        <v>1126.14</v>
      </c>
      <c r="D2541" s="1">
        <v>0</v>
      </c>
      <c r="E2541">
        <f>D2541*C2541</f>
        <v>0</v>
      </c>
      <c r="F2541" s="1" t="s">
        <v>7357</v>
      </c>
      <c r="G2541" s="17">
        <v>64215</v>
      </c>
    </row>
    <row r="2542" spans="1:7">
      <c r="A2542" s="1" t="s">
        <v>7358</v>
      </c>
      <c r="B2542" s="1" t="s">
        <v>7359</v>
      </c>
      <c r="C2542">
        <f>(1-(B7/100))*1238.76</f>
        <v>1238.76</v>
      </c>
      <c r="D2542" s="1">
        <v>0</v>
      </c>
      <c r="E2542">
        <f>D2542*C2542</f>
        <v>0</v>
      </c>
      <c r="F2542" s="1" t="s">
        <v>7360</v>
      </c>
      <c r="G2542" s="17">
        <v>64216</v>
      </c>
    </row>
    <row r="2543" spans="1:7">
      <c r="A2543" s="1">
        <v>10580</v>
      </c>
      <c r="B2543" s="1" t="s">
        <v>7361</v>
      </c>
      <c r="C2543">
        <f>(1-(B7/100))*742.61</f>
        <v>742.61</v>
      </c>
      <c r="D2543" s="1">
        <v>0</v>
      </c>
      <c r="E2543">
        <f>D2543*C2543</f>
        <v>0</v>
      </c>
      <c r="F2543" s="1" t="s">
        <v>7362</v>
      </c>
      <c r="G2543" s="17">
        <v>64243</v>
      </c>
    </row>
    <row r="2544" spans="1:7">
      <c r="A2544" s="1" t="s">
        <v>7363</v>
      </c>
      <c r="B2544" s="1" t="s">
        <v>7364</v>
      </c>
      <c r="C2544">
        <f>(1-(B7/100))*220.49</f>
        <v>220.49</v>
      </c>
      <c r="D2544" s="1">
        <v>0</v>
      </c>
      <c r="E2544">
        <f>D2544*C2544</f>
        <v>0</v>
      </c>
      <c r="F2544" s="1" t="s">
        <v>7365</v>
      </c>
      <c r="G2544" s="17">
        <v>64297</v>
      </c>
    </row>
    <row r="2545" spans="1:7">
      <c r="A2545" s="1">
        <v>11643</v>
      </c>
      <c r="B2545" s="1" t="s">
        <v>7366</v>
      </c>
      <c r="C2545">
        <f>(1-(B7/100))*853.25</f>
        <v>853.25</v>
      </c>
      <c r="D2545" s="1">
        <v>0</v>
      </c>
      <c r="E2545">
        <f>D2545*C2545</f>
        <v>0</v>
      </c>
      <c r="F2545" s="1" t="s">
        <v>7367</v>
      </c>
      <c r="G2545" s="17">
        <v>64595</v>
      </c>
    </row>
    <row r="2546" spans="1:7">
      <c r="A2546" s="1">
        <v>11644</v>
      </c>
      <c r="B2546" s="1" t="s">
        <v>7368</v>
      </c>
      <c r="C2546">
        <f>(1-(B7/100))*861.1</f>
        <v>861.1</v>
      </c>
      <c r="D2546" s="1">
        <v>0</v>
      </c>
      <c r="E2546">
        <f>D2546*C2546</f>
        <v>0</v>
      </c>
      <c r="F2546" s="1" t="s">
        <v>7369</v>
      </c>
      <c r="G2546" s="17">
        <v>64596</v>
      </c>
    </row>
    <row r="2547" spans="1:7">
      <c r="A2547" s="1">
        <v>12099</v>
      </c>
      <c r="B2547" s="1" t="s">
        <v>7370</v>
      </c>
      <c r="C2547">
        <f>(1-(B7/100))*601.71</f>
        <v>601.71</v>
      </c>
      <c r="D2547" s="1">
        <v>0</v>
      </c>
      <c r="E2547">
        <f>D2547*C2547</f>
        <v>0</v>
      </c>
      <c r="F2547" s="1" t="s">
        <v>7371</v>
      </c>
      <c r="G2547" s="17">
        <v>64597</v>
      </c>
    </row>
    <row r="2548" spans="1:7">
      <c r="A2548" s="1">
        <v>12309</v>
      </c>
      <c r="B2548" s="1" t="s">
        <v>7372</v>
      </c>
      <c r="C2548">
        <f>(1-(B7/100))*598.44</f>
        <v>598.44</v>
      </c>
      <c r="D2548" s="1">
        <v>0</v>
      </c>
      <c r="E2548">
        <f>D2548*C2548</f>
        <v>0</v>
      </c>
      <c r="F2548" s="1" t="s">
        <v>7373</v>
      </c>
      <c r="G2548" s="17">
        <v>64598</v>
      </c>
    </row>
    <row r="2549" spans="1:7">
      <c r="A2549" s="1">
        <v>10920</v>
      </c>
      <c r="B2549" s="1" t="s">
        <v>7374</v>
      </c>
      <c r="C2549">
        <f>(1-(B7/100))*640.93</f>
        <v>640.93</v>
      </c>
      <c r="D2549" s="1">
        <v>0</v>
      </c>
      <c r="E2549">
        <f>D2549*C2549</f>
        <v>0</v>
      </c>
      <c r="F2549" s="1" t="s">
        <v>7375</v>
      </c>
      <c r="G2549" s="17">
        <v>64600</v>
      </c>
    </row>
    <row r="2550" spans="1:7">
      <c r="A2550" s="1">
        <v>11666</v>
      </c>
      <c r="B2550" s="1" t="s">
        <v>7376</v>
      </c>
      <c r="C2550">
        <f>(1-(B7/100))*579.47</f>
        <v>579.47</v>
      </c>
      <c r="D2550" s="1">
        <v>0</v>
      </c>
      <c r="E2550">
        <f>D2550*C2550</f>
        <v>0</v>
      </c>
      <c r="F2550" s="1" t="s">
        <v>7377</v>
      </c>
      <c r="G2550" s="17">
        <v>64601</v>
      </c>
    </row>
    <row r="2551" spans="1:7">
      <c r="A2551" s="1">
        <v>12517</v>
      </c>
      <c r="B2551" s="1" t="s">
        <v>7378</v>
      </c>
      <c r="C2551">
        <f>(1-(B7/100))*595.12</f>
        <v>595.12</v>
      </c>
      <c r="D2551" s="1">
        <v>0</v>
      </c>
      <c r="E2551">
        <f>D2551*C2551</f>
        <v>0</v>
      </c>
      <c r="F2551" s="1" t="s">
        <v>7379</v>
      </c>
      <c r="G2551" s="17">
        <v>64603</v>
      </c>
    </row>
    <row r="2552" spans="1:7">
      <c r="A2552" s="1">
        <v>14319</v>
      </c>
      <c r="B2552" s="1" t="s">
        <v>7380</v>
      </c>
      <c r="C2552">
        <f>(1-(B7/100))*600.06</f>
        <v>600.06</v>
      </c>
      <c r="D2552" s="1">
        <v>0</v>
      </c>
      <c r="E2552">
        <f>D2552*C2552</f>
        <v>0</v>
      </c>
      <c r="F2552" s="1" t="s">
        <v>7381</v>
      </c>
      <c r="G2552" s="17">
        <v>64604</v>
      </c>
    </row>
    <row r="2553" spans="1:7">
      <c r="A2553" s="1">
        <v>28729</v>
      </c>
      <c r="B2553" s="1" t="s">
        <v>7382</v>
      </c>
      <c r="C2553">
        <f>(1-(B7/100))*639.3</f>
        <v>639.3</v>
      </c>
      <c r="D2553" s="1">
        <v>0</v>
      </c>
      <c r="E2553">
        <f>D2553*C2553</f>
        <v>0</v>
      </c>
      <c r="F2553" s="1" t="s">
        <v>7383</v>
      </c>
      <c r="G2553" s="17">
        <v>64606</v>
      </c>
    </row>
    <row r="2554" spans="1:7">
      <c r="A2554" s="1">
        <v>12098</v>
      </c>
      <c r="B2554" s="1" t="s">
        <v>7384</v>
      </c>
      <c r="C2554">
        <f>(1-(B7/100))*195.7</f>
        <v>195.7</v>
      </c>
      <c r="D2554" s="1">
        <v>0</v>
      </c>
      <c r="E2554">
        <f>D2554*C2554</f>
        <v>0</v>
      </c>
      <c r="F2554" s="1" t="s">
        <v>7385</v>
      </c>
      <c r="G2554" s="17">
        <v>64607</v>
      </c>
    </row>
    <row r="2555" spans="1:7">
      <c r="A2555" s="1">
        <v>11488</v>
      </c>
      <c r="B2555" s="1" t="s">
        <v>7386</v>
      </c>
      <c r="C2555">
        <f>(1-(B7/100))*510.9</f>
        <v>510.9</v>
      </c>
      <c r="D2555" s="1">
        <v>0</v>
      </c>
      <c r="E2555">
        <f>D2555*C2555</f>
        <v>0</v>
      </c>
      <c r="F2555" s="1" t="s">
        <v>7387</v>
      </c>
      <c r="G2555" s="17">
        <v>64610</v>
      </c>
    </row>
    <row r="2556" spans="1:7">
      <c r="A2556" s="1">
        <v>11657</v>
      </c>
      <c r="B2556" s="1" t="s">
        <v>7388</v>
      </c>
      <c r="C2556">
        <f>(1-(B7/100))*574.78</f>
        <v>574.78</v>
      </c>
      <c r="D2556" s="1">
        <v>0</v>
      </c>
      <c r="E2556">
        <f>D2556*C2556</f>
        <v>0</v>
      </c>
      <c r="F2556" s="1" t="s">
        <v>7389</v>
      </c>
      <c r="G2556" s="17">
        <v>64611</v>
      </c>
    </row>
    <row r="2557" spans="1:7">
      <c r="A2557" s="1">
        <v>10294</v>
      </c>
      <c r="B2557" s="1" t="s">
        <v>7390</v>
      </c>
      <c r="C2557">
        <f>(1-(B7/100))*129.73</f>
        <v>129.73</v>
      </c>
      <c r="D2557" s="1">
        <v>0</v>
      </c>
      <c r="E2557">
        <f>D2557*C2557</f>
        <v>0</v>
      </c>
      <c r="F2557" s="1" t="s">
        <v>7391</v>
      </c>
      <c r="G2557" s="17">
        <v>64616</v>
      </c>
    </row>
    <row r="2558" spans="1:7">
      <c r="A2558" s="1">
        <v>10419</v>
      </c>
      <c r="B2558" s="1" t="s">
        <v>7392</v>
      </c>
      <c r="C2558">
        <f>(1-(B7/100))*149.61</f>
        <v>149.61</v>
      </c>
      <c r="D2558" s="1">
        <v>0</v>
      </c>
      <c r="E2558">
        <f>D2558*C2558</f>
        <v>0</v>
      </c>
      <c r="F2558" s="1" t="s">
        <v>7393</v>
      </c>
      <c r="G2558" s="17">
        <v>64619</v>
      </c>
    </row>
    <row r="2559" spans="1:7">
      <c r="A2559" s="1">
        <v>10305</v>
      </c>
      <c r="B2559" s="1" t="s">
        <v>7394</v>
      </c>
      <c r="C2559">
        <f>(1-(B7/100))*146.09</f>
        <v>146.09</v>
      </c>
      <c r="D2559" s="1">
        <v>0</v>
      </c>
      <c r="E2559">
        <f>D2559*C2559</f>
        <v>0</v>
      </c>
      <c r="F2559" s="1" t="s">
        <v>7395</v>
      </c>
      <c r="G2559" s="17">
        <v>64620</v>
      </c>
    </row>
    <row r="2560" spans="1:7">
      <c r="A2560" s="1" t="s">
        <v>7396</v>
      </c>
      <c r="B2560" s="1" t="s">
        <v>7397</v>
      </c>
      <c r="C2560">
        <f>(1-(B7/100))*1000</f>
        <v>1000</v>
      </c>
      <c r="D2560" s="1">
        <v>0</v>
      </c>
      <c r="E2560">
        <f>D2560*C2560</f>
        <v>0</v>
      </c>
      <c r="F2560" s="1" t="s">
        <v>7398</v>
      </c>
      <c r="G2560" s="17">
        <v>65822</v>
      </c>
    </row>
    <row r="2561" spans="1:7">
      <c r="A2561" s="1" t="s">
        <v>7399</v>
      </c>
      <c r="B2561" s="1" t="s">
        <v>7400</v>
      </c>
      <c r="C2561">
        <f>(1-(B7/100))*900</f>
        <v>900</v>
      </c>
      <c r="D2561" s="1">
        <v>0</v>
      </c>
      <c r="E2561">
        <f>D2561*C2561</f>
        <v>0</v>
      </c>
      <c r="F2561" s="1" t="s">
        <v>7401</v>
      </c>
      <c r="G2561" s="17">
        <v>65823</v>
      </c>
    </row>
    <row r="2562" spans="1:7">
      <c r="A2562" s="1">
        <v>10537</v>
      </c>
      <c r="B2562" s="1" t="s">
        <v>7402</v>
      </c>
      <c r="C2562">
        <f>(1-(B7/100))*648.99</f>
        <v>648.99</v>
      </c>
      <c r="D2562" s="1">
        <v>0</v>
      </c>
      <c r="E2562">
        <f>D2562*C2562</f>
        <v>0</v>
      </c>
      <c r="F2562" s="1" t="s">
        <v>7403</v>
      </c>
      <c r="G2562" s="17">
        <v>68948</v>
      </c>
    </row>
    <row r="2563" spans="1:7">
      <c r="A2563" s="1">
        <v>10480</v>
      </c>
      <c r="B2563" s="1" t="s">
        <v>7404</v>
      </c>
      <c r="C2563">
        <f>(1-(B7/100))*721.76</f>
        <v>721.76</v>
      </c>
      <c r="D2563" s="1">
        <v>0</v>
      </c>
      <c r="E2563">
        <f>D2563*C2563</f>
        <v>0</v>
      </c>
      <c r="F2563" s="1" t="s">
        <v>7405</v>
      </c>
      <c r="G2563" s="17">
        <v>71869</v>
      </c>
    </row>
    <row r="2564" spans="1:7">
      <c r="A2564" s="1">
        <v>11289</v>
      </c>
      <c r="B2564" s="1" t="s">
        <v>7406</v>
      </c>
      <c r="C2564">
        <f>(1-(B7/100))*128.05</f>
        <v>128.05</v>
      </c>
      <c r="D2564" s="1">
        <v>0</v>
      </c>
      <c r="E2564">
        <f>D2564*C2564</f>
        <v>0</v>
      </c>
      <c r="F2564" s="1" t="s">
        <v>7407</v>
      </c>
      <c r="G2564" s="17">
        <v>71881</v>
      </c>
    </row>
    <row r="2565" spans="1:7">
      <c r="A2565" s="1">
        <v>31044</v>
      </c>
      <c r="B2565" s="1" t="s">
        <v>7408</v>
      </c>
      <c r="C2565">
        <f>(1-(B7/100))*113.46</f>
        <v>113.46</v>
      </c>
      <c r="D2565" s="1">
        <v>0</v>
      </c>
      <c r="E2565">
        <f>D2565*C2565</f>
        <v>0</v>
      </c>
      <c r="F2565" s="1" t="s">
        <v>7409</v>
      </c>
      <c r="G2565" s="17">
        <v>71884</v>
      </c>
    </row>
    <row r="2566" spans="1:7">
      <c r="A2566" s="1">
        <v>10230</v>
      </c>
      <c r="B2566" s="1" t="s">
        <v>7410</v>
      </c>
      <c r="C2566">
        <f>(1-(B7/100))*68.6</f>
        <v>68.6</v>
      </c>
      <c r="D2566" s="1">
        <v>0</v>
      </c>
      <c r="E2566">
        <f>D2566*C2566</f>
        <v>0</v>
      </c>
      <c r="F2566" s="1" t="s">
        <v>7411</v>
      </c>
      <c r="G2566" s="17">
        <v>71886</v>
      </c>
    </row>
    <row r="2567" spans="1:7">
      <c r="A2567" s="1">
        <v>10253</v>
      </c>
      <c r="B2567" s="1" t="s">
        <v>7412</v>
      </c>
      <c r="C2567">
        <f>(1-(B7/100))*750</f>
        <v>750</v>
      </c>
      <c r="D2567" s="1">
        <v>0</v>
      </c>
      <c r="E2567">
        <f>D2567*C2567</f>
        <v>0</v>
      </c>
      <c r="F2567" s="1" t="s">
        <v>7413</v>
      </c>
      <c r="G2567" s="17">
        <v>71887</v>
      </c>
    </row>
    <row r="2568" spans="1:7">
      <c r="A2568" s="1">
        <v>10231</v>
      </c>
      <c r="B2568" s="1" t="s">
        <v>7414</v>
      </c>
      <c r="C2568">
        <f>(1-(B7/100))*394.15</f>
        <v>394.15</v>
      </c>
      <c r="D2568" s="1">
        <v>0</v>
      </c>
      <c r="E2568">
        <f>D2568*C2568</f>
        <v>0</v>
      </c>
      <c r="F2568" s="1" t="s">
        <v>7415</v>
      </c>
      <c r="G2568" s="17">
        <v>71892</v>
      </c>
    </row>
    <row r="2569" spans="1:7">
      <c r="A2569" s="1">
        <v>12283</v>
      </c>
      <c r="B2569" s="1" t="s">
        <v>7416</v>
      </c>
      <c r="C2569">
        <f>(1-(B7/100))*1086.16</f>
        <v>1086.16</v>
      </c>
      <c r="D2569" s="1">
        <v>0</v>
      </c>
      <c r="E2569">
        <f>D2569*C2569</f>
        <v>0</v>
      </c>
      <c r="F2569" s="1" t="s">
        <v>7417</v>
      </c>
      <c r="G2569" s="17">
        <v>71896</v>
      </c>
    </row>
    <row r="2570" spans="1:7">
      <c r="A2570" s="1">
        <v>10515</v>
      </c>
      <c r="B2570" s="1" t="s">
        <v>7418</v>
      </c>
      <c r="C2570">
        <f>(1-(B7/100))*861.1</f>
        <v>861.1</v>
      </c>
      <c r="D2570" s="1">
        <v>0</v>
      </c>
      <c r="E2570">
        <f>D2570*C2570</f>
        <v>0</v>
      </c>
      <c r="F2570" s="1" t="s">
        <v>7419</v>
      </c>
      <c r="G2570" s="17">
        <v>71900</v>
      </c>
    </row>
    <row r="2571" spans="1:7">
      <c r="A2571" s="1">
        <v>11639</v>
      </c>
      <c r="B2571" s="1" t="s">
        <v>7420</v>
      </c>
      <c r="C2571">
        <f>(1-(B7/100))*861.1</f>
        <v>861.1</v>
      </c>
      <c r="D2571" s="1">
        <v>0</v>
      </c>
      <c r="E2571">
        <f>D2571*C2571</f>
        <v>0</v>
      </c>
      <c r="F2571" s="1" t="s">
        <v>7421</v>
      </c>
      <c r="G2571" s="17">
        <v>71901</v>
      </c>
    </row>
    <row r="2572" spans="1:7">
      <c r="A2572" s="1">
        <v>10124</v>
      </c>
      <c r="B2572" s="1" t="s">
        <v>7422</v>
      </c>
      <c r="C2572">
        <f>(1-(B7/100))*590.23</f>
        <v>590.23</v>
      </c>
      <c r="D2572" s="1">
        <v>0</v>
      </c>
      <c r="E2572">
        <f>D2572*C2572</f>
        <v>0</v>
      </c>
      <c r="F2572" s="1" t="s">
        <v>7423</v>
      </c>
      <c r="G2572" s="17">
        <v>71902</v>
      </c>
    </row>
    <row r="2573" spans="1:7">
      <c r="A2573" s="1">
        <v>10524</v>
      </c>
      <c r="B2573" s="1" t="s">
        <v>7424</v>
      </c>
      <c r="C2573">
        <f>(1-(B7/100))*924.39</f>
        <v>924.39</v>
      </c>
      <c r="D2573" s="1">
        <v>0</v>
      </c>
      <c r="E2573">
        <f>D2573*C2573</f>
        <v>0</v>
      </c>
      <c r="F2573" s="1" t="s">
        <v>7425</v>
      </c>
      <c r="G2573" s="17">
        <v>71905</v>
      </c>
    </row>
    <row r="2574" spans="1:7">
      <c r="A2574" s="1">
        <v>10385</v>
      </c>
      <c r="B2574" s="1" t="s">
        <v>7426</v>
      </c>
      <c r="C2574">
        <f>(1-(B7/100))*924.39</f>
        <v>924.39</v>
      </c>
      <c r="D2574" s="1">
        <v>0</v>
      </c>
      <c r="E2574">
        <f>D2574*C2574</f>
        <v>0</v>
      </c>
      <c r="F2574" s="1" t="s">
        <v>7427</v>
      </c>
      <c r="G2574" s="17">
        <v>71906</v>
      </c>
    </row>
    <row r="2575" spans="1:7">
      <c r="A2575" s="1">
        <v>11238</v>
      </c>
      <c r="B2575" s="1" t="s">
        <v>7428</v>
      </c>
      <c r="C2575">
        <f>(1-(B7/100))*1411.8</f>
        <v>1411.8</v>
      </c>
      <c r="D2575" s="1">
        <v>0</v>
      </c>
      <c r="E2575">
        <f>D2575*C2575</f>
        <v>0</v>
      </c>
      <c r="F2575" s="1" t="s">
        <v>7429</v>
      </c>
      <c r="G2575" s="17">
        <v>71908</v>
      </c>
    </row>
    <row r="2576" spans="1:7">
      <c r="A2576" s="1">
        <v>19320</v>
      </c>
      <c r="B2576" s="1" t="s">
        <v>7430</v>
      </c>
      <c r="C2576">
        <f>(1-(B7/100))*1471.39</f>
        <v>1471.39</v>
      </c>
      <c r="D2576" s="1">
        <v>0</v>
      </c>
      <c r="E2576">
        <f>D2576*C2576</f>
        <v>0</v>
      </c>
      <c r="F2576" s="1" t="s">
        <v>7431</v>
      </c>
      <c r="G2576" s="17">
        <v>71911</v>
      </c>
    </row>
    <row r="2577" spans="1:7">
      <c r="A2577" s="1" t="s">
        <v>7432</v>
      </c>
      <c r="B2577" s="1" t="s">
        <v>7433</v>
      </c>
      <c r="C2577">
        <f>(1-(B7/100))*20610.47</f>
        <v>20610.47</v>
      </c>
      <c r="D2577" s="1">
        <v>0</v>
      </c>
      <c r="E2577">
        <f>D2577*C2577</f>
        <v>0</v>
      </c>
      <c r="F2577" s="1" t="s">
        <v>16</v>
      </c>
      <c r="G2577" s="17">
        <v>71982</v>
      </c>
    </row>
    <row r="2578" spans="1:7">
      <c r="A2578" s="1" t="s">
        <v>7434</v>
      </c>
      <c r="B2578" s="1" t="s">
        <v>7435</v>
      </c>
      <c r="C2578">
        <f>(1-(B7/100))*1040.93</f>
        <v>1040.93</v>
      </c>
      <c r="D2578" s="1">
        <v>0</v>
      </c>
      <c r="E2578">
        <f>D2578*C2578</f>
        <v>0</v>
      </c>
      <c r="F2578" s="1" t="s">
        <v>16</v>
      </c>
      <c r="G2578" s="17">
        <v>72088</v>
      </c>
    </row>
    <row r="2579" spans="1:7">
      <c r="A2579" s="1" t="s">
        <v>7436</v>
      </c>
      <c r="B2579" s="1" t="s">
        <v>7437</v>
      </c>
      <c r="C2579">
        <f>(1-(B7/100))*1860.82</f>
        <v>1860.82</v>
      </c>
      <c r="D2579" s="1">
        <v>0</v>
      </c>
      <c r="E2579">
        <f>D2579*C2579</f>
        <v>0</v>
      </c>
      <c r="F2579" s="1" t="s">
        <v>7438</v>
      </c>
      <c r="G2579" s="17">
        <v>72094</v>
      </c>
    </row>
    <row r="2580" spans="1:7">
      <c r="A2580" s="1" t="s">
        <v>7439</v>
      </c>
      <c r="B2580" s="1" t="s">
        <v>7440</v>
      </c>
      <c r="C2580">
        <f>(1-(B7/100))*217.38</f>
        <v>217.38</v>
      </c>
      <c r="D2580" s="1">
        <v>0</v>
      </c>
      <c r="E2580">
        <f>D2580*C2580</f>
        <v>0</v>
      </c>
      <c r="F2580" s="1" t="s">
        <v>7441</v>
      </c>
      <c r="G2580" s="17">
        <v>72211</v>
      </c>
    </row>
    <row r="2581" spans="1:7">
      <c r="A2581" s="1">
        <v>10688</v>
      </c>
      <c r="B2581" s="1" t="s">
        <v>7442</v>
      </c>
      <c r="C2581">
        <f>(1-(B7/100))*509.82</f>
        <v>509.82</v>
      </c>
      <c r="D2581" s="1">
        <v>0</v>
      </c>
      <c r="E2581">
        <f>D2581*C2581</f>
        <v>0</v>
      </c>
      <c r="F2581" s="1" t="s">
        <v>7443</v>
      </c>
      <c r="G2581" s="17">
        <v>72550</v>
      </c>
    </row>
    <row r="2582" spans="1:7">
      <c r="A2582" s="1">
        <v>10401</v>
      </c>
      <c r="B2582" s="1" t="s">
        <v>7444</v>
      </c>
      <c r="C2582">
        <f>(1-(B7/100))*402.8</f>
        <v>402.8</v>
      </c>
      <c r="D2582" s="1">
        <v>0</v>
      </c>
      <c r="E2582">
        <f>D2582*C2582</f>
        <v>0</v>
      </c>
      <c r="F2582" s="1" t="s">
        <v>7445</v>
      </c>
      <c r="G2582" s="17">
        <v>72551</v>
      </c>
    </row>
    <row r="2583" spans="1:7">
      <c r="A2583" s="1" t="s">
        <v>7446</v>
      </c>
      <c r="B2583" s="1" t="s">
        <v>7447</v>
      </c>
      <c r="C2583">
        <f>(1-(B7/100))*541.29</f>
        <v>541.29</v>
      </c>
      <c r="D2583" s="1">
        <v>0</v>
      </c>
      <c r="E2583">
        <f>D2583*C2583</f>
        <v>0</v>
      </c>
      <c r="F2583" s="1" t="s">
        <v>7448</v>
      </c>
      <c r="G2583" s="17">
        <v>72552</v>
      </c>
    </row>
    <row r="2584" spans="1:7">
      <c r="A2584" s="1">
        <v>10277</v>
      </c>
      <c r="B2584" s="1" t="s">
        <v>7449</v>
      </c>
      <c r="C2584">
        <f>(1-(B7/100))*541.29</f>
        <v>541.29</v>
      </c>
      <c r="D2584" s="1">
        <v>0</v>
      </c>
      <c r="E2584">
        <f>D2584*C2584</f>
        <v>0</v>
      </c>
      <c r="F2584" s="1" t="s">
        <v>7450</v>
      </c>
      <c r="G2584" s="17">
        <v>72553</v>
      </c>
    </row>
    <row r="2585" spans="1:7">
      <c r="A2585" s="1">
        <v>12103</v>
      </c>
      <c r="B2585" s="1" t="s">
        <v>7451</v>
      </c>
      <c r="C2585">
        <f>(1-(B7/100))*497.44</f>
        <v>497.44</v>
      </c>
      <c r="D2585" s="1">
        <v>0</v>
      </c>
      <c r="E2585">
        <f>D2585*C2585</f>
        <v>0</v>
      </c>
      <c r="F2585" s="1" t="s">
        <v>7452</v>
      </c>
      <c r="G2585" s="17">
        <v>72554</v>
      </c>
    </row>
    <row r="2586" spans="1:7">
      <c r="A2586" s="1">
        <v>11656</v>
      </c>
      <c r="B2586" s="1" t="s">
        <v>7453</v>
      </c>
      <c r="C2586">
        <f>(1-(B7/100))*506.68</f>
        <v>506.68</v>
      </c>
      <c r="D2586" s="1">
        <v>0</v>
      </c>
      <c r="E2586">
        <f>D2586*C2586</f>
        <v>0</v>
      </c>
      <c r="F2586" s="1" t="s">
        <v>7454</v>
      </c>
      <c r="G2586" s="17">
        <v>72555</v>
      </c>
    </row>
    <row r="2587" spans="1:7">
      <c r="A2587" s="1">
        <v>11269</v>
      </c>
      <c r="B2587" s="1" t="s">
        <v>7455</v>
      </c>
      <c r="C2587">
        <f>(1-(B7/100))*409.09</f>
        <v>409.09</v>
      </c>
      <c r="D2587" s="1">
        <v>0</v>
      </c>
      <c r="E2587">
        <f>D2587*C2587</f>
        <v>0</v>
      </c>
      <c r="F2587" s="1" t="s">
        <v>7456</v>
      </c>
      <c r="G2587" s="17">
        <v>72556</v>
      </c>
    </row>
    <row r="2588" spans="1:7">
      <c r="A2588" s="1">
        <v>12265</v>
      </c>
      <c r="B2588" s="1" t="s">
        <v>7457</v>
      </c>
      <c r="C2588">
        <f>(1-(B7/100))*624.56</f>
        <v>624.56</v>
      </c>
      <c r="D2588" s="1">
        <v>0</v>
      </c>
      <c r="E2588">
        <f>D2588*C2588</f>
        <v>0</v>
      </c>
      <c r="F2588" s="1" t="s">
        <v>7458</v>
      </c>
      <c r="G2588" s="17">
        <v>72557</v>
      </c>
    </row>
    <row r="2589" spans="1:7">
      <c r="A2589" s="1">
        <v>10400</v>
      </c>
      <c r="B2589" s="1" t="s">
        <v>7459</v>
      </c>
      <c r="C2589">
        <f>(1-(B7/100))*410.77</f>
        <v>410.77</v>
      </c>
      <c r="D2589" s="1">
        <v>0</v>
      </c>
      <c r="E2589">
        <f>D2589*C2589</f>
        <v>0</v>
      </c>
      <c r="F2589" s="1" t="s">
        <v>7460</v>
      </c>
      <c r="G2589" s="17">
        <v>72558</v>
      </c>
    </row>
    <row r="2590" spans="1:7">
      <c r="A2590" s="1" t="s">
        <v>7461</v>
      </c>
      <c r="B2590" s="1" t="s">
        <v>7462</v>
      </c>
      <c r="C2590">
        <f>(1-(B7/100))*1433.36</f>
        <v>1433.36</v>
      </c>
      <c r="D2590" s="1">
        <v>0</v>
      </c>
      <c r="E2590">
        <f>D2590*C2590</f>
        <v>0</v>
      </c>
      <c r="F2590" s="1" t="s">
        <v>7463</v>
      </c>
      <c r="G2590" s="17">
        <v>72829</v>
      </c>
    </row>
    <row r="2591" spans="1:7">
      <c r="A2591" s="1" t="s">
        <v>7464</v>
      </c>
      <c r="B2591" s="1" t="s">
        <v>7465</v>
      </c>
      <c r="C2591">
        <f>(1-(B7/100))*20298.19</f>
        <v>20298.19</v>
      </c>
      <c r="D2591" s="1">
        <v>0</v>
      </c>
      <c r="E2591">
        <f>D2591*C2591</f>
        <v>0</v>
      </c>
      <c r="F2591" s="1" t="s">
        <v>7466</v>
      </c>
      <c r="G2591" s="17">
        <v>73177</v>
      </c>
    </row>
    <row r="2592" spans="1:7">
      <c r="A2592" s="1" t="s">
        <v>7467</v>
      </c>
      <c r="B2592" s="1" t="s">
        <v>7468</v>
      </c>
      <c r="C2592">
        <f>(1-(B7/100))*21755.49</f>
        <v>21755.49</v>
      </c>
      <c r="D2592" s="1">
        <v>0</v>
      </c>
      <c r="E2592">
        <f>D2592*C2592</f>
        <v>0</v>
      </c>
      <c r="F2592" s="1" t="s">
        <v>7469</v>
      </c>
      <c r="G2592" s="17">
        <v>73178</v>
      </c>
    </row>
    <row r="2593" spans="1:7">
      <c r="A2593" s="1">
        <v>12129</v>
      </c>
      <c r="B2593" s="1" t="s">
        <v>7470</v>
      </c>
      <c r="C2593">
        <f>(1-(B7/100))*394.61</f>
        <v>394.61</v>
      </c>
      <c r="D2593" s="1">
        <v>0</v>
      </c>
      <c r="E2593">
        <f>D2593*C2593</f>
        <v>0</v>
      </c>
      <c r="F2593" s="1" t="s">
        <v>7471</v>
      </c>
      <c r="G2593" s="17">
        <v>73217</v>
      </c>
    </row>
    <row r="2594" spans="1:7">
      <c r="A2594" s="1">
        <v>28462</v>
      </c>
      <c r="B2594" s="1" t="s">
        <v>7472</v>
      </c>
      <c r="C2594">
        <f>(1-(B7/100))*105.26</f>
        <v>105.26</v>
      </c>
      <c r="D2594" s="1">
        <v>0</v>
      </c>
      <c r="E2594">
        <f>D2594*C2594</f>
        <v>0</v>
      </c>
      <c r="F2594" s="1" t="s">
        <v>7473</v>
      </c>
      <c r="G2594" s="17">
        <v>73219</v>
      </c>
    </row>
    <row r="2595" spans="1:7">
      <c r="A2595" s="1">
        <v>18233</v>
      </c>
      <c r="B2595" s="1" t="s">
        <v>7474</v>
      </c>
      <c r="C2595">
        <f>(1-(B7/100))*54.58</f>
        <v>54.58</v>
      </c>
      <c r="D2595" s="1">
        <v>0</v>
      </c>
      <c r="E2595">
        <f>D2595*C2595</f>
        <v>0</v>
      </c>
      <c r="F2595" s="1" t="s">
        <v>7475</v>
      </c>
      <c r="G2595" s="17">
        <v>73223</v>
      </c>
    </row>
    <row r="2596" spans="1:7">
      <c r="A2596" s="1">
        <v>12080</v>
      </c>
      <c r="B2596" s="1" t="s">
        <v>7476</v>
      </c>
      <c r="C2596">
        <f>(1-(B7/100))*39.5</f>
        <v>39.5</v>
      </c>
      <c r="D2596" s="1">
        <v>0</v>
      </c>
      <c r="E2596">
        <f>D2596*C2596</f>
        <v>0</v>
      </c>
      <c r="F2596" s="1" t="s">
        <v>7477</v>
      </c>
      <c r="G2596" s="17">
        <v>73227</v>
      </c>
    </row>
    <row r="2597" spans="1:7">
      <c r="A2597" s="1">
        <v>10119</v>
      </c>
      <c r="B2597" s="1" t="s">
        <v>7478</v>
      </c>
      <c r="C2597">
        <f>(1-(B7/100))*1131.44</f>
        <v>1131.44</v>
      </c>
      <c r="D2597" s="1">
        <v>0</v>
      </c>
      <c r="E2597">
        <f>D2597*C2597</f>
        <v>0</v>
      </c>
      <c r="F2597" s="1" t="s">
        <v>7479</v>
      </c>
      <c r="G2597" s="17">
        <v>73249</v>
      </c>
    </row>
    <row r="2598" spans="1:7">
      <c r="A2598" s="1">
        <v>10791</v>
      </c>
      <c r="B2598" s="1" t="s">
        <v>7480</v>
      </c>
      <c r="C2598">
        <f>(1-(B7/100))*1910.89</f>
        <v>1910.89</v>
      </c>
      <c r="D2598" s="1">
        <v>0</v>
      </c>
      <c r="E2598">
        <f>D2598*C2598</f>
        <v>0</v>
      </c>
      <c r="F2598" s="1" t="s">
        <v>7481</v>
      </c>
      <c r="G2598" s="17">
        <v>73250</v>
      </c>
    </row>
    <row r="2599" spans="1:7">
      <c r="A2599" s="1">
        <v>12286</v>
      </c>
      <c r="B2599" s="1" t="s">
        <v>7482</v>
      </c>
      <c r="C2599">
        <f>(1-(B7/100))*432.08</f>
        <v>432.08</v>
      </c>
      <c r="D2599" s="1">
        <v>0</v>
      </c>
      <c r="E2599">
        <f>D2599*C2599</f>
        <v>0</v>
      </c>
      <c r="F2599" s="1" t="s">
        <v>7483</v>
      </c>
      <c r="G2599" s="17">
        <v>73252</v>
      </c>
    </row>
    <row r="2600" spans="1:7">
      <c r="A2600" s="1">
        <v>14947</v>
      </c>
      <c r="B2600" s="1" t="s">
        <v>7484</v>
      </c>
      <c r="C2600">
        <f>(1-(B7/100))*386.99</f>
        <v>386.99</v>
      </c>
      <c r="D2600" s="1">
        <v>0</v>
      </c>
      <c r="E2600">
        <f>D2600*C2600</f>
        <v>0</v>
      </c>
      <c r="F2600" s="1" t="s">
        <v>7485</v>
      </c>
      <c r="G2600" s="17">
        <v>73253</v>
      </c>
    </row>
    <row r="2601" spans="1:7">
      <c r="A2601" s="1">
        <v>10117</v>
      </c>
      <c r="B2601" s="1" t="s">
        <v>7486</v>
      </c>
      <c r="C2601">
        <f>(1-(B7/100))*453.7</f>
        <v>453.7</v>
      </c>
      <c r="D2601" s="1">
        <v>0</v>
      </c>
      <c r="E2601">
        <f>D2601*C2601</f>
        <v>0</v>
      </c>
      <c r="F2601" s="1" t="s">
        <v>7487</v>
      </c>
      <c r="G2601" s="17">
        <v>73254</v>
      </c>
    </row>
    <row r="2602" spans="1:7">
      <c r="A2602" s="1">
        <v>11613</v>
      </c>
      <c r="B2602" s="1" t="s">
        <v>7488</v>
      </c>
      <c r="C2602">
        <f>(1-(B7/100))*472.14</f>
        <v>472.14</v>
      </c>
      <c r="D2602" s="1">
        <v>0</v>
      </c>
      <c r="E2602">
        <f>D2602*C2602</f>
        <v>0</v>
      </c>
      <c r="F2602" s="1" t="s">
        <v>7489</v>
      </c>
      <c r="G2602" s="17">
        <v>73256</v>
      </c>
    </row>
    <row r="2603" spans="1:7">
      <c r="A2603" s="1">
        <v>14909</v>
      </c>
      <c r="B2603" s="1" t="s">
        <v>7490</v>
      </c>
      <c r="C2603">
        <f>(1-(B7/100))*1049.1</f>
        <v>1049.1</v>
      </c>
      <c r="D2603" s="1">
        <v>0</v>
      </c>
      <c r="E2603">
        <f>D2603*C2603</f>
        <v>0</v>
      </c>
      <c r="F2603" s="1" t="s">
        <v>7491</v>
      </c>
      <c r="G2603" s="17">
        <v>73257</v>
      </c>
    </row>
    <row r="2604" spans="1:7">
      <c r="A2604" s="1">
        <v>10240</v>
      </c>
      <c r="B2604" s="1" t="s">
        <v>7492</v>
      </c>
      <c r="C2604">
        <f>(1-(B7/100))*500</f>
        <v>500</v>
      </c>
      <c r="D2604" s="1">
        <v>0</v>
      </c>
      <c r="E2604">
        <f>D2604*C2604</f>
        <v>0</v>
      </c>
      <c r="F2604" s="1" t="s">
        <v>7493</v>
      </c>
      <c r="G2604" s="17">
        <v>73260</v>
      </c>
    </row>
    <row r="2605" spans="1:7">
      <c r="A2605" s="1">
        <v>12442</v>
      </c>
      <c r="B2605" s="1" t="s">
        <v>7494</v>
      </c>
      <c r="C2605">
        <f>(1-(B7/100))*628.39</f>
        <v>628.39</v>
      </c>
      <c r="D2605" s="1">
        <v>0</v>
      </c>
      <c r="E2605">
        <f>D2605*C2605</f>
        <v>0</v>
      </c>
      <c r="F2605" s="1" t="s">
        <v>7495</v>
      </c>
      <c r="G2605" s="17">
        <v>73261</v>
      </c>
    </row>
    <row r="2606" spans="1:7">
      <c r="A2606" s="1">
        <v>21974</v>
      </c>
      <c r="B2606" s="1" t="s">
        <v>7496</v>
      </c>
      <c r="C2606">
        <f>(1-(B7/100))*203.65</f>
        <v>203.65</v>
      </c>
      <c r="D2606" s="1">
        <v>0</v>
      </c>
      <c r="E2606">
        <f>D2606*C2606</f>
        <v>0</v>
      </c>
      <c r="F2606" s="1" t="s">
        <v>7497</v>
      </c>
      <c r="G2606" s="17">
        <v>73263</v>
      </c>
    </row>
    <row r="2607" spans="1:7">
      <c r="A2607" s="1">
        <v>14609</v>
      </c>
      <c r="B2607" s="1" t="s">
        <v>7498</v>
      </c>
      <c r="C2607">
        <f>(1-(B7/100))*164.03</f>
        <v>164.03</v>
      </c>
      <c r="D2607" s="1">
        <v>0</v>
      </c>
      <c r="E2607">
        <f>D2607*C2607</f>
        <v>0</v>
      </c>
      <c r="F2607" s="1" t="s">
        <v>7499</v>
      </c>
      <c r="G2607" s="17">
        <v>73264</v>
      </c>
    </row>
    <row r="2608" spans="1:7">
      <c r="A2608" s="1">
        <v>10742</v>
      </c>
      <c r="B2608" s="1" t="s">
        <v>7500</v>
      </c>
      <c r="C2608">
        <f>(1-(B7/100))*449.02</f>
        <v>449.02</v>
      </c>
      <c r="D2608" s="1">
        <v>0</v>
      </c>
      <c r="E2608">
        <f>D2608*C2608</f>
        <v>0</v>
      </c>
      <c r="F2608" s="1" t="s">
        <v>7501</v>
      </c>
      <c r="G2608" s="17">
        <v>73268</v>
      </c>
    </row>
    <row r="2609" spans="1:7">
      <c r="A2609" s="1" t="s">
        <v>7502</v>
      </c>
      <c r="B2609" s="1" t="s">
        <v>7503</v>
      </c>
      <c r="C2609">
        <f>(1-(B7/100))*1573.34</f>
        <v>1573.34</v>
      </c>
      <c r="D2609" s="1">
        <v>0</v>
      </c>
      <c r="E2609">
        <f>D2609*C2609</f>
        <v>0</v>
      </c>
      <c r="F2609" s="1" t="s">
        <v>7504</v>
      </c>
      <c r="G2609" s="17">
        <v>73681</v>
      </c>
    </row>
    <row r="2610" spans="1:7">
      <c r="A2610" s="1" t="s">
        <v>7505</v>
      </c>
      <c r="B2610" s="1" t="s">
        <v>7506</v>
      </c>
      <c r="C2610">
        <f>(1-(B7/100))*1627.2</f>
        <v>1627.2</v>
      </c>
      <c r="D2610" s="1">
        <v>0</v>
      </c>
      <c r="E2610">
        <f>D2610*C2610</f>
        <v>0</v>
      </c>
      <c r="F2610" s="1" t="s">
        <v>7507</v>
      </c>
      <c r="G2610" s="17">
        <v>73682</v>
      </c>
    </row>
    <row r="2611" spans="1:7">
      <c r="A2611" s="1" t="s">
        <v>7508</v>
      </c>
      <c r="B2611" s="1" t="s">
        <v>7509</v>
      </c>
      <c r="C2611">
        <f>(1-(B7/100))*1687.38</f>
        <v>1687.38</v>
      </c>
      <c r="D2611" s="1">
        <v>0</v>
      </c>
      <c r="E2611">
        <f>D2611*C2611</f>
        <v>0</v>
      </c>
      <c r="F2611" s="1" t="s">
        <v>7510</v>
      </c>
      <c r="G2611" s="17">
        <v>73683</v>
      </c>
    </row>
    <row r="2612" spans="1:7">
      <c r="A2612" s="1" t="s">
        <v>7511</v>
      </c>
      <c r="B2612" s="1" t="s">
        <v>7512</v>
      </c>
      <c r="C2612">
        <f>(1-(B7/100))*1664.22</f>
        <v>1664.22</v>
      </c>
      <c r="D2612" s="1">
        <v>0</v>
      </c>
      <c r="E2612">
        <f>D2612*C2612</f>
        <v>0</v>
      </c>
      <c r="F2612" s="1" t="s">
        <v>7513</v>
      </c>
      <c r="G2612" s="17">
        <v>73684</v>
      </c>
    </row>
    <row r="2613" spans="1:7">
      <c r="A2613" s="1" t="s">
        <v>7514</v>
      </c>
      <c r="B2613" s="1" t="s">
        <v>7515</v>
      </c>
      <c r="C2613">
        <f>(1-(B7/100))*1652.44</f>
        <v>1652.44</v>
      </c>
      <c r="D2613" s="1">
        <v>0</v>
      </c>
      <c r="E2613">
        <f>D2613*C2613</f>
        <v>0</v>
      </c>
      <c r="F2613" s="1" t="s">
        <v>7516</v>
      </c>
      <c r="G2613" s="17">
        <v>73685</v>
      </c>
    </row>
    <row r="2614" spans="1:7">
      <c r="A2614" s="1" t="s">
        <v>7517</v>
      </c>
      <c r="B2614" s="1" t="s">
        <v>7518</v>
      </c>
      <c r="C2614">
        <f>(1-(B7/100))*1495.12</f>
        <v>1495.12</v>
      </c>
      <c r="D2614" s="1">
        <v>0</v>
      </c>
      <c r="E2614">
        <f>D2614*C2614</f>
        <v>0</v>
      </c>
      <c r="F2614" s="1" t="s">
        <v>7519</v>
      </c>
      <c r="G2614" s="17">
        <v>73688</v>
      </c>
    </row>
    <row r="2615" spans="1:7">
      <c r="A2615" s="1" t="s">
        <v>7520</v>
      </c>
      <c r="B2615" s="1" t="s">
        <v>7521</v>
      </c>
      <c r="C2615">
        <f>(1-(B7/100))*1536.98</f>
        <v>1536.98</v>
      </c>
      <c r="D2615" s="1">
        <v>0</v>
      </c>
      <c r="E2615">
        <f>D2615*C2615</f>
        <v>0</v>
      </c>
      <c r="F2615" s="1" t="s">
        <v>7522</v>
      </c>
      <c r="G2615" s="17">
        <v>73690</v>
      </c>
    </row>
    <row r="2616" spans="1:7">
      <c r="A2616" s="1" t="s">
        <v>7523</v>
      </c>
      <c r="B2616" s="1" t="s">
        <v>7524</v>
      </c>
      <c r="C2616">
        <f>(1-(B7/100))*1539.55</f>
        <v>1539.55</v>
      </c>
      <c r="D2616" s="1">
        <v>0</v>
      </c>
      <c r="E2616">
        <f>D2616*C2616</f>
        <v>0</v>
      </c>
      <c r="F2616" s="1" t="s">
        <v>7525</v>
      </c>
      <c r="G2616" s="17">
        <v>73691</v>
      </c>
    </row>
    <row r="2617" spans="1:7">
      <c r="A2617" s="1" t="s">
        <v>7526</v>
      </c>
      <c r="B2617" s="1" t="s">
        <v>7527</v>
      </c>
      <c r="C2617">
        <f>(1-(B7/100))*1613.45</f>
        <v>1613.45</v>
      </c>
      <c r="D2617" s="1">
        <v>0</v>
      </c>
      <c r="E2617">
        <f>D2617*C2617</f>
        <v>0</v>
      </c>
      <c r="F2617" s="1" t="s">
        <v>7528</v>
      </c>
      <c r="G2617" s="17">
        <v>73692</v>
      </c>
    </row>
    <row r="2618" spans="1:7">
      <c r="A2618" s="1">
        <v>15055</v>
      </c>
      <c r="B2618" s="1" t="s">
        <v>7529</v>
      </c>
      <c r="C2618">
        <f>(1-(B7/100))*3500</f>
        <v>3500</v>
      </c>
      <c r="D2618" s="1">
        <v>0</v>
      </c>
      <c r="E2618">
        <f>D2618*C2618</f>
        <v>0</v>
      </c>
      <c r="F2618" s="1" t="s">
        <v>7530</v>
      </c>
      <c r="G2618" s="17">
        <v>74173</v>
      </c>
    </row>
    <row r="2619" spans="1:7">
      <c r="A2619" s="1">
        <v>10691</v>
      </c>
      <c r="B2619" s="1" t="s">
        <v>7531</v>
      </c>
      <c r="C2619">
        <f>(1-(B7/100))*450</f>
        <v>450</v>
      </c>
      <c r="D2619" s="1">
        <v>0</v>
      </c>
      <c r="E2619">
        <f>D2619*C2619</f>
        <v>0</v>
      </c>
      <c r="F2619" s="1" t="s">
        <v>7532</v>
      </c>
      <c r="G2619" s="17">
        <v>74193</v>
      </c>
    </row>
    <row r="2620" spans="1:7">
      <c r="A2620" s="1">
        <v>15137</v>
      </c>
      <c r="B2620" s="1" t="s">
        <v>7533</v>
      </c>
      <c r="C2620">
        <f>(1-(B7/100))*321.22</f>
        <v>321.22</v>
      </c>
      <c r="D2620" s="1">
        <v>0</v>
      </c>
      <c r="E2620">
        <f>D2620*C2620</f>
        <v>0</v>
      </c>
      <c r="F2620" s="1" t="s">
        <v>7534</v>
      </c>
      <c r="G2620" s="17">
        <v>74195</v>
      </c>
    </row>
    <row r="2621" spans="1:7">
      <c r="A2621" s="1">
        <v>10169</v>
      </c>
      <c r="B2621" s="1" t="s">
        <v>7535</v>
      </c>
      <c r="C2621">
        <f>(1-(B7/100))*250.1</f>
        <v>250.1</v>
      </c>
      <c r="D2621" s="1">
        <v>0</v>
      </c>
      <c r="E2621">
        <f>D2621*C2621</f>
        <v>0</v>
      </c>
      <c r="F2621" s="1" t="s">
        <v>7536</v>
      </c>
      <c r="G2621" s="17">
        <v>74199</v>
      </c>
    </row>
    <row r="2622" spans="1:7">
      <c r="A2622" s="1" t="s">
        <v>7537</v>
      </c>
      <c r="B2622" s="1" t="s">
        <v>7538</v>
      </c>
      <c r="C2622">
        <f>(1-(B7/100))*48.6</f>
        <v>48.6</v>
      </c>
      <c r="D2622" s="1">
        <v>0</v>
      </c>
      <c r="E2622">
        <f>D2622*C2622</f>
        <v>0</v>
      </c>
      <c r="F2622" s="1" t="s">
        <v>7539</v>
      </c>
      <c r="G2622" s="17">
        <v>78637</v>
      </c>
    </row>
    <row r="2623" spans="1:7">
      <c r="A2623" s="1" t="s">
        <v>7540</v>
      </c>
      <c r="B2623" s="1" t="s">
        <v>7541</v>
      </c>
      <c r="C2623">
        <f>(1-(B7/100))*76.45</f>
        <v>76.45</v>
      </c>
      <c r="D2623" s="1">
        <v>0</v>
      </c>
      <c r="E2623">
        <f>D2623*C2623</f>
        <v>0</v>
      </c>
      <c r="F2623" s="1" t="s">
        <v>7542</v>
      </c>
      <c r="G2623" s="17">
        <v>78638</v>
      </c>
    </row>
    <row r="2624" spans="1:7">
      <c r="A2624" s="1" t="s">
        <v>7543</v>
      </c>
      <c r="B2624" s="1" t="s">
        <v>7544</v>
      </c>
      <c r="C2624">
        <f>(1-(B7/100))*131.69</f>
        <v>131.69</v>
      </c>
      <c r="D2624" s="1">
        <v>0</v>
      </c>
      <c r="E2624">
        <f>D2624*C2624</f>
        <v>0</v>
      </c>
      <c r="F2624" s="1" t="s">
        <v>7545</v>
      </c>
      <c r="G2624" s="17">
        <v>78639</v>
      </c>
    </row>
    <row r="2625" spans="1:7">
      <c r="A2625" s="1" t="s">
        <v>7546</v>
      </c>
      <c r="B2625" s="1" t="s">
        <v>7547</v>
      </c>
      <c r="C2625">
        <f>(1-(B7/100))*159.65</f>
        <v>159.65</v>
      </c>
      <c r="D2625" s="1">
        <v>0</v>
      </c>
      <c r="E2625">
        <f>D2625*C2625</f>
        <v>0</v>
      </c>
      <c r="F2625" s="1" t="s">
        <v>7548</v>
      </c>
      <c r="G2625" s="17">
        <v>78640</v>
      </c>
    </row>
    <row r="2626" spans="1:7">
      <c r="A2626" s="1" t="s">
        <v>7549</v>
      </c>
      <c r="B2626" s="1" t="s">
        <v>7550</v>
      </c>
      <c r="C2626">
        <f>(1-(B7/100))*688.08</f>
        <v>688.08</v>
      </c>
      <c r="D2626" s="1">
        <v>0</v>
      </c>
      <c r="E2626">
        <f>D2626*C2626</f>
        <v>0</v>
      </c>
      <c r="F2626" s="1" t="s">
        <v>7551</v>
      </c>
      <c r="G2626" s="17">
        <v>78645</v>
      </c>
    </row>
    <row r="2627" spans="1:7">
      <c r="A2627" s="1" t="s">
        <v>7552</v>
      </c>
      <c r="B2627" s="1" t="s">
        <v>7553</v>
      </c>
      <c r="C2627">
        <f>(1-(B7/100))*228.43</f>
        <v>228.43</v>
      </c>
      <c r="D2627" s="1">
        <v>0</v>
      </c>
      <c r="E2627">
        <f>D2627*C2627</f>
        <v>0</v>
      </c>
      <c r="F2627" s="1" t="s">
        <v>7554</v>
      </c>
      <c r="G2627" s="17">
        <v>78646</v>
      </c>
    </row>
    <row r="2628" spans="1:7">
      <c r="A2628" s="1" t="s">
        <v>7555</v>
      </c>
      <c r="B2628" s="1" t="s">
        <v>7556</v>
      </c>
      <c r="C2628">
        <f>(1-(B7/100))*20298.19</f>
        <v>20298.19</v>
      </c>
      <c r="D2628" s="1">
        <v>0</v>
      </c>
      <c r="E2628">
        <f>D2628*C2628</f>
        <v>0</v>
      </c>
      <c r="F2628" s="1" t="s">
        <v>7557</v>
      </c>
      <c r="G2628" s="17">
        <v>85909</v>
      </c>
    </row>
    <row r="2629" spans="1:7">
      <c r="A2629" s="1">
        <v>10680</v>
      </c>
      <c r="B2629" s="1" t="s">
        <v>7558</v>
      </c>
      <c r="C2629">
        <f>(1-(B7/100))*721.76</f>
        <v>721.76</v>
      </c>
      <c r="D2629" s="1">
        <v>0</v>
      </c>
      <c r="E2629">
        <f>D2629*C2629</f>
        <v>0</v>
      </c>
      <c r="F2629" s="1" t="s">
        <v>7559</v>
      </c>
      <c r="G2629" s="17">
        <v>86063</v>
      </c>
    </row>
    <row r="2630" spans="1:7">
      <c r="A2630" s="1" t="s">
        <v>7560</v>
      </c>
      <c r="B2630" s="1" t="s">
        <v>7561</v>
      </c>
      <c r="C2630">
        <f>(1-(B7/100))*507.29</f>
        <v>507.29</v>
      </c>
      <c r="D2630" s="1">
        <v>0</v>
      </c>
      <c r="E2630">
        <f>D2630*C2630</f>
        <v>0</v>
      </c>
      <c r="F2630" s="1" t="s">
        <v>7562</v>
      </c>
      <c r="G2630" s="17">
        <v>86134</v>
      </c>
    </row>
    <row r="2631" spans="1:7">
      <c r="A2631" s="1">
        <v>10300</v>
      </c>
      <c r="B2631" s="1" t="s">
        <v>7563</v>
      </c>
      <c r="C2631">
        <f>(1-(B7/100))*240.12</f>
        <v>240.12</v>
      </c>
      <c r="D2631" s="1">
        <v>0</v>
      </c>
      <c r="E2631">
        <f>D2631*C2631</f>
        <v>0</v>
      </c>
      <c r="F2631" s="1" t="s">
        <v>7564</v>
      </c>
      <c r="G2631" s="17">
        <v>86561</v>
      </c>
    </row>
    <row r="2632" spans="1:7">
      <c r="A2632" s="1">
        <v>10226</v>
      </c>
      <c r="B2632" s="1" t="s">
        <v>7565</v>
      </c>
      <c r="C2632">
        <f>(1-(B7/100))*163.36</f>
        <v>163.36</v>
      </c>
      <c r="D2632" s="1">
        <v>0</v>
      </c>
      <c r="E2632">
        <f>D2632*C2632</f>
        <v>0</v>
      </c>
      <c r="F2632" s="1" t="s">
        <v>7566</v>
      </c>
      <c r="G2632" s="17">
        <v>86785</v>
      </c>
    </row>
    <row r="2633" spans="1:7">
      <c r="A2633" s="1">
        <v>10349</v>
      </c>
      <c r="B2633" s="1" t="s">
        <v>7567</v>
      </c>
      <c r="C2633">
        <f>(1-(B7/100))*230.95</f>
        <v>230.95</v>
      </c>
      <c r="D2633" s="1">
        <v>0</v>
      </c>
      <c r="E2633">
        <f>D2633*C2633</f>
        <v>0</v>
      </c>
      <c r="F2633" s="1" t="s">
        <v>7568</v>
      </c>
      <c r="G2633" s="17">
        <v>86792</v>
      </c>
    </row>
    <row r="2634" spans="1:7">
      <c r="A2634" s="1">
        <v>10492</v>
      </c>
      <c r="B2634" s="1" t="s">
        <v>7569</v>
      </c>
      <c r="C2634">
        <f>(1-(B7/100))*435.21</f>
        <v>435.21</v>
      </c>
      <c r="D2634" s="1">
        <v>0</v>
      </c>
      <c r="E2634">
        <f>D2634*C2634</f>
        <v>0</v>
      </c>
      <c r="F2634" s="1" t="s">
        <v>7570</v>
      </c>
      <c r="G2634" s="17">
        <v>86793</v>
      </c>
    </row>
    <row r="2635" spans="1:7">
      <c r="A2635" s="1">
        <v>10546</v>
      </c>
      <c r="B2635" s="1" t="s">
        <v>7571</v>
      </c>
      <c r="C2635">
        <f>(1-(B7/100))*525.25</f>
        <v>525.25</v>
      </c>
      <c r="D2635" s="1">
        <v>0</v>
      </c>
      <c r="E2635">
        <f>D2635*C2635</f>
        <v>0</v>
      </c>
      <c r="F2635" s="1" t="s">
        <v>7572</v>
      </c>
      <c r="G2635" s="17">
        <v>86794</v>
      </c>
    </row>
    <row r="2636" spans="1:7">
      <c r="A2636" s="1">
        <v>10181</v>
      </c>
      <c r="B2636" s="1" t="s">
        <v>7573</v>
      </c>
      <c r="C2636">
        <f>(1-(B7/100))*1729.56</f>
        <v>1729.56</v>
      </c>
      <c r="D2636" s="1">
        <v>0</v>
      </c>
      <c r="E2636">
        <f>D2636*C2636</f>
        <v>0</v>
      </c>
      <c r="F2636" s="1" t="s">
        <v>7574</v>
      </c>
      <c r="G2636" s="17">
        <v>86798</v>
      </c>
    </row>
    <row r="2637" spans="1:7">
      <c r="A2637" s="1">
        <v>11770</v>
      </c>
      <c r="B2637" s="1" t="s">
        <v>7575</v>
      </c>
      <c r="C2637">
        <f>(1-(B7/100))*600.02</f>
        <v>600.02</v>
      </c>
      <c r="D2637" s="1">
        <v>0</v>
      </c>
      <c r="E2637">
        <f>D2637*C2637</f>
        <v>0</v>
      </c>
      <c r="F2637" s="1" t="s">
        <v>7576</v>
      </c>
      <c r="G2637" s="17">
        <v>86799</v>
      </c>
    </row>
    <row r="2638" spans="1:7">
      <c r="A2638" s="1">
        <v>11041</v>
      </c>
      <c r="B2638" s="1" t="s">
        <v>7577</v>
      </c>
      <c r="C2638">
        <f>(1-(B7/100))*585.6</f>
        <v>585.6</v>
      </c>
      <c r="D2638" s="1">
        <v>0</v>
      </c>
      <c r="E2638">
        <f>D2638*C2638</f>
        <v>0</v>
      </c>
      <c r="F2638" s="1" t="s">
        <v>7578</v>
      </c>
      <c r="G2638" s="17">
        <v>86800</v>
      </c>
    </row>
    <row r="2639" spans="1:7">
      <c r="A2639" s="1">
        <v>10687</v>
      </c>
      <c r="B2639" s="1" t="s">
        <v>7579</v>
      </c>
      <c r="C2639">
        <f>(1-(B7/100))*585.6</f>
        <v>585.6</v>
      </c>
      <c r="D2639" s="1">
        <v>0</v>
      </c>
      <c r="E2639">
        <f>D2639*C2639</f>
        <v>0</v>
      </c>
      <c r="F2639" s="1" t="s">
        <v>7580</v>
      </c>
      <c r="G2639" s="17">
        <v>86801</v>
      </c>
    </row>
    <row r="2640" spans="1:7">
      <c r="A2640" s="1">
        <v>10829</v>
      </c>
      <c r="B2640" s="1" t="s">
        <v>7581</v>
      </c>
      <c r="C2640">
        <f>(1-(B7/100))*601.71</f>
        <v>601.71</v>
      </c>
      <c r="D2640" s="1">
        <v>0</v>
      </c>
      <c r="E2640">
        <f>D2640*C2640</f>
        <v>0</v>
      </c>
      <c r="F2640" s="1" t="s">
        <v>7582</v>
      </c>
      <c r="G2640" s="17">
        <v>86804</v>
      </c>
    </row>
    <row r="2641" spans="1:7">
      <c r="A2641" s="1">
        <v>12510</v>
      </c>
      <c r="B2641" s="1" t="s">
        <v>7583</v>
      </c>
      <c r="C2641">
        <f>(1-(B7/100))*585.6</f>
        <v>585.6</v>
      </c>
      <c r="D2641" s="1">
        <v>0</v>
      </c>
      <c r="E2641">
        <f>D2641*C2641</f>
        <v>0</v>
      </c>
      <c r="F2641" s="1" t="s">
        <v>7584</v>
      </c>
      <c r="G2641" s="17">
        <v>86806</v>
      </c>
    </row>
    <row r="2642" spans="1:7">
      <c r="A2642" s="1">
        <v>10699</v>
      </c>
      <c r="B2642" s="1" t="s">
        <v>7585</v>
      </c>
      <c r="C2642">
        <f>(1-(B7/100))*1249.12</f>
        <v>1249.12</v>
      </c>
      <c r="D2642" s="1">
        <v>0</v>
      </c>
      <c r="E2642">
        <f>D2642*C2642</f>
        <v>0</v>
      </c>
      <c r="F2642" s="1" t="s">
        <v>7586</v>
      </c>
      <c r="G2642" s="17">
        <v>86807</v>
      </c>
    </row>
    <row r="2643" spans="1:7">
      <c r="A2643" s="1">
        <v>13865</v>
      </c>
      <c r="B2643" s="1" t="s">
        <v>7587</v>
      </c>
      <c r="C2643">
        <f>(1-(B7/100))*1168.73</f>
        <v>1168.73</v>
      </c>
      <c r="D2643" s="1">
        <v>0</v>
      </c>
      <c r="E2643">
        <f>D2643*C2643</f>
        <v>0</v>
      </c>
      <c r="F2643" s="1" t="s">
        <v>7588</v>
      </c>
      <c r="G2643" s="17">
        <v>86808</v>
      </c>
    </row>
    <row r="2644" spans="1:7">
      <c r="A2644" s="1">
        <v>12125</v>
      </c>
      <c r="B2644" s="1" t="s">
        <v>7589</v>
      </c>
      <c r="C2644">
        <f>(1-(B7/100))*413.73</f>
        <v>413.73</v>
      </c>
      <c r="D2644" s="1">
        <v>0</v>
      </c>
      <c r="E2644">
        <f>D2644*C2644</f>
        <v>0</v>
      </c>
      <c r="F2644" s="1" t="s">
        <v>7590</v>
      </c>
      <c r="G2644" s="17">
        <v>86812</v>
      </c>
    </row>
    <row r="2645" spans="1:7">
      <c r="A2645" s="1">
        <v>10175</v>
      </c>
      <c r="B2645" s="1" t="s">
        <v>7591</v>
      </c>
      <c r="C2645">
        <f>(1-(B7/100))*1627.2</f>
        <v>1627.2</v>
      </c>
      <c r="D2645" s="1">
        <v>0</v>
      </c>
      <c r="E2645">
        <f>D2645*C2645</f>
        <v>0</v>
      </c>
      <c r="F2645" s="1" t="s">
        <v>7592</v>
      </c>
      <c r="G2645" s="17">
        <v>86827</v>
      </c>
    </row>
    <row r="2646" spans="1:7">
      <c r="A2646" s="1">
        <v>12290</v>
      </c>
      <c r="B2646" s="1" t="s">
        <v>7593</v>
      </c>
      <c r="C2646">
        <f>(1-(B7/100))*1576.71</f>
        <v>1576.71</v>
      </c>
      <c r="D2646" s="1">
        <v>0</v>
      </c>
      <c r="E2646">
        <f>D2646*C2646</f>
        <v>0</v>
      </c>
      <c r="F2646" s="1" t="s">
        <v>7594</v>
      </c>
      <c r="G2646" s="17">
        <v>86832</v>
      </c>
    </row>
    <row r="2647" spans="1:7">
      <c r="A2647" s="1">
        <v>11261</v>
      </c>
      <c r="B2647" s="1" t="s">
        <v>7595</v>
      </c>
      <c r="C2647">
        <f>(1-(B7/100))*1735.68</f>
        <v>1735.68</v>
      </c>
      <c r="D2647" s="1">
        <v>0</v>
      </c>
      <c r="E2647">
        <f>D2647*C2647</f>
        <v>0</v>
      </c>
      <c r="F2647" s="1" t="s">
        <v>7596</v>
      </c>
      <c r="G2647" s="17">
        <v>86833</v>
      </c>
    </row>
    <row r="2648" spans="1:7">
      <c r="A2648" s="1">
        <v>13052</v>
      </c>
      <c r="B2648" s="1" t="s">
        <v>7597</v>
      </c>
      <c r="C2648">
        <f>(1-(B7/100))*1687.58</f>
        <v>1687.58</v>
      </c>
      <c r="D2648" s="1">
        <v>0</v>
      </c>
      <c r="E2648">
        <f>D2648*C2648</f>
        <v>0</v>
      </c>
      <c r="F2648" s="1" t="s">
        <v>7598</v>
      </c>
      <c r="G2648" s="17">
        <v>86837</v>
      </c>
    </row>
    <row r="2649" spans="1:7">
      <c r="A2649" s="1">
        <v>14410</v>
      </c>
      <c r="B2649" s="1" t="s">
        <v>7599</v>
      </c>
      <c r="C2649">
        <f>(1-(B7/100))*1539.55</f>
        <v>1539.55</v>
      </c>
      <c r="D2649" s="1">
        <v>0</v>
      </c>
      <c r="E2649">
        <f>D2649*C2649</f>
        <v>0</v>
      </c>
      <c r="F2649" s="1" t="s">
        <v>7600</v>
      </c>
      <c r="G2649" s="17">
        <v>86838</v>
      </c>
    </row>
    <row r="2650" spans="1:7">
      <c r="A2650" s="1">
        <v>12093</v>
      </c>
      <c r="B2650" s="1" t="s">
        <v>7601</v>
      </c>
      <c r="C2650">
        <f>(1-(B7/100))*660.75</f>
        <v>660.75</v>
      </c>
      <c r="D2650" s="1">
        <v>0</v>
      </c>
      <c r="E2650">
        <f>D2650*C2650</f>
        <v>0</v>
      </c>
      <c r="F2650" s="1" t="s">
        <v>7602</v>
      </c>
      <c r="G2650" s="17">
        <v>86841</v>
      </c>
    </row>
    <row r="2651" spans="1:7">
      <c r="A2651" s="1">
        <v>12095</v>
      </c>
      <c r="B2651" s="1" t="s">
        <v>7603</v>
      </c>
      <c r="C2651">
        <f>(1-(B7/100))*148.98</f>
        <v>148.98</v>
      </c>
      <c r="D2651" s="1">
        <v>0</v>
      </c>
      <c r="E2651">
        <f>D2651*C2651</f>
        <v>0</v>
      </c>
      <c r="F2651" s="1" t="s">
        <v>7604</v>
      </c>
      <c r="G2651" s="17">
        <v>86843</v>
      </c>
    </row>
    <row r="2652" spans="1:7">
      <c r="A2652" s="1" t="s">
        <v>7605</v>
      </c>
      <c r="B2652" s="1" t="s">
        <v>7606</v>
      </c>
      <c r="C2652">
        <f>(1-(B7/100))*283.55</f>
        <v>283.55</v>
      </c>
      <c r="D2652" s="1">
        <v>0</v>
      </c>
      <c r="E2652">
        <f>D2652*C2652</f>
        <v>0</v>
      </c>
      <c r="F2652" s="1" t="s">
        <v>7607</v>
      </c>
      <c r="G2652" s="17">
        <v>87139</v>
      </c>
    </row>
    <row r="2653" spans="1:7">
      <c r="A2653" s="1">
        <v>10894</v>
      </c>
      <c r="B2653" s="1" t="s">
        <v>7608</v>
      </c>
      <c r="C2653">
        <f>(1-(B7/100))*278.98</f>
        <v>278.98</v>
      </c>
      <c r="D2653" s="1">
        <v>0</v>
      </c>
      <c r="E2653">
        <f>D2653*C2653</f>
        <v>0</v>
      </c>
      <c r="F2653" s="1" t="s">
        <v>7609</v>
      </c>
      <c r="G2653" s="17">
        <v>87435</v>
      </c>
    </row>
    <row r="2654" spans="1:7">
      <c r="A2654" s="1">
        <v>10752</v>
      </c>
      <c r="B2654" s="1" t="s">
        <v>7610</v>
      </c>
      <c r="C2654">
        <f>(1-(B7/100))*130.94</f>
        <v>130.94</v>
      </c>
      <c r="D2654" s="1">
        <v>0</v>
      </c>
      <c r="E2654">
        <f>D2654*C2654</f>
        <v>0</v>
      </c>
      <c r="F2654" s="1" t="s">
        <v>7611</v>
      </c>
      <c r="G2654" s="17">
        <v>87439</v>
      </c>
    </row>
    <row r="2655" spans="1:7">
      <c r="A2655" s="1">
        <v>14656</v>
      </c>
      <c r="B2655" s="1" t="s">
        <v>7612</v>
      </c>
      <c r="C2655">
        <f>(1-(B7/100))*1341.27</f>
        <v>1341.27</v>
      </c>
      <c r="D2655" s="1">
        <v>0</v>
      </c>
      <c r="E2655">
        <f>D2655*C2655</f>
        <v>0</v>
      </c>
      <c r="F2655" s="1" t="s">
        <v>7613</v>
      </c>
      <c r="G2655" s="17">
        <v>87440</v>
      </c>
    </row>
    <row r="2656" spans="1:7">
      <c r="A2656" s="1">
        <v>12521</v>
      </c>
      <c r="B2656" s="1" t="s">
        <v>7614</v>
      </c>
      <c r="C2656">
        <f>(1-(B7/100))*957.22</f>
        <v>957.22</v>
      </c>
      <c r="D2656" s="1">
        <v>0</v>
      </c>
      <c r="E2656">
        <f>D2656*C2656</f>
        <v>0</v>
      </c>
      <c r="F2656" s="1" t="s">
        <v>7615</v>
      </c>
      <c r="G2656" s="17">
        <v>87441</v>
      </c>
    </row>
    <row r="2657" spans="1:7">
      <c r="A2657" s="1">
        <v>12102</v>
      </c>
      <c r="B2657" s="1" t="s">
        <v>7616</v>
      </c>
      <c r="C2657">
        <f>(1-(B7/100))*620</f>
        <v>620</v>
      </c>
      <c r="D2657" s="1">
        <v>0</v>
      </c>
      <c r="E2657">
        <f>D2657*C2657</f>
        <v>0</v>
      </c>
      <c r="F2657" s="1" t="s">
        <v>7617</v>
      </c>
      <c r="G2657" s="17">
        <v>87442</v>
      </c>
    </row>
    <row r="2658" spans="1:7">
      <c r="A2658" s="1" t="s">
        <v>7618</v>
      </c>
      <c r="B2658" s="1" t="s">
        <v>7619</v>
      </c>
      <c r="C2658">
        <f>(1-(B7/100))*1493.82</f>
        <v>1493.82</v>
      </c>
      <c r="D2658" s="1">
        <v>0</v>
      </c>
      <c r="E2658">
        <f>D2658*C2658</f>
        <v>0</v>
      </c>
      <c r="F2658" s="1" t="s">
        <v>7620</v>
      </c>
      <c r="G2658" s="17">
        <v>87444</v>
      </c>
    </row>
    <row r="2659" spans="1:7">
      <c r="A2659" s="1">
        <v>12114</v>
      </c>
      <c r="B2659" s="1" t="s">
        <v>7621</v>
      </c>
      <c r="C2659">
        <f>(1-(B7/100))*485.97</f>
        <v>485.97</v>
      </c>
      <c r="D2659" s="1">
        <v>0</v>
      </c>
      <c r="E2659">
        <f>D2659*C2659</f>
        <v>0</v>
      </c>
      <c r="F2659" s="1" t="s">
        <v>7622</v>
      </c>
      <c r="G2659" s="17">
        <v>87446</v>
      </c>
    </row>
    <row r="2660" spans="1:7">
      <c r="A2660" s="1">
        <v>12289</v>
      </c>
      <c r="B2660" s="1" t="s">
        <v>7623</v>
      </c>
      <c r="C2660">
        <f>(1-(B7/100))*1093.74</f>
        <v>1093.74</v>
      </c>
      <c r="D2660" s="1">
        <v>0</v>
      </c>
      <c r="E2660">
        <f>D2660*C2660</f>
        <v>0</v>
      </c>
      <c r="F2660" s="1" t="s">
        <v>7624</v>
      </c>
      <c r="G2660" s="17">
        <v>87484</v>
      </c>
    </row>
    <row r="2661" spans="1:7">
      <c r="A2661" s="16"/>
      <c r="B2661" s="16" t="s">
        <v>7625</v>
      </c>
      <c r="C2661" s="16"/>
      <c r="D2661" s="16"/>
      <c r="E2661" s="16"/>
      <c r="F2661" s="16"/>
    </row>
    <row r="2662" spans="1:7">
      <c r="A2662" s="1" t="s">
        <v>7626</v>
      </c>
      <c r="B2662" s="1" t="s">
        <v>7627</v>
      </c>
      <c r="C2662">
        <f>(1-(B7/100))*23.18</f>
        <v>23.18</v>
      </c>
      <c r="D2662" s="1">
        <v>0</v>
      </c>
      <c r="E2662">
        <f>D2662*C2662</f>
        <v>0</v>
      </c>
      <c r="F2662" s="1" t="s">
        <v>7628</v>
      </c>
      <c r="G2662" s="17">
        <v>65836</v>
      </c>
    </row>
    <row r="2663" spans="1:7">
      <c r="A2663" s="1" t="s">
        <v>7629</v>
      </c>
      <c r="B2663" s="1" t="s">
        <v>7630</v>
      </c>
      <c r="C2663">
        <f>(1-(B7/100))*257.1</f>
        <v>257.1</v>
      </c>
      <c r="D2663" s="1">
        <v>0</v>
      </c>
      <c r="E2663">
        <f>D2663*C2663</f>
        <v>0</v>
      </c>
      <c r="F2663" s="1" t="s">
        <v>7631</v>
      </c>
      <c r="G2663" s="17">
        <v>78659</v>
      </c>
    </row>
    <row r="2664" spans="1:7">
      <c r="A2664" s="1" t="s">
        <v>7632</v>
      </c>
      <c r="B2664" s="1" t="s">
        <v>7633</v>
      </c>
      <c r="C2664">
        <f>(1-(B7/100))*63.94</f>
        <v>63.94</v>
      </c>
      <c r="D2664" s="1">
        <v>0</v>
      </c>
      <c r="E2664">
        <f>D2664*C2664</f>
        <v>0</v>
      </c>
      <c r="F2664" s="1" t="s">
        <v>7634</v>
      </c>
      <c r="G2664" s="17">
        <v>78660</v>
      </c>
    </row>
    <row r="2665" spans="1:7">
      <c r="A2665" s="1" t="s">
        <v>7635</v>
      </c>
      <c r="B2665" s="1" t="s">
        <v>7636</v>
      </c>
      <c r="C2665">
        <f>(1-(B7/100))*361.02</f>
        <v>361.02</v>
      </c>
      <c r="D2665" s="1">
        <v>0</v>
      </c>
      <c r="E2665">
        <f>D2665*C2665</f>
        <v>0</v>
      </c>
      <c r="F2665" s="1" t="s">
        <v>7637</v>
      </c>
      <c r="G2665" s="17">
        <v>78661</v>
      </c>
    </row>
    <row r="2666" spans="1:7">
      <c r="A2666" s="1" t="s">
        <v>7638</v>
      </c>
      <c r="B2666" s="1" t="s">
        <v>7639</v>
      </c>
      <c r="C2666">
        <f>(1-(B7/100))*361.02</f>
        <v>361.02</v>
      </c>
      <c r="D2666" s="1">
        <v>0</v>
      </c>
      <c r="E2666">
        <f>D2666*C2666</f>
        <v>0</v>
      </c>
      <c r="F2666" s="1" t="s">
        <v>7640</v>
      </c>
      <c r="G2666" s="17">
        <v>78662</v>
      </c>
    </row>
    <row r="2667" spans="1:7">
      <c r="A2667" s="1" t="s">
        <v>7641</v>
      </c>
      <c r="B2667" s="1" t="s">
        <v>7642</v>
      </c>
      <c r="C2667">
        <f>(1-(B7/100))*257.86</f>
        <v>257.86</v>
      </c>
      <c r="D2667" s="1">
        <v>0</v>
      </c>
      <c r="E2667">
        <f>D2667*C2667</f>
        <v>0</v>
      </c>
      <c r="F2667" s="1" t="s">
        <v>7643</v>
      </c>
      <c r="G2667" s="17">
        <v>78663</v>
      </c>
    </row>
    <row r="2668" spans="1:7">
      <c r="A2668" s="1" t="s">
        <v>7644</v>
      </c>
      <c r="B2668" s="1" t="s">
        <v>7645</v>
      </c>
      <c r="C2668">
        <f>(1-(B7/100))*1743.47</f>
        <v>1743.47</v>
      </c>
      <c r="D2668" s="1">
        <v>0</v>
      </c>
      <c r="E2668">
        <f>D2668*C2668</f>
        <v>0</v>
      </c>
      <c r="F2668" s="1" t="s">
        <v>7646</v>
      </c>
      <c r="G2668" s="17">
        <v>78664</v>
      </c>
    </row>
    <row r="2669" spans="1:7">
      <c r="A2669" s="1" t="s">
        <v>7647</v>
      </c>
      <c r="B2669" s="1" t="s">
        <v>7648</v>
      </c>
      <c r="C2669">
        <f>(1-(B7/100))*380.76</f>
        <v>380.76</v>
      </c>
      <c r="D2669" s="1">
        <v>0</v>
      </c>
      <c r="E2669">
        <f>D2669*C2669</f>
        <v>0</v>
      </c>
      <c r="F2669" s="1" t="s">
        <v>7649</v>
      </c>
      <c r="G2669" s="17">
        <v>78666</v>
      </c>
    </row>
    <row r="2670" spans="1:7">
      <c r="A2670" s="1" t="s">
        <v>7650</v>
      </c>
      <c r="B2670" s="1" t="s">
        <v>7651</v>
      </c>
      <c r="C2670">
        <f>(1-(B7/100))*225.73</f>
        <v>225.73</v>
      </c>
      <c r="D2670" s="1">
        <v>0</v>
      </c>
      <c r="E2670">
        <f>D2670*C2670</f>
        <v>0</v>
      </c>
      <c r="F2670" s="1" t="s">
        <v>7652</v>
      </c>
      <c r="G2670" s="17">
        <v>78672</v>
      </c>
    </row>
    <row r="2671" spans="1:7">
      <c r="A2671" s="1" t="s">
        <v>7653</v>
      </c>
      <c r="B2671" s="1" t="s">
        <v>7654</v>
      </c>
      <c r="C2671">
        <f>(1-(B7/100))*487.8</f>
        <v>487.8</v>
      </c>
      <c r="D2671" s="1">
        <v>0</v>
      </c>
      <c r="E2671">
        <f>D2671*C2671</f>
        <v>0</v>
      </c>
      <c r="F2671" s="1" t="s">
        <v>7655</v>
      </c>
      <c r="G2671" s="17">
        <v>78675</v>
      </c>
    </row>
    <row r="2672" spans="1:7">
      <c r="A2672" s="1" t="s">
        <v>7656</v>
      </c>
      <c r="B2672" s="1" t="s">
        <v>7657</v>
      </c>
      <c r="C2672">
        <f>(1-(B7/100))*1005.82</f>
        <v>1005.82</v>
      </c>
      <c r="D2672" s="1">
        <v>0</v>
      </c>
      <c r="E2672">
        <f>D2672*C2672</f>
        <v>0</v>
      </c>
      <c r="F2672" s="1" t="s">
        <v>7658</v>
      </c>
      <c r="G2672" s="17">
        <v>78679</v>
      </c>
    </row>
    <row r="2673" spans="1:7">
      <c r="A2673" s="1" t="s">
        <v>7659</v>
      </c>
      <c r="B2673" s="1" t="s">
        <v>7660</v>
      </c>
      <c r="C2673">
        <f>(1-(B7/100))*2635.32</f>
        <v>2635.32</v>
      </c>
      <c r="D2673" s="1">
        <v>0</v>
      </c>
      <c r="E2673">
        <f>D2673*C2673</f>
        <v>0</v>
      </c>
      <c r="F2673" s="1" t="s">
        <v>7661</v>
      </c>
      <c r="G2673" s="17">
        <v>78681</v>
      </c>
    </row>
    <row r="2674" spans="1:7">
      <c r="A2674" s="1" t="s">
        <v>7662</v>
      </c>
      <c r="B2674" s="1" t="s">
        <v>7663</v>
      </c>
      <c r="C2674">
        <f>(1-(B7/100))*39.92</f>
        <v>39.92</v>
      </c>
      <c r="D2674" s="1">
        <v>0</v>
      </c>
      <c r="E2674">
        <f>D2674*C2674</f>
        <v>0</v>
      </c>
      <c r="F2674" s="1" t="s">
        <v>7664</v>
      </c>
      <c r="G2674" s="17">
        <v>78685</v>
      </c>
    </row>
    <row r="2675" spans="1:7">
      <c r="A2675" s="1" t="s">
        <v>7665</v>
      </c>
      <c r="B2675" s="1" t="s">
        <v>7666</v>
      </c>
      <c r="C2675">
        <f>(1-(B7/100))*328.64</f>
        <v>328.64</v>
      </c>
      <c r="D2675" s="1">
        <v>0</v>
      </c>
      <c r="E2675">
        <f>D2675*C2675</f>
        <v>0</v>
      </c>
      <c r="F2675" s="1" t="s">
        <v>7667</v>
      </c>
      <c r="G2675" s="17">
        <v>78687</v>
      </c>
    </row>
    <row r="2676" spans="1:7">
      <c r="A2676" s="1" t="s">
        <v>7668</v>
      </c>
      <c r="B2676" s="1" t="s">
        <v>7669</v>
      </c>
      <c r="C2676">
        <f>(1-(B7/100))*531.91</f>
        <v>531.91</v>
      </c>
      <c r="D2676" s="1">
        <v>0</v>
      </c>
      <c r="E2676">
        <f>D2676*C2676</f>
        <v>0</v>
      </c>
      <c r="F2676" s="1" t="s">
        <v>7670</v>
      </c>
      <c r="G2676" s="17">
        <v>78693</v>
      </c>
    </row>
    <row r="2677" spans="1:7">
      <c r="A2677" s="1" t="s">
        <v>7671</v>
      </c>
      <c r="B2677" s="1" t="s">
        <v>7672</v>
      </c>
      <c r="C2677">
        <f>(1-(B7/100))*531.91</f>
        <v>531.91</v>
      </c>
      <c r="D2677" s="1">
        <v>0</v>
      </c>
      <c r="E2677">
        <f>D2677*C2677</f>
        <v>0</v>
      </c>
      <c r="F2677" s="1" t="s">
        <v>7673</v>
      </c>
      <c r="G2677" s="17">
        <v>78694</v>
      </c>
    </row>
    <row r="2678" spans="1:7">
      <c r="A2678" s="1" t="s">
        <v>7674</v>
      </c>
      <c r="B2678" s="1" t="s">
        <v>7675</v>
      </c>
      <c r="C2678">
        <f>(1-(B7/100))*965.13</f>
        <v>965.13</v>
      </c>
      <c r="D2678" s="1">
        <v>0</v>
      </c>
      <c r="E2678">
        <f>D2678*C2678</f>
        <v>0</v>
      </c>
      <c r="F2678" s="1" t="s">
        <v>7676</v>
      </c>
      <c r="G2678" s="17">
        <v>78700</v>
      </c>
    </row>
    <row r="2679" spans="1:7">
      <c r="A2679" s="1" t="s">
        <v>7677</v>
      </c>
      <c r="B2679" s="1" t="s">
        <v>7678</v>
      </c>
      <c r="C2679">
        <f>(1-(B7/100))*337.74</f>
        <v>337.74</v>
      </c>
      <c r="D2679" s="1">
        <v>0</v>
      </c>
      <c r="E2679">
        <f>D2679*C2679</f>
        <v>0</v>
      </c>
      <c r="F2679" s="1" t="s">
        <v>7679</v>
      </c>
      <c r="G2679" s="17">
        <v>78705</v>
      </c>
    </row>
    <row r="2680" spans="1:7">
      <c r="A2680" s="1" t="s">
        <v>7680</v>
      </c>
      <c r="B2680" s="1" t="s">
        <v>7681</v>
      </c>
      <c r="C2680">
        <f>(1-(B7/100))*160.4</f>
        <v>160.4</v>
      </c>
      <c r="D2680" s="1">
        <v>0</v>
      </c>
      <c r="E2680">
        <f>D2680*C2680</f>
        <v>0</v>
      </c>
      <c r="F2680" s="1" t="s">
        <v>7682</v>
      </c>
      <c r="G2680" s="17">
        <v>78709</v>
      </c>
    </row>
    <row r="2681" spans="1:7">
      <c r="A2681" s="16"/>
      <c r="B2681" s="16" t="s">
        <v>7683</v>
      </c>
      <c r="C2681" s="16"/>
      <c r="D2681" s="16"/>
      <c r="E2681" s="16"/>
      <c r="F2681" s="16"/>
    </row>
    <row r="2682" spans="1:7">
      <c r="A2682" s="1" t="s">
        <v>7684</v>
      </c>
      <c r="B2682" s="1" t="s">
        <v>7685</v>
      </c>
      <c r="C2682">
        <f>(1-(B7/100))*212.78</f>
        <v>212.78</v>
      </c>
      <c r="D2682" s="1">
        <v>0</v>
      </c>
      <c r="E2682">
        <f>D2682*C2682</f>
        <v>0</v>
      </c>
      <c r="F2682" s="1" t="s">
        <v>7686</v>
      </c>
      <c r="G2682" s="17">
        <v>62985</v>
      </c>
    </row>
    <row r="2683" spans="1:7">
      <c r="A2683" s="1" t="s">
        <v>7687</v>
      </c>
      <c r="B2683" s="1" t="s">
        <v>7688</v>
      </c>
      <c r="C2683">
        <f>(1-(B7/100))*30.56</f>
        <v>30.56</v>
      </c>
      <c r="D2683" s="1">
        <v>0</v>
      </c>
      <c r="E2683">
        <f>D2683*C2683</f>
        <v>0</v>
      </c>
      <c r="F2683" s="1" t="s">
        <v>7689</v>
      </c>
      <c r="G2683" s="17">
        <v>63078</v>
      </c>
    </row>
    <row r="2684" spans="1:7">
      <c r="A2684" s="1" t="s">
        <v>7690</v>
      </c>
      <c r="B2684" s="1" t="s">
        <v>7691</v>
      </c>
      <c r="C2684">
        <f>(1-(B7/100))*202.97</f>
        <v>202.97</v>
      </c>
      <c r="D2684" s="1">
        <v>0</v>
      </c>
      <c r="E2684">
        <f>D2684*C2684</f>
        <v>0</v>
      </c>
      <c r="F2684" s="1" t="s">
        <v>7692</v>
      </c>
      <c r="G2684" s="17">
        <v>63118</v>
      </c>
    </row>
    <row r="2685" spans="1:7">
      <c r="A2685" s="1" t="s">
        <v>7693</v>
      </c>
      <c r="B2685" s="1" t="s">
        <v>7694</v>
      </c>
      <c r="C2685">
        <f>(1-(B7/100))*3945.55</f>
        <v>3945.55</v>
      </c>
      <c r="D2685" s="1">
        <v>0</v>
      </c>
      <c r="E2685">
        <f>D2685*C2685</f>
        <v>0</v>
      </c>
      <c r="F2685" s="1" t="s">
        <v>7695</v>
      </c>
      <c r="G2685" s="17">
        <v>63132</v>
      </c>
    </row>
    <row r="2686" spans="1:7">
      <c r="A2686" s="1" t="s">
        <v>7696</v>
      </c>
      <c r="B2686" s="1" t="s">
        <v>7697</v>
      </c>
      <c r="C2686">
        <f>(1-(B7/100))*3582.15</f>
        <v>3582.15</v>
      </c>
      <c r="D2686" s="1">
        <v>0</v>
      </c>
      <c r="E2686">
        <f>D2686*C2686</f>
        <v>0</v>
      </c>
      <c r="F2686" s="1" t="s">
        <v>7698</v>
      </c>
      <c r="G2686" s="17">
        <v>63237</v>
      </c>
    </row>
    <row r="2687" spans="1:7">
      <c r="A2687" s="1" t="s">
        <v>7699</v>
      </c>
      <c r="B2687" s="1" t="s">
        <v>7700</v>
      </c>
      <c r="C2687">
        <f>(1-(B7/100))*1914.83</f>
        <v>1914.83</v>
      </c>
      <c r="D2687" s="1">
        <v>0</v>
      </c>
      <c r="E2687">
        <f>D2687*C2687</f>
        <v>0</v>
      </c>
      <c r="F2687" s="1" t="s">
        <v>7701</v>
      </c>
      <c r="G2687" s="17">
        <v>63262</v>
      </c>
    </row>
    <row r="2688" spans="1:7">
      <c r="A2688" s="1" t="s">
        <v>7702</v>
      </c>
      <c r="B2688" s="1" t="s">
        <v>7703</v>
      </c>
      <c r="C2688">
        <f>(1-(B7/100))*2192.58</f>
        <v>2192.58</v>
      </c>
      <c r="D2688" s="1">
        <v>0</v>
      </c>
      <c r="E2688">
        <f>D2688*C2688</f>
        <v>0</v>
      </c>
      <c r="F2688" s="1" t="s">
        <v>7704</v>
      </c>
      <c r="G2688" s="17">
        <v>63263</v>
      </c>
    </row>
    <row r="2689" spans="1:7">
      <c r="A2689" s="1" t="s">
        <v>7705</v>
      </c>
      <c r="B2689" s="1" t="s">
        <v>7706</v>
      </c>
      <c r="C2689">
        <f>(1-(B7/100))*2283.24</f>
        <v>2283.24</v>
      </c>
      <c r="D2689" s="1">
        <v>0</v>
      </c>
      <c r="E2689">
        <f>D2689*C2689</f>
        <v>0</v>
      </c>
      <c r="F2689" s="1" t="s">
        <v>7707</v>
      </c>
      <c r="G2689" s="17">
        <v>63264</v>
      </c>
    </row>
    <row r="2690" spans="1:7">
      <c r="A2690" s="1" t="s">
        <v>7708</v>
      </c>
      <c r="B2690" s="1" t="s">
        <v>7709</v>
      </c>
      <c r="C2690">
        <f>(1-(B7/100))*2393.55</f>
        <v>2393.55</v>
      </c>
      <c r="D2690" s="1">
        <v>0</v>
      </c>
      <c r="E2690">
        <f>D2690*C2690</f>
        <v>0</v>
      </c>
      <c r="F2690" s="1" t="s">
        <v>7710</v>
      </c>
      <c r="G2690" s="17">
        <v>63265</v>
      </c>
    </row>
    <row r="2691" spans="1:7">
      <c r="A2691" s="1" t="s">
        <v>7711</v>
      </c>
      <c r="B2691" s="1" t="s">
        <v>7712</v>
      </c>
      <c r="C2691">
        <f>(1-(B7/100))*2191.83</f>
        <v>2191.83</v>
      </c>
      <c r="D2691" s="1">
        <v>0</v>
      </c>
      <c r="E2691">
        <f>D2691*C2691</f>
        <v>0</v>
      </c>
      <c r="F2691" s="1" t="s">
        <v>7713</v>
      </c>
      <c r="G2691" s="17">
        <v>63267</v>
      </c>
    </row>
    <row r="2692" spans="1:7">
      <c r="A2692" s="1" t="s">
        <v>7714</v>
      </c>
      <c r="B2692" s="1" t="s">
        <v>7715</v>
      </c>
      <c r="C2692">
        <f>(1-(B7/100))*2263.74</f>
        <v>2263.74</v>
      </c>
      <c r="D2692" s="1">
        <v>0</v>
      </c>
      <c r="E2692">
        <f>D2692*C2692</f>
        <v>0</v>
      </c>
      <c r="F2692" s="1" t="s">
        <v>7716</v>
      </c>
      <c r="G2692" s="17">
        <v>63268</v>
      </c>
    </row>
    <row r="2693" spans="1:7">
      <c r="A2693" s="1" t="s">
        <v>7717</v>
      </c>
      <c r="B2693" s="1" t="s">
        <v>7718</v>
      </c>
      <c r="C2693">
        <f>(1-(B7/100))*315.32</f>
        <v>315.32</v>
      </c>
      <c r="D2693" s="1">
        <v>0</v>
      </c>
      <c r="E2693">
        <f>D2693*C2693</f>
        <v>0</v>
      </c>
      <c r="F2693" s="1" t="s">
        <v>7719</v>
      </c>
      <c r="G2693" s="17">
        <v>63271</v>
      </c>
    </row>
    <row r="2694" spans="1:7">
      <c r="A2694" s="1" t="s">
        <v>7720</v>
      </c>
      <c r="B2694" s="1" t="s">
        <v>7721</v>
      </c>
      <c r="C2694">
        <f>(1-(B7/100))*315.32</f>
        <v>315.32</v>
      </c>
      <c r="D2694" s="1">
        <v>0</v>
      </c>
      <c r="E2694">
        <f>D2694*C2694</f>
        <v>0</v>
      </c>
      <c r="F2694" s="1" t="s">
        <v>7722</v>
      </c>
      <c r="G2694" s="17">
        <v>63272</v>
      </c>
    </row>
    <row r="2695" spans="1:7">
      <c r="A2695" s="1" t="s">
        <v>7723</v>
      </c>
      <c r="B2695" s="1" t="s">
        <v>7724</v>
      </c>
      <c r="C2695">
        <f>(1-(B7/100))*899.99</f>
        <v>899.99</v>
      </c>
      <c r="D2695" s="1">
        <v>0</v>
      </c>
      <c r="E2695">
        <f>D2695*C2695</f>
        <v>0</v>
      </c>
      <c r="F2695" s="1" t="s">
        <v>7725</v>
      </c>
      <c r="G2695" s="17">
        <v>63277</v>
      </c>
    </row>
    <row r="2696" spans="1:7">
      <c r="A2696" s="1" t="s">
        <v>7726</v>
      </c>
      <c r="B2696" s="1" t="s">
        <v>7727</v>
      </c>
      <c r="C2696">
        <f>(1-(B7/100))*506.77</f>
        <v>506.77</v>
      </c>
      <c r="D2696" s="1">
        <v>0</v>
      </c>
      <c r="E2696">
        <f>D2696*C2696</f>
        <v>0</v>
      </c>
      <c r="F2696" s="1" t="s">
        <v>7728</v>
      </c>
      <c r="G2696" s="17">
        <v>63317</v>
      </c>
    </row>
    <row r="2697" spans="1:7">
      <c r="A2697" s="1" t="s">
        <v>7729</v>
      </c>
      <c r="B2697" s="1" t="s">
        <v>7730</v>
      </c>
      <c r="C2697">
        <f>(1-(B7/100))*506.77</f>
        <v>506.77</v>
      </c>
      <c r="D2697" s="1">
        <v>0</v>
      </c>
      <c r="E2697">
        <f>D2697*C2697</f>
        <v>0</v>
      </c>
      <c r="F2697" s="1" t="s">
        <v>7731</v>
      </c>
      <c r="G2697" s="17">
        <v>63318</v>
      </c>
    </row>
    <row r="2698" spans="1:7">
      <c r="A2698" s="1" t="s">
        <v>7732</v>
      </c>
      <c r="B2698" s="1" t="s">
        <v>7733</v>
      </c>
      <c r="C2698">
        <f>(1-(B7/100))*385.68</f>
        <v>385.68</v>
      </c>
      <c r="D2698" s="1">
        <v>0</v>
      </c>
      <c r="E2698">
        <f>D2698*C2698</f>
        <v>0</v>
      </c>
      <c r="F2698" s="1" t="s">
        <v>7734</v>
      </c>
      <c r="G2698" s="17">
        <v>63319</v>
      </c>
    </row>
    <row r="2699" spans="1:7">
      <c r="A2699" s="1" t="s">
        <v>7735</v>
      </c>
      <c r="B2699" s="1" t="s">
        <v>7736</v>
      </c>
      <c r="C2699">
        <f>(1-(B7/100))*385.68</f>
        <v>385.68</v>
      </c>
      <c r="D2699" s="1">
        <v>0</v>
      </c>
      <c r="E2699">
        <f>D2699*C2699</f>
        <v>0</v>
      </c>
      <c r="F2699" s="1" t="s">
        <v>7737</v>
      </c>
      <c r="G2699" s="17">
        <v>63320</v>
      </c>
    </row>
    <row r="2700" spans="1:7">
      <c r="A2700" s="1" t="s">
        <v>7738</v>
      </c>
      <c r="B2700" s="1" t="s">
        <v>7739</v>
      </c>
      <c r="C2700">
        <f>(1-(B7/100))*385.68</f>
        <v>385.68</v>
      </c>
      <c r="D2700" s="1">
        <v>0</v>
      </c>
      <c r="E2700">
        <f>D2700*C2700</f>
        <v>0</v>
      </c>
      <c r="F2700" s="1" t="s">
        <v>7740</v>
      </c>
      <c r="G2700" s="17">
        <v>63321</v>
      </c>
    </row>
    <row r="2701" spans="1:7">
      <c r="A2701" s="1" t="s">
        <v>7741</v>
      </c>
      <c r="B2701" s="1" t="s">
        <v>7742</v>
      </c>
      <c r="C2701">
        <f>(1-(B7/100))*1041.64</f>
        <v>1041.64</v>
      </c>
      <c r="D2701" s="1">
        <v>0</v>
      </c>
      <c r="E2701">
        <f>D2701*C2701</f>
        <v>0</v>
      </c>
      <c r="F2701" s="1" t="s">
        <v>7743</v>
      </c>
      <c r="G2701" s="17">
        <v>63324</v>
      </c>
    </row>
    <row r="2702" spans="1:7">
      <c r="A2702" s="1">
        <v>16102257</v>
      </c>
      <c r="B2702" s="1" t="s">
        <v>7744</v>
      </c>
      <c r="C2702">
        <f>(1-(B7/100))*1282.98</f>
        <v>1282.98</v>
      </c>
      <c r="D2702" s="1">
        <v>0</v>
      </c>
      <c r="E2702">
        <f>D2702*C2702</f>
        <v>0</v>
      </c>
      <c r="F2702" s="1" t="s">
        <v>7745</v>
      </c>
      <c r="G2702" s="17">
        <v>63417</v>
      </c>
    </row>
    <row r="2703" spans="1:7">
      <c r="A2703" s="1">
        <v>10004915</v>
      </c>
      <c r="B2703" s="1" t="s">
        <v>7746</v>
      </c>
      <c r="C2703">
        <f>(1-(B7/100))*559.98</f>
        <v>559.98</v>
      </c>
      <c r="D2703" s="1">
        <v>0</v>
      </c>
      <c r="E2703">
        <f>D2703*C2703</f>
        <v>0</v>
      </c>
      <c r="F2703" s="1" t="s">
        <v>7747</v>
      </c>
      <c r="G2703" s="17">
        <v>63421</v>
      </c>
    </row>
    <row r="2704" spans="1:7">
      <c r="A2704" s="1">
        <v>10045298</v>
      </c>
      <c r="B2704" s="1" t="s">
        <v>7748</v>
      </c>
      <c r="C2704">
        <f>(1-(B7/100))*139.64</f>
        <v>139.64</v>
      </c>
      <c r="D2704" s="1">
        <v>0</v>
      </c>
      <c r="E2704">
        <f>D2704*C2704</f>
        <v>0</v>
      </c>
      <c r="F2704" s="1" t="s">
        <v>7749</v>
      </c>
      <c r="G2704" s="17">
        <v>63427</v>
      </c>
    </row>
    <row r="2705" spans="1:7">
      <c r="A2705" s="1" t="s">
        <v>7750</v>
      </c>
      <c r="B2705" s="1" t="s">
        <v>7751</v>
      </c>
      <c r="C2705">
        <f>(1-(B7/100))*1995.71</f>
        <v>1995.71</v>
      </c>
      <c r="D2705" s="1">
        <v>0</v>
      </c>
      <c r="E2705">
        <f>D2705*C2705</f>
        <v>0</v>
      </c>
      <c r="F2705" s="1" t="s">
        <v>7752</v>
      </c>
      <c r="G2705" s="17">
        <v>63499</v>
      </c>
    </row>
    <row r="2706" spans="1:7">
      <c r="A2706" s="1" t="s">
        <v>7753</v>
      </c>
      <c r="B2706" s="1" t="s">
        <v>7754</v>
      </c>
      <c r="C2706">
        <f>(1-(B7/100))*3383.03</f>
        <v>3383.03</v>
      </c>
      <c r="D2706" s="1">
        <v>0</v>
      </c>
      <c r="E2706">
        <f>D2706*C2706</f>
        <v>0</v>
      </c>
      <c r="F2706" s="1" t="s">
        <v>7755</v>
      </c>
      <c r="G2706" s="17">
        <v>63519</v>
      </c>
    </row>
    <row r="2707" spans="1:7">
      <c r="A2707" s="1" t="s">
        <v>7756</v>
      </c>
      <c r="B2707" s="1" t="s">
        <v>7757</v>
      </c>
      <c r="C2707">
        <f>(1-(B7/100))*2047.74</f>
        <v>2047.74</v>
      </c>
      <c r="D2707" s="1">
        <v>0</v>
      </c>
      <c r="E2707">
        <f>D2707*C2707</f>
        <v>0</v>
      </c>
      <c r="F2707" s="1" t="s">
        <v>7758</v>
      </c>
      <c r="G2707" s="17">
        <v>63557</v>
      </c>
    </row>
    <row r="2708" spans="1:7">
      <c r="A2708" s="1" t="s">
        <v>7759</v>
      </c>
      <c r="B2708" s="1" t="s">
        <v>7760</v>
      </c>
      <c r="C2708">
        <f>(1-(B7/100))*113.99</f>
        <v>113.99</v>
      </c>
      <c r="D2708" s="1">
        <v>0</v>
      </c>
      <c r="E2708">
        <f>D2708*C2708</f>
        <v>0</v>
      </c>
      <c r="F2708" s="1" t="s">
        <v>7761</v>
      </c>
      <c r="G2708" s="17">
        <v>63558</v>
      </c>
    </row>
    <row r="2709" spans="1:7">
      <c r="A2709" s="1" t="s">
        <v>7762</v>
      </c>
      <c r="B2709" s="1" t="s">
        <v>7763</v>
      </c>
      <c r="C2709">
        <f>(1-(B7/100))*2477.51</f>
        <v>2477.51</v>
      </c>
      <c r="D2709" s="1">
        <v>0</v>
      </c>
      <c r="E2709">
        <f>D2709*C2709</f>
        <v>0</v>
      </c>
      <c r="F2709" s="1" t="s">
        <v>7764</v>
      </c>
      <c r="G2709" s="17">
        <v>63561</v>
      </c>
    </row>
    <row r="2710" spans="1:7">
      <c r="A2710" s="1" t="s">
        <v>7765</v>
      </c>
      <c r="B2710" s="1" t="s">
        <v>7766</v>
      </c>
      <c r="C2710">
        <f>(1-(B7/100))*3475.4</f>
        <v>3475.4</v>
      </c>
      <c r="D2710" s="1">
        <v>0</v>
      </c>
      <c r="E2710">
        <f>D2710*C2710</f>
        <v>0</v>
      </c>
      <c r="F2710" s="1" t="s">
        <v>7767</v>
      </c>
      <c r="G2710" s="17">
        <v>63562</v>
      </c>
    </row>
    <row r="2711" spans="1:7">
      <c r="A2711" s="1" t="s">
        <v>7768</v>
      </c>
      <c r="B2711" s="1" t="s">
        <v>7769</v>
      </c>
      <c r="C2711">
        <f>(1-(B7/100))*3556.79</f>
        <v>3556.79</v>
      </c>
      <c r="D2711" s="1">
        <v>0</v>
      </c>
      <c r="E2711">
        <f>D2711*C2711</f>
        <v>0</v>
      </c>
      <c r="F2711" s="1" t="s">
        <v>7770</v>
      </c>
      <c r="G2711" s="17">
        <v>63618</v>
      </c>
    </row>
    <row r="2712" spans="1:7">
      <c r="A2712" s="1" t="s">
        <v>7771</v>
      </c>
      <c r="B2712" s="1" t="s">
        <v>7772</v>
      </c>
      <c r="C2712">
        <f>(1-(B7/100))*828.81</f>
        <v>828.81</v>
      </c>
      <c r="D2712" s="1">
        <v>0</v>
      </c>
      <c r="E2712">
        <f>D2712*C2712</f>
        <v>0</v>
      </c>
      <c r="F2712" s="1" t="s">
        <v>7773</v>
      </c>
      <c r="G2712" s="17">
        <v>63720</v>
      </c>
    </row>
    <row r="2713" spans="1:7">
      <c r="A2713" s="1" t="s">
        <v>7774</v>
      </c>
      <c r="B2713" s="1" t="s">
        <v>7775</v>
      </c>
      <c r="C2713">
        <f>(1-(B7/100))*2690.23</f>
        <v>2690.23</v>
      </c>
      <c r="D2713" s="1">
        <v>0</v>
      </c>
      <c r="E2713">
        <f>D2713*C2713</f>
        <v>0</v>
      </c>
      <c r="F2713" s="1" t="s">
        <v>7776</v>
      </c>
      <c r="G2713" s="17">
        <v>63797</v>
      </c>
    </row>
    <row r="2714" spans="1:7">
      <c r="A2714" s="1" t="s">
        <v>7777</v>
      </c>
      <c r="B2714" s="1" t="s">
        <v>7778</v>
      </c>
      <c r="C2714">
        <f>(1-(B7/100))*350</f>
        <v>350</v>
      </c>
      <c r="D2714" s="1">
        <v>0</v>
      </c>
      <c r="E2714">
        <f>D2714*C2714</f>
        <v>0</v>
      </c>
      <c r="F2714" s="1" t="s">
        <v>7779</v>
      </c>
      <c r="G2714" s="17">
        <v>63821</v>
      </c>
    </row>
    <row r="2715" spans="1:7">
      <c r="A2715" s="1" t="s">
        <v>7780</v>
      </c>
      <c r="B2715" s="1" t="s">
        <v>7781</v>
      </c>
      <c r="C2715">
        <f>(1-(B7/100))*296.72</f>
        <v>296.72</v>
      </c>
      <c r="D2715" s="1">
        <v>0</v>
      </c>
      <c r="E2715">
        <f>D2715*C2715</f>
        <v>0</v>
      </c>
      <c r="F2715" s="1" t="s">
        <v>7782</v>
      </c>
      <c r="G2715" s="17">
        <v>64039</v>
      </c>
    </row>
    <row r="2716" spans="1:7">
      <c r="A2716" s="1" t="s">
        <v>7783</v>
      </c>
      <c r="B2716" s="1" t="s">
        <v>7784</v>
      </c>
      <c r="C2716">
        <f>(1-(B7/100))*1204.62</f>
        <v>1204.62</v>
      </c>
      <c r="D2716" s="1">
        <v>0</v>
      </c>
      <c r="E2716">
        <f>D2716*C2716</f>
        <v>0</v>
      </c>
      <c r="F2716" s="1" t="s">
        <v>16</v>
      </c>
      <c r="G2716" s="17">
        <v>64141</v>
      </c>
    </row>
    <row r="2717" spans="1:7">
      <c r="A2717" s="1">
        <v>16104667</v>
      </c>
      <c r="B2717" s="1" t="s">
        <v>7785</v>
      </c>
      <c r="C2717">
        <f>(1-(B7/100))*1502.75</f>
        <v>1502.75</v>
      </c>
      <c r="D2717" s="1">
        <v>0</v>
      </c>
      <c r="E2717">
        <f>D2717*C2717</f>
        <v>0</v>
      </c>
      <c r="F2717" s="1" t="s">
        <v>7786</v>
      </c>
      <c r="G2717" s="17">
        <v>64222</v>
      </c>
    </row>
    <row r="2718" spans="1:7">
      <c r="A2718" s="1">
        <v>10045571</v>
      </c>
      <c r="B2718" s="1" t="s">
        <v>7787</v>
      </c>
      <c r="C2718">
        <f>(1-(B7/100))*572.51</f>
        <v>572.51</v>
      </c>
      <c r="D2718" s="1">
        <v>0</v>
      </c>
      <c r="E2718">
        <f>D2718*C2718</f>
        <v>0</v>
      </c>
      <c r="F2718" s="1" t="s">
        <v>7788</v>
      </c>
      <c r="G2718" s="17">
        <v>64223</v>
      </c>
    </row>
    <row r="2719" spans="1:7">
      <c r="A2719" s="1" t="s">
        <v>7789</v>
      </c>
      <c r="B2719" s="1" t="s">
        <v>7790</v>
      </c>
      <c r="C2719">
        <f>(1-(B7/100))*1815.25</f>
        <v>1815.25</v>
      </c>
      <c r="D2719" s="1">
        <v>0</v>
      </c>
      <c r="E2719">
        <f>D2719*C2719</f>
        <v>0</v>
      </c>
      <c r="F2719" s="1" t="s">
        <v>7791</v>
      </c>
      <c r="G2719" s="17">
        <v>64274</v>
      </c>
    </row>
    <row r="2720" spans="1:7">
      <c r="A2720" s="1" t="s">
        <v>7792</v>
      </c>
      <c r="B2720" s="1" t="s">
        <v>7793</v>
      </c>
      <c r="C2720">
        <f>(1-(B7/100))*21.86</f>
        <v>21.86</v>
      </c>
      <c r="D2720" s="1">
        <v>0</v>
      </c>
      <c r="E2720">
        <f>D2720*C2720</f>
        <v>0</v>
      </c>
      <c r="F2720" s="1" t="s">
        <v>7794</v>
      </c>
      <c r="G2720" s="17">
        <v>64279</v>
      </c>
    </row>
    <row r="2721" spans="1:7">
      <c r="A2721" s="1" t="s">
        <v>7795</v>
      </c>
      <c r="B2721" s="1" t="s">
        <v>7796</v>
      </c>
      <c r="C2721">
        <f>(1-(B7/100))*1150.88</f>
        <v>1150.88</v>
      </c>
      <c r="D2721" s="1">
        <v>0</v>
      </c>
      <c r="E2721">
        <f>D2721*C2721</f>
        <v>0</v>
      </c>
      <c r="F2721" s="1" t="s">
        <v>7797</v>
      </c>
      <c r="G2721" s="17">
        <v>64331</v>
      </c>
    </row>
    <row r="2722" spans="1:7">
      <c r="A2722" s="1" t="s">
        <v>7798</v>
      </c>
      <c r="B2722" s="1" t="s">
        <v>7799</v>
      </c>
      <c r="C2722">
        <f>(1-(B7/100))*926.43</f>
        <v>926.43</v>
      </c>
      <c r="D2722" s="1">
        <v>0</v>
      </c>
      <c r="E2722">
        <f>D2722*C2722</f>
        <v>0</v>
      </c>
      <c r="F2722" s="1" t="s">
        <v>7800</v>
      </c>
      <c r="G2722" s="17">
        <v>64332</v>
      </c>
    </row>
    <row r="2723" spans="1:7">
      <c r="A2723" s="1" t="s">
        <v>7801</v>
      </c>
      <c r="B2723" s="1" t="s">
        <v>7802</v>
      </c>
      <c r="C2723">
        <f>(1-(B7/100))*461.91</f>
        <v>461.91</v>
      </c>
      <c r="D2723" s="1">
        <v>0</v>
      </c>
      <c r="E2723">
        <f>D2723*C2723</f>
        <v>0</v>
      </c>
      <c r="F2723" s="1" t="s">
        <v>7803</v>
      </c>
      <c r="G2723" s="17">
        <v>64348</v>
      </c>
    </row>
    <row r="2724" spans="1:7">
      <c r="A2724" s="1" t="s">
        <v>7804</v>
      </c>
      <c r="B2724" s="1" t="s">
        <v>7805</v>
      </c>
      <c r="C2724">
        <f>(1-(B7/100))*506.77</f>
        <v>506.77</v>
      </c>
      <c r="D2724" s="1">
        <v>0</v>
      </c>
      <c r="E2724">
        <f>D2724*C2724</f>
        <v>0</v>
      </c>
      <c r="F2724" s="1" t="s">
        <v>7806</v>
      </c>
      <c r="G2724" s="17">
        <v>64444</v>
      </c>
    </row>
    <row r="2725" spans="1:7">
      <c r="A2725" s="1" t="s">
        <v>7807</v>
      </c>
      <c r="B2725" s="1" t="s">
        <v>7808</v>
      </c>
      <c r="C2725">
        <f>(1-(B7/100))*363.34</f>
        <v>363.34</v>
      </c>
      <c r="D2725" s="1">
        <v>0</v>
      </c>
      <c r="E2725">
        <f>D2725*C2725</f>
        <v>0</v>
      </c>
      <c r="F2725" s="1" t="s">
        <v>7809</v>
      </c>
      <c r="G2725" s="17">
        <v>64500</v>
      </c>
    </row>
    <row r="2726" spans="1:7">
      <c r="A2726" s="1" t="s">
        <v>7810</v>
      </c>
      <c r="B2726" s="1" t="s">
        <v>7811</v>
      </c>
      <c r="C2726">
        <f>(1-(B7/100))*773.75</f>
        <v>773.75</v>
      </c>
      <c r="D2726" s="1">
        <v>0</v>
      </c>
      <c r="E2726">
        <f>D2726*C2726</f>
        <v>0</v>
      </c>
      <c r="F2726" s="1" t="s">
        <v>7812</v>
      </c>
      <c r="G2726" s="17">
        <v>64559</v>
      </c>
    </row>
    <row r="2727" spans="1:7">
      <c r="A2727" s="1" t="s">
        <v>7813</v>
      </c>
      <c r="B2727" s="1" t="s">
        <v>7814</v>
      </c>
      <c r="C2727">
        <f>(1-(B7/100))*672.21</f>
        <v>672.21</v>
      </c>
      <c r="D2727" s="1">
        <v>0</v>
      </c>
      <c r="E2727">
        <f>D2727*C2727</f>
        <v>0</v>
      </c>
      <c r="F2727" s="1" t="s">
        <v>7815</v>
      </c>
      <c r="G2727" s="17">
        <v>64781</v>
      </c>
    </row>
    <row r="2728" spans="1:7">
      <c r="A2728" s="1" t="s">
        <v>7816</v>
      </c>
      <c r="B2728" s="1" t="s">
        <v>7817</v>
      </c>
      <c r="C2728">
        <f>(1-(B7/100))*197.33</f>
        <v>197.33</v>
      </c>
      <c r="D2728" s="1">
        <v>0</v>
      </c>
      <c r="E2728">
        <f>D2728*C2728</f>
        <v>0</v>
      </c>
      <c r="F2728" s="1" t="s">
        <v>7818</v>
      </c>
      <c r="G2728" s="17">
        <v>64819</v>
      </c>
    </row>
    <row r="2729" spans="1:7">
      <c r="A2729" s="1" t="s">
        <v>7819</v>
      </c>
      <c r="B2729" s="1" t="s">
        <v>7820</v>
      </c>
      <c r="C2729">
        <f>(1-(B7/100))*879.18</f>
        <v>879.18</v>
      </c>
      <c r="D2729" s="1">
        <v>0</v>
      </c>
      <c r="E2729">
        <f>D2729*C2729</f>
        <v>0</v>
      </c>
      <c r="F2729" s="1" t="s">
        <v>7821</v>
      </c>
      <c r="G2729" s="17">
        <v>64864</v>
      </c>
    </row>
    <row r="2730" spans="1:7">
      <c r="A2730" s="1" t="s">
        <v>7822</v>
      </c>
      <c r="B2730" s="1" t="s">
        <v>7823</v>
      </c>
      <c r="C2730">
        <f>(1-(B7/100))*17.01</f>
        <v>17.01</v>
      </c>
      <c r="D2730" s="1">
        <v>0</v>
      </c>
      <c r="E2730">
        <f>D2730*C2730</f>
        <v>0</v>
      </c>
      <c r="F2730" s="1" t="s">
        <v>7824</v>
      </c>
      <c r="G2730" s="17">
        <v>64982</v>
      </c>
    </row>
    <row r="2731" spans="1:7">
      <c r="A2731" s="1" t="s">
        <v>7825</v>
      </c>
      <c r="B2731" s="1" t="s">
        <v>7826</v>
      </c>
      <c r="C2731">
        <f>(1-(B7/100))*83.27</f>
        <v>83.27</v>
      </c>
      <c r="D2731" s="1">
        <v>0</v>
      </c>
      <c r="E2731">
        <f>D2731*C2731</f>
        <v>0</v>
      </c>
      <c r="F2731" s="1" t="s">
        <v>7827</v>
      </c>
      <c r="G2731" s="17">
        <v>65017</v>
      </c>
    </row>
    <row r="2732" spans="1:7">
      <c r="A2732" s="1" t="s">
        <v>7828</v>
      </c>
      <c r="B2732" s="1" t="s">
        <v>7829</v>
      </c>
      <c r="C2732">
        <f>(1-(B7/100))*83.27</f>
        <v>83.27</v>
      </c>
      <c r="D2732" s="1">
        <v>0</v>
      </c>
      <c r="E2732">
        <f>D2732*C2732</f>
        <v>0</v>
      </c>
      <c r="F2732" s="1" t="s">
        <v>7830</v>
      </c>
      <c r="G2732" s="17">
        <v>65018</v>
      </c>
    </row>
    <row r="2733" spans="1:7">
      <c r="A2733" s="1" t="s">
        <v>7831</v>
      </c>
      <c r="B2733" s="1" t="s">
        <v>7832</v>
      </c>
      <c r="C2733">
        <f>(1-(B7/100))*129.17</f>
        <v>129.17</v>
      </c>
      <c r="D2733" s="1">
        <v>0</v>
      </c>
      <c r="E2733">
        <f>D2733*C2733</f>
        <v>0</v>
      </c>
      <c r="F2733" s="1" t="s">
        <v>7833</v>
      </c>
      <c r="G2733" s="17">
        <v>65300</v>
      </c>
    </row>
    <row r="2734" spans="1:7">
      <c r="A2734" s="1" t="s">
        <v>7834</v>
      </c>
      <c r="B2734" s="1" t="s">
        <v>7835</v>
      </c>
      <c r="C2734">
        <f>(1-(B7/100))*2675.5</f>
        <v>2675.5</v>
      </c>
      <c r="D2734" s="1">
        <v>0</v>
      </c>
      <c r="E2734">
        <f>D2734*C2734</f>
        <v>0</v>
      </c>
      <c r="F2734" s="1" t="s">
        <v>7836</v>
      </c>
      <c r="G2734" s="17">
        <v>65849</v>
      </c>
    </row>
    <row r="2735" spans="1:7">
      <c r="A2735" s="1" t="s">
        <v>7837</v>
      </c>
      <c r="B2735" s="1" t="s">
        <v>7838</v>
      </c>
      <c r="C2735">
        <f>(1-(B7/100))*308.53</f>
        <v>308.53</v>
      </c>
      <c r="D2735" s="1">
        <v>0</v>
      </c>
      <c r="E2735">
        <f>D2735*C2735</f>
        <v>0</v>
      </c>
      <c r="F2735" s="1" t="s">
        <v>7839</v>
      </c>
      <c r="G2735" s="17">
        <v>65862</v>
      </c>
    </row>
    <row r="2736" spans="1:7">
      <c r="A2736" s="1" t="s">
        <v>7840</v>
      </c>
      <c r="B2736" s="1" t="s">
        <v>7841</v>
      </c>
      <c r="C2736">
        <f>(1-(B7/100))*5382.48</f>
        <v>5382.48</v>
      </c>
      <c r="D2736" s="1">
        <v>0</v>
      </c>
      <c r="E2736">
        <f>D2736*C2736</f>
        <v>0</v>
      </c>
      <c r="F2736" s="1" t="s">
        <v>7842</v>
      </c>
      <c r="G2736" s="17">
        <v>65866</v>
      </c>
    </row>
    <row r="2737" spans="1:7">
      <c r="A2737" s="1" t="s">
        <v>7843</v>
      </c>
      <c r="B2737" s="1" t="s">
        <v>7844</v>
      </c>
      <c r="C2737">
        <f>(1-(B7/100))*294.71</f>
        <v>294.71</v>
      </c>
      <c r="D2737" s="1">
        <v>0</v>
      </c>
      <c r="E2737">
        <f>D2737*C2737</f>
        <v>0</v>
      </c>
      <c r="F2737" s="1" t="s">
        <v>7845</v>
      </c>
      <c r="G2737" s="17">
        <v>65868</v>
      </c>
    </row>
    <row r="2738" spans="1:7">
      <c r="A2738" s="1" t="s">
        <v>7846</v>
      </c>
      <c r="B2738" s="1" t="s">
        <v>7847</v>
      </c>
      <c r="C2738">
        <f>(1-(B7/100))*38.56</f>
        <v>38.56</v>
      </c>
      <c r="D2738" s="1">
        <v>0</v>
      </c>
      <c r="E2738">
        <f>D2738*C2738</f>
        <v>0</v>
      </c>
      <c r="F2738" s="1" t="s">
        <v>7848</v>
      </c>
      <c r="G2738" s="17">
        <v>65873</v>
      </c>
    </row>
    <row r="2739" spans="1:7">
      <c r="A2739" s="1" t="s">
        <v>7849</v>
      </c>
      <c r="B2739" s="1" t="s">
        <v>7850</v>
      </c>
      <c r="C2739">
        <f>(1-(B7/100))*1467.39</f>
        <v>1467.39</v>
      </c>
      <c r="D2739" s="1">
        <v>0</v>
      </c>
      <c r="E2739">
        <f>D2739*C2739</f>
        <v>0</v>
      </c>
      <c r="F2739" s="1" t="s">
        <v>7851</v>
      </c>
      <c r="G2739" s="17">
        <v>65874</v>
      </c>
    </row>
    <row r="2740" spans="1:7">
      <c r="A2740" s="1" t="s">
        <v>7852</v>
      </c>
      <c r="B2740" s="1" t="s">
        <v>7853</v>
      </c>
      <c r="C2740">
        <f>(1-(B7/100))*2409.99</f>
        <v>2409.99</v>
      </c>
      <c r="D2740" s="1">
        <v>0</v>
      </c>
      <c r="E2740">
        <f>D2740*C2740</f>
        <v>0</v>
      </c>
      <c r="F2740" s="1" t="s">
        <v>7854</v>
      </c>
      <c r="G2740" s="17">
        <v>65876</v>
      </c>
    </row>
    <row r="2741" spans="1:7">
      <c r="A2741" s="1" t="s">
        <v>7855</v>
      </c>
      <c r="B2741" s="1" t="s">
        <v>7856</v>
      </c>
      <c r="C2741">
        <f>(1-(B7/100))*2477.51</f>
        <v>2477.51</v>
      </c>
      <c r="D2741" s="1">
        <v>0</v>
      </c>
      <c r="E2741">
        <f>D2741*C2741</f>
        <v>0</v>
      </c>
      <c r="F2741" s="1" t="s">
        <v>7857</v>
      </c>
      <c r="G2741" s="17">
        <v>65878</v>
      </c>
    </row>
    <row r="2742" spans="1:7">
      <c r="A2742" s="1" t="s">
        <v>7858</v>
      </c>
      <c r="B2742" s="1" t="s">
        <v>7859</v>
      </c>
      <c r="C2742">
        <f>(1-(B7/100))*2862.57</f>
        <v>2862.57</v>
      </c>
      <c r="D2742" s="1">
        <v>0</v>
      </c>
      <c r="E2742">
        <f>D2742*C2742</f>
        <v>0</v>
      </c>
      <c r="F2742" s="1" t="s">
        <v>7860</v>
      </c>
      <c r="G2742" s="17">
        <v>65879</v>
      </c>
    </row>
    <row r="2743" spans="1:7">
      <c r="A2743" s="1" t="s">
        <v>7861</v>
      </c>
      <c r="B2743" s="1" t="s">
        <v>7862</v>
      </c>
      <c r="C2743">
        <f>(1-(B7/100))*1243.75</f>
        <v>1243.75</v>
      </c>
      <c r="D2743" s="1">
        <v>0</v>
      </c>
      <c r="E2743">
        <f>D2743*C2743</f>
        <v>0</v>
      </c>
      <c r="F2743" s="1" t="s">
        <v>7863</v>
      </c>
      <c r="G2743" s="17">
        <v>65884</v>
      </c>
    </row>
    <row r="2744" spans="1:7">
      <c r="A2744" s="1" t="s">
        <v>7864</v>
      </c>
      <c r="B2744" s="1" t="s">
        <v>7865</v>
      </c>
      <c r="C2744">
        <f>(1-(B7/100))*1511.98</f>
        <v>1511.98</v>
      </c>
      <c r="D2744" s="1">
        <v>0</v>
      </c>
      <c r="E2744">
        <f>D2744*C2744</f>
        <v>0</v>
      </c>
      <c r="F2744" s="1" t="s">
        <v>7866</v>
      </c>
      <c r="G2744" s="17">
        <v>65886</v>
      </c>
    </row>
    <row r="2745" spans="1:7">
      <c r="A2745" s="1" t="s">
        <v>7867</v>
      </c>
      <c r="B2745" s="1" t="s">
        <v>7868</v>
      </c>
      <c r="C2745">
        <f>(1-(B7/100))*97.81</f>
        <v>97.81</v>
      </c>
      <c r="D2745" s="1">
        <v>0</v>
      </c>
      <c r="E2745">
        <f>D2745*C2745</f>
        <v>0</v>
      </c>
      <c r="F2745" s="1" t="s">
        <v>7869</v>
      </c>
      <c r="G2745" s="17">
        <v>65887</v>
      </c>
    </row>
    <row r="2746" spans="1:7">
      <c r="A2746" s="1" t="s">
        <v>7870</v>
      </c>
      <c r="B2746" s="1" t="s">
        <v>7871</v>
      </c>
      <c r="C2746">
        <f>(1-(B7/100))*100</f>
        <v>100</v>
      </c>
      <c r="D2746" s="1">
        <v>0</v>
      </c>
      <c r="E2746">
        <f>D2746*C2746</f>
        <v>0</v>
      </c>
      <c r="F2746" s="1" t="s">
        <v>7872</v>
      </c>
      <c r="G2746" s="17">
        <v>65897</v>
      </c>
    </row>
    <row r="2747" spans="1:7">
      <c r="A2747" s="1" t="s">
        <v>7873</v>
      </c>
      <c r="B2747" s="1" t="s">
        <v>7874</v>
      </c>
      <c r="C2747">
        <f>(1-(B7/100))*115.9</f>
        <v>115.9</v>
      </c>
      <c r="D2747" s="1">
        <v>0</v>
      </c>
      <c r="E2747">
        <f>D2747*C2747</f>
        <v>0</v>
      </c>
      <c r="F2747" s="1" t="s">
        <v>7875</v>
      </c>
      <c r="G2747" s="17">
        <v>65898</v>
      </c>
    </row>
    <row r="2748" spans="1:7">
      <c r="A2748" s="1" t="s">
        <v>7876</v>
      </c>
      <c r="B2748" s="1" t="s">
        <v>7877</v>
      </c>
      <c r="C2748">
        <f>(1-(B7/100))*278.34</f>
        <v>278.34</v>
      </c>
      <c r="D2748" s="1">
        <v>0</v>
      </c>
      <c r="E2748">
        <f>D2748*C2748</f>
        <v>0</v>
      </c>
      <c r="F2748" s="1" t="s">
        <v>7878</v>
      </c>
      <c r="G2748" s="17">
        <v>65907</v>
      </c>
    </row>
    <row r="2749" spans="1:7">
      <c r="A2749" s="1" t="s">
        <v>7879</v>
      </c>
      <c r="B2749" s="1" t="s">
        <v>7880</v>
      </c>
      <c r="C2749">
        <f>(1-(B7/100))*81.87</f>
        <v>81.87</v>
      </c>
      <c r="D2749" s="1">
        <v>0</v>
      </c>
      <c r="E2749">
        <f>D2749*C2749</f>
        <v>0</v>
      </c>
      <c r="F2749" s="1" t="s">
        <v>7881</v>
      </c>
      <c r="G2749" s="17">
        <v>65910</v>
      </c>
    </row>
    <row r="2750" spans="1:7">
      <c r="A2750" s="1" t="s">
        <v>7882</v>
      </c>
      <c r="B2750" s="1" t="s">
        <v>7883</v>
      </c>
      <c r="C2750">
        <f>(1-(B7/100))*85.11</f>
        <v>85.11</v>
      </c>
      <c r="D2750" s="1">
        <v>0</v>
      </c>
      <c r="E2750">
        <f>D2750*C2750</f>
        <v>0</v>
      </c>
      <c r="F2750" s="1" t="s">
        <v>7884</v>
      </c>
      <c r="G2750" s="17">
        <v>65911</v>
      </c>
    </row>
    <row r="2751" spans="1:7">
      <c r="A2751" s="1" t="s">
        <v>7885</v>
      </c>
      <c r="B2751" s="1" t="s">
        <v>7886</v>
      </c>
      <c r="C2751">
        <f>(1-(B7/100))*455.24</f>
        <v>455.24</v>
      </c>
      <c r="D2751" s="1">
        <v>0</v>
      </c>
      <c r="E2751">
        <f>D2751*C2751</f>
        <v>0</v>
      </c>
      <c r="F2751" s="1" t="s">
        <v>7887</v>
      </c>
      <c r="G2751" s="17">
        <v>65913</v>
      </c>
    </row>
    <row r="2752" spans="1:7">
      <c r="A2752" s="1" t="s">
        <v>7888</v>
      </c>
      <c r="B2752" s="1" t="s">
        <v>7889</v>
      </c>
      <c r="C2752">
        <f>(1-(B7/100))*382</f>
        <v>382</v>
      </c>
      <c r="D2752" s="1">
        <v>0</v>
      </c>
      <c r="E2752">
        <f>D2752*C2752</f>
        <v>0</v>
      </c>
      <c r="F2752" s="1" t="s">
        <v>7890</v>
      </c>
      <c r="G2752" s="17">
        <v>65914</v>
      </c>
    </row>
    <row r="2753" spans="1:7">
      <c r="A2753" s="1" t="s">
        <v>7891</v>
      </c>
      <c r="B2753" s="1" t="s">
        <v>7892</v>
      </c>
      <c r="C2753">
        <f>(1-(B7/100))*329.81</f>
        <v>329.81</v>
      </c>
      <c r="D2753" s="1">
        <v>0</v>
      </c>
      <c r="E2753">
        <f>D2753*C2753</f>
        <v>0</v>
      </c>
      <c r="F2753" s="1" t="s">
        <v>7893</v>
      </c>
      <c r="G2753" s="17">
        <v>65915</v>
      </c>
    </row>
    <row r="2754" spans="1:7">
      <c r="A2754" s="1" t="s">
        <v>7894</v>
      </c>
      <c r="B2754" s="1" t="s">
        <v>7895</v>
      </c>
      <c r="C2754">
        <f>(1-(B7/100))*326.52</f>
        <v>326.52</v>
      </c>
      <c r="D2754" s="1">
        <v>0</v>
      </c>
      <c r="E2754">
        <f>D2754*C2754</f>
        <v>0</v>
      </c>
      <c r="F2754" s="1" t="s">
        <v>7896</v>
      </c>
      <c r="G2754" s="17">
        <v>65917</v>
      </c>
    </row>
    <row r="2755" spans="1:7">
      <c r="A2755" s="1" t="s">
        <v>7897</v>
      </c>
      <c r="B2755" s="1" t="s">
        <v>7898</v>
      </c>
      <c r="C2755">
        <f>(1-(B7/100))*461.71</f>
        <v>461.71</v>
      </c>
      <c r="D2755" s="1">
        <v>0</v>
      </c>
      <c r="E2755">
        <f>D2755*C2755</f>
        <v>0</v>
      </c>
      <c r="F2755" s="1" t="s">
        <v>7899</v>
      </c>
      <c r="G2755" s="17">
        <v>65920</v>
      </c>
    </row>
    <row r="2756" spans="1:7">
      <c r="A2756" s="1" t="s">
        <v>7900</v>
      </c>
      <c r="B2756" s="1" t="s">
        <v>7901</v>
      </c>
      <c r="C2756">
        <f>(1-(B7/100))*104.33</f>
        <v>104.33</v>
      </c>
      <c r="D2756" s="1">
        <v>0</v>
      </c>
      <c r="E2756">
        <f>D2756*C2756</f>
        <v>0</v>
      </c>
      <c r="F2756" s="1" t="s">
        <v>7902</v>
      </c>
      <c r="G2756" s="17">
        <v>65923</v>
      </c>
    </row>
    <row r="2757" spans="1:7">
      <c r="A2757" s="1" t="s">
        <v>7903</v>
      </c>
      <c r="B2757" s="1" t="s">
        <v>7904</v>
      </c>
      <c r="C2757">
        <f>(1-(B7/100))*131.26</f>
        <v>131.26</v>
      </c>
      <c r="D2757" s="1">
        <v>0</v>
      </c>
      <c r="E2757">
        <f>D2757*C2757</f>
        <v>0</v>
      </c>
      <c r="F2757" s="1" t="s">
        <v>7905</v>
      </c>
      <c r="G2757" s="17">
        <v>65925</v>
      </c>
    </row>
    <row r="2758" spans="1:7">
      <c r="A2758" s="1" t="s">
        <v>7906</v>
      </c>
      <c r="B2758" s="1" t="s">
        <v>7907</v>
      </c>
      <c r="C2758">
        <f>(1-(B7/100))*1207.89</f>
        <v>1207.89</v>
      </c>
      <c r="D2758" s="1">
        <v>0</v>
      </c>
      <c r="E2758">
        <f>D2758*C2758</f>
        <v>0</v>
      </c>
      <c r="F2758" s="1" t="s">
        <v>7908</v>
      </c>
      <c r="G2758" s="17">
        <v>65936</v>
      </c>
    </row>
    <row r="2759" spans="1:7">
      <c r="A2759" s="1" t="s">
        <v>7909</v>
      </c>
      <c r="B2759" s="1" t="s">
        <v>7910</v>
      </c>
      <c r="C2759">
        <f>(1-(B7/100))*1257.44</f>
        <v>1257.44</v>
      </c>
      <c r="D2759" s="1">
        <v>0</v>
      </c>
      <c r="E2759">
        <f>D2759*C2759</f>
        <v>0</v>
      </c>
      <c r="F2759" s="1" t="s">
        <v>7911</v>
      </c>
      <c r="G2759" s="17">
        <v>65937</v>
      </c>
    </row>
    <row r="2760" spans="1:7">
      <c r="A2760" s="1" t="s">
        <v>7912</v>
      </c>
      <c r="B2760" s="1" t="s">
        <v>7913</v>
      </c>
      <c r="C2760">
        <f>(1-(B7/100))*1255.91</f>
        <v>1255.91</v>
      </c>
      <c r="D2760" s="1">
        <v>0</v>
      </c>
      <c r="E2760">
        <f>D2760*C2760</f>
        <v>0</v>
      </c>
      <c r="F2760" s="1" t="s">
        <v>7914</v>
      </c>
      <c r="G2760" s="17">
        <v>65938</v>
      </c>
    </row>
    <row r="2761" spans="1:7">
      <c r="A2761" s="1" t="s">
        <v>7915</v>
      </c>
      <c r="B2761" s="1" t="s">
        <v>7916</v>
      </c>
      <c r="C2761">
        <f>(1-(B7/100))*1341.77</f>
        <v>1341.77</v>
      </c>
      <c r="D2761" s="1">
        <v>0</v>
      </c>
      <c r="E2761">
        <f>D2761*C2761</f>
        <v>0</v>
      </c>
      <c r="F2761" s="1" t="s">
        <v>7917</v>
      </c>
      <c r="G2761" s="17">
        <v>65940</v>
      </c>
    </row>
    <row r="2762" spans="1:7">
      <c r="A2762" s="1" t="s">
        <v>7918</v>
      </c>
      <c r="B2762" s="1" t="s">
        <v>7919</v>
      </c>
      <c r="C2762">
        <f>(1-(B7/100))*1465.51</f>
        <v>1465.51</v>
      </c>
      <c r="D2762" s="1">
        <v>0</v>
      </c>
      <c r="E2762">
        <f>D2762*C2762</f>
        <v>0</v>
      </c>
      <c r="F2762" s="1" t="s">
        <v>7920</v>
      </c>
      <c r="G2762" s="17">
        <v>65943</v>
      </c>
    </row>
    <row r="2763" spans="1:7">
      <c r="A2763" s="1" t="s">
        <v>7921</v>
      </c>
      <c r="B2763" s="1" t="s">
        <v>7922</v>
      </c>
      <c r="C2763">
        <f>(1-(B7/100))*1499.32</f>
        <v>1499.32</v>
      </c>
      <c r="D2763" s="1">
        <v>0</v>
      </c>
      <c r="E2763">
        <f>D2763*C2763</f>
        <v>0</v>
      </c>
      <c r="F2763" s="1" t="s">
        <v>7923</v>
      </c>
      <c r="G2763" s="17">
        <v>65944</v>
      </c>
    </row>
    <row r="2764" spans="1:7">
      <c r="A2764" s="1" t="s">
        <v>7924</v>
      </c>
      <c r="B2764" s="1" t="s">
        <v>7925</v>
      </c>
      <c r="C2764">
        <f>(1-(B7/100))*159.93</f>
        <v>159.93</v>
      </c>
      <c r="D2764" s="1">
        <v>0</v>
      </c>
      <c r="E2764">
        <f>D2764*C2764</f>
        <v>0</v>
      </c>
      <c r="F2764" s="1" t="s">
        <v>7926</v>
      </c>
      <c r="G2764" s="17">
        <v>65950</v>
      </c>
    </row>
    <row r="2765" spans="1:7">
      <c r="A2765" s="1" t="s">
        <v>7927</v>
      </c>
      <c r="B2765" s="1" t="s">
        <v>7928</v>
      </c>
      <c r="C2765">
        <f>(1-(B7/100))*936.65</f>
        <v>936.65</v>
      </c>
      <c r="D2765" s="1">
        <v>0</v>
      </c>
      <c r="E2765">
        <f>D2765*C2765</f>
        <v>0</v>
      </c>
      <c r="F2765" s="1" t="s">
        <v>7929</v>
      </c>
      <c r="G2765" s="17">
        <v>65955</v>
      </c>
    </row>
    <row r="2766" spans="1:7">
      <c r="A2766" s="1" t="s">
        <v>7930</v>
      </c>
      <c r="B2766" s="1" t="s">
        <v>7931</v>
      </c>
      <c r="C2766">
        <f>(1-(B7/100))*989.26</f>
        <v>989.26</v>
      </c>
      <c r="D2766" s="1">
        <v>0</v>
      </c>
      <c r="E2766">
        <f>D2766*C2766</f>
        <v>0</v>
      </c>
      <c r="F2766" s="1" t="s">
        <v>7932</v>
      </c>
      <c r="G2766" s="17">
        <v>65956</v>
      </c>
    </row>
    <row r="2767" spans="1:7">
      <c r="A2767" s="1" t="s">
        <v>7933</v>
      </c>
      <c r="B2767" s="1" t="s">
        <v>7934</v>
      </c>
      <c r="C2767">
        <f>(1-(B7/100))*159.24</f>
        <v>159.24</v>
      </c>
      <c r="D2767" s="1">
        <v>0</v>
      </c>
      <c r="E2767">
        <f>D2767*C2767</f>
        <v>0</v>
      </c>
      <c r="F2767" s="1" t="s">
        <v>7935</v>
      </c>
      <c r="G2767" s="17">
        <v>65964</v>
      </c>
    </row>
    <row r="2768" spans="1:7">
      <c r="A2768" s="1" t="s">
        <v>7936</v>
      </c>
      <c r="B2768" s="1" t="s">
        <v>7937</v>
      </c>
      <c r="C2768">
        <f>(1-(B7/100))*285.82</f>
        <v>285.82</v>
      </c>
      <c r="D2768" s="1">
        <v>0</v>
      </c>
      <c r="E2768">
        <f>D2768*C2768</f>
        <v>0</v>
      </c>
      <c r="F2768" s="1" t="s">
        <v>7938</v>
      </c>
      <c r="G2768" s="17">
        <v>65965</v>
      </c>
    </row>
    <row r="2769" spans="1:7">
      <c r="A2769" s="1" t="s">
        <v>7939</v>
      </c>
      <c r="B2769" s="1" t="s">
        <v>7940</v>
      </c>
      <c r="C2769">
        <f>(1-(B7/100))*1561.4</f>
        <v>1561.4</v>
      </c>
      <c r="D2769" s="1">
        <v>0</v>
      </c>
      <c r="E2769">
        <f>D2769*C2769</f>
        <v>0</v>
      </c>
      <c r="F2769" s="1" t="s">
        <v>7941</v>
      </c>
      <c r="G2769" s="17">
        <v>65974</v>
      </c>
    </row>
    <row r="2770" spans="1:7">
      <c r="A2770" s="1" t="s">
        <v>7942</v>
      </c>
      <c r="B2770" s="1" t="s">
        <v>7943</v>
      </c>
      <c r="C2770">
        <f>(1-(B7/100))*265.96</f>
        <v>265.96</v>
      </c>
      <c r="D2770" s="1">
        <v>0</v>
      </c>
      <c r="E2770">
        <f>D2770*C2770</f>
        <v>0</v>
      </c>
      <c r="F2770" s="1" t="s">
        <v>7944</v>
      </c>
      <c r="G2770" s="17">
        <v>65977</v>
      </c>
    </row>
    <row r="2771" spans="1:7">
      <c r="A2771" s="1" t="s">
        <v>7945</v>
      </c>
      <c r="B2771" s="1" t="s">
        <v>7946</v>
      </c>
      <c r="C2771">
        <f>(1-(B7/100))*115.52</f>
        <v>115.52</v>
      </c>
      <c r="D2771" s="1">
        <v>0</v>
      </c>
      <c r="E2771">
        <f>D2771*C2771</f>
        <v>0</v>
      </c>
      <c r="F2771" s="1" t="s">
        <v>7947</v>
      </c>
      <c r="G2771" s="17">
        <v>65979</v>
      </c>
    </row>
    <row r="2772" spans="1:7">
      <c r="A2772" s="1" t="s">
        <v>7948</v>
      </c>
      <c r="B2772" s="1" t="s">
        <v>7949</v>
      </c>
      <c r="C2772">
        <f>(1-(B7/100))*39.64</f>
        <v>39.64</v>
      </c>
      <c r="D2772" s="1">
        <v>0</v>
      </c>
      <c r="E2772">
        <f>D2772*C2772</f>
        <v>0</v>
      </c>
      <c r="F2772" s="1" t="s">
        <v>7950</v>
      </c>
      <c r="G2772" s="17">
        <v>65985</v>
      </c>
    </row>
    <row r="2773" spans="1:7">
      <c r="A2773" s="1" t="s">
        <v>7951</v>
      </c>
      <c r="B2773" s="1" t="s">
        <v>7952</v>
      </c>
      <c r="C2773">
        <f>(1-(B7/100))*964.01</f>
        <v>964.01</v>
      </c>
      <c r="D2773" s="1">
        <v>0</v>
      </c>
      <c r="E2773">
        <f>D2773*C2773</f>
        <v>0</v>
      </c>
      <c r="F2773" s="1" t="s">
        <v>7953</v>
      </c>
      <c r="G2773" s="17">
        <v>66004</v>
      </c>
    </row>
    <row r="2774" spans="1:7">
      <c r="A2774" s="1" t="s">
        <v>7954</v>
      </c>
      <c r="B2774" s="1" t="s">
        <v>7955</v>
      </c>
      <c r="C2774">
        <f>(1-(B7/100))*513.16</f>
        <v>513.16</v>
      </c>
      <c r="D2774" s="1">
        <v>0</v>
      </c>
      <c r="E2774">
        <f>D2774*C2774</f>
        <v>0</v>
      </c>
      <c r="F2774" s="1" t="s">
        <v>7956</v>
      </c>
      <c r="G2774" s="17">
        <v>66005</v>
      </c>
    </row>
    <row r="2775" spans="1:7">
      <c r="A2775" s="1" t="s">
        <v>7957</v>
      </c>
      <c r="B2775" s="1" t="s">
        <v>7958</v>
      </c>
      <c r="C2775">
        <f>(1-(B7/100))*780.7</f>
        <v>780.7</v>
      </c>
      <c r="D2775" s="1">
        <v>0</v>
      </c>
      <c r="E2775">
        <f>D2775*C2775</f>
        <v>0</v>
      </c>
      <c r="F2775" s="1" t="s">
        <v>7959</v>
      </c>
      <c r="G2775" s="17">
        <v>66010</v>
      </c>
    </row>
    <row r="2776" spans="1:7">
      <c r="A2776" s="1" t="s">
        <v>7960</v>
      </c>
      <c r="B2776" s="1" t="s">
        <v>7961</v>
      </c>
      <c r="C2776">
        <f>(1-(B7/100))*1178.62</f>
        <v>1178.62</v>
      </c>
      <c r="D2776" s="1">
        <v>0</v>
      </c>
      <c r="E2776">
        <f>D2776*C2776</f>
        <v>0</v>
      </c>
      <c r="F2776" s="1" t="s">
        <v>7962</v>
      </c>
      <c r="G2776" s="17">
        <v>66019</v>
      </c>
    </row>
    <row r="2777" spans="1:7">
      <c r="A2777" s="1" t="s">
        <v>7963</v>
      </c>
      <c r="B2777" s="1" t="s">
        <v>7964</v>
      </c>
      <c r="C2777">
        <f>(1-(B7/100))*1031.12</f>
        <v>1031.12</v>
      </c>
      <c r="D2777" s="1">
        <v>0</v>
      </c>
      <c r="E2777">
        <f>D2777*C2777</f>
        <v>0</v>
      </c>
      <c r="F2777" s="1" t="s">
        <v>7965</v>
      </c>
      <c r="G2777" s="17">
        <v>66026</v>
      </c>
    </row>
    <row r="2778" spans="1:7">
      <c r="A2778" s="1" t="s">
        <v>7966</v>
      </c>
      <c r="B2778" s="1" t="s">
        <v>7967</v>
      </c>
      <c r="C2778">
        <f>(1-(B7/100))*112.75</f>
        <v>112.75</v>
      </c>
      <c r="D2778" s="1">
        <v>0</v>
      </c>
      <c r="E2778">
        <f>D2778*C2778</f>
        <v>0</v>
      </c>
      <c r="F2778" s="1" t="s">
        <v>7968</v>
      </c>
      <c r="G2778" s="17">
        <v>66041</v>
      </c>
    </row>
    <row r="2779" spans="1:7">
      <c r="A2779" s="1" t="s">
        <v>7969</v>
      </c>
      <c r="B2779" s="1" t="s">
        <v>7970</v>
      </c>
      <c r="C2779">
        <f>(1-(B7/100))*112.61</f>
        <v>112.61</v>
      </c>
      <c r="D2779" s="1">
        <v>0</v>
      </c>
      <c r="E2779">
        <f>D2779*C2779</f>
        <v>0</v>
      </c>
      <c r="F2779" s="1" t="s">
        <v>7971</v>
      </c>
      <c r="G2779" s="17">
        <v>66043</v>
      </c>
    </row>
    <row r="2780" spans="1:7">
      <c r="A2780" s="1" t="s">
        <v>7972</v>
      </c>
      <c r="B2780" s="1" t="s">
        <v>7973</v>
      </c>
      <c r="C2780">
        <f>(1-(B7/100))*62.46</f>
        <v>62.46</v>
      </c>
      <c r="D2780" s="1">
        <v>0</v>
      </c>
      <c r="E2780">
        <f>D2780*C2780</f>
        <v>0</v>
      </c>
      <c r="F2780" s="1" t="s">
        <v>7974</v>
      </c>
      <c r="G2780" s="17">
        <v>66045</v>
      </c>
    </row>
    <row r="2781" spans="1:7">
      <c r="A2781" s="1" t="s">
        <v>7975</v>
      </c>
      <c r="B2781" s="1" t="s">
        <v>7976</v>
      </c>
      <c r="C2781">
        <f>(1-(B7/100))*319.14</f>
        <v>319.14</v>
      </c>
      <c r="D2781" s="1">
        <v>0</v>
      </c>
      <c r="E2781">
        <f>D2781*C2781</f>
        <v>0</v>
      </c>
      <c r="F2781" s="1" t="s">
        <v>7977</v>
      </c>
      <c r="G2781" s="17">
        <v>66046</v>
      </c>
    </row>
    <row r="2782" spans="1:7">
      <c r="A2782" s="1" t="s">
        <v>7978</v>
      </c>
      <c r="B2782" s="1" t="s">
        <v>7979</v>
      </c>
      <c r="C2782">
        <f>(1-(B7/100))*191.45</f>
        <v>191.45</v>
      </c>
      <c r="D2782" s="1">
        <v>0</v>
      </c>
      <c r="E2782">
        <f>D2782*C2782</f>
        <v>0</v>
      </c>
      <c r="F2782" s="1" t="s">
        <v>7980</v>
      </c>
      <c r="G2782" s="17">
        <v>66065</v>
      </c>
    </row>
    <row r="2783" spans="1:7">
      <c r="A2783" s="1" t="s">
        <v>7981</v>
      </c>
      <c r="B2783" s="1" t="s">
        <v>7982</v>
      </c>
      <c r="C2783">
        <f>(1-(B7/100))*3444.14</f>
        <v>3444.14</v>
      </c>
      <c r="D2783" s="1">
        <v>0</v>
      </c>
      <c r="E2783">
        <f>D2783*C2783</f>
        <v>0</v>
      </c>
      <c r="F2783" s="1" t="s">
        <v>7983</v>
      </c>
      <c r="G2783" s="17">
        <v>66072</v>
      </c>
    </row>
    <row r="2784" spans="1:7">
      <c r="A2784" s="1" t="s">
        <v>7984</v>
      </c>
      <c r="B2784" s="1" t="s">
        <v>7985</v>
      </c>
      <c r="C2784">
        <f>(1-(B7/100))*244.06</f>
        <v>244.06</v>
      </c>
      <c r="D2784" s="1">
        <v>0</v>
      </c>
      <c r="E2784">
        <f>D2784*C2784</f>
        <v>0</v>
      </c>
      <c r="F2784" s="1" t="s">
        <v>7986</v>
      </c>
      <c r="G2784" s="17">
        <v>66081</v>
      </c>
    </row>
    <row r="2785" spans="1:7">
      <c r="A2785" s="1" t="s">
        <v>7987</v>
      </c>
      <c r="B2785" s="1" t="s">
        <v>7988</v>
      </c>
      <c r="C2785">
        <f>(1-(B7/100))*177.09</f>
        <v>177.09</v>
      </c>
      <c r="D2785" s="1">
        <v>0</v>
      </c>
      <c r="E2785">
        <f>D2785*C2785</f>
        <v>0</v>
      </c>
      <c r="F2785" s="1" t="s">
        <v>7989</v>
      </c>
      <c r="G2785" s="17">
        <v>66088</v>
      </c>
    </row>
    <row r="2786" spans="1:7">
      <c r="A2786" s="1" t="s">
        <v>7990</v>
      </c>
      <c r="B2786" s="1" t="s">
        <v>7991</v>
      </c>
      <c r="C2786">
        <f>(1-(B7/100))*283.78</f>
        <v>283.78</v>
      </c>
      <c r="D2786" s="1">
        <v>0</v>
      </c>
      <c r="E2786">
        <f>D2786*C2786</f>
        <v>0</v>
      </c>
      <c r="F2786" s="1" t="s">
        <v>7992</v>
      </c>
      <c r="G2786" s="17">
        <v>66104</v>
      </c>
    </row>
    <row r="2787" spans="1:7">
      <c r="A2787" s="1" t="s">
        <v>7993</v>
      </c>
      <c r="B2787" s="1" t="s">
        <v>7994</v>
      </c>
      <c r="C2787">
        <f>(1-(B7/100))*351.05</f>
        <v>351.05</v>
      </c>
      <c r="D2787" s="1">
        <v>0</v>
      </c>
      <c r="E2787">
        <f>D2787*C2787</f>
        <v>0</v>
      </c>
      <c r="F2787" s="1" t="s">
        <v>7995</v>
      </c>
      <c r="G2787" s="17">
        <v>66105</v>
      </c>
    </row>
    <row r="2788" spans="1:7">
      <c r="A2788" s="1" t="s">
        <v>7996</v>
      </c>
      <c r="B2788" s="1" t="s">
        <v>7997</v>
      </c>
      <c r="C2788">
        <f>(1-(B7/100))*1634.33</f>
        <v>1634.33</v>
      </c>
      <c r="D2788" s="1">
        <v>0</v>
      </c>
      <c r="E2788">
        <f>D2788*C2788</f>
        <v>0</v>
      </c>
      <c r="F2788" s="1" t="s">
        <v>7998</v>
      </c>
      <c r="G2788" s="17">
        <v>66115</v>
      </c>
    </row>
    <row r="2789" spans="1:7">
      <c r="A2789" s="1" t="s">
        <v>7999</v>
      </c>
      <c r="B2789" s="1" t="s">
        <v>8000</v>
      </c>
      <c r="C2789">
        <f>(1-(B7/100))*1503.44</f>
        <v>1503.44</v>
      </c>
      <c r="D2789" s="1">
        <v>0</v>
      </c>
      <c r="E2789">
        <f>D2789*C2789</f>
        <v>0</v>
      </c>
      <c r="F2789" s="1" t="s">
        <v>8001</v>
      </c>
      <c r="G2789" s="17">
        <v>66117</v>
      </c>
    </row>
    <row r="2790" spans="1:7">
      <c r="A2790" s="1" t="s">
        <v>8002</v>
      </c>
      <c r="B2790" s="1" t="s">
        <v>8003</v>
      </c>
      <c r="C2790">
        <f>(1-(B7/100))*1747.72</f>
        <v>1747.72</v>
      </c>
      <c r="D2790" s="1">
        <v>0</v>
      </c>
      <c r="E2790">
        <f>D2790*C2790</f>
        <v>0</v>
      </c>
      <c r="F2790" s="1" t="s">
        <v>8004</v>
      </c>
      <c r="G2790" s="17">
        <v>66118</v>
      </c>
    </row>
    <row r="2791" spans="1:7">
      <c r="A2791" s="1" t="s">
        <v>8005</v>
      </c>
      <c r="B2791" s="1" t="s">
        <v>8006</v>
      </c>
      <c r="C2791">
        <f>(1-(B7/100))*1627.22</f>
        <v>1627.22</v>
      </c>
      <c r="D2791" s="1">
        <v>0</v>
      </c>
      <c r="E2791">
        <f>D2791*C2791</f>
        <v>0</v>
      </c>
      <c r="F2791" s="1" t="s">
        <v>8007</v>
      </c>
      <c r="G2791" s="17">
        <v>66119</v>
      </c>
    </row>
    <row r="2792" spans="1:7">
      <c r="A2792" s="1" t="s">
        <v>8008</v>
      </c>
      <c r="B2792" s="1" t="s">
        <v>8009</v>
      </c>
      <c r="C2792">
        <f>(1-(B7/100))*694.89</f>
        <v>694.89</v>
      </c>
      <c r="D2792" s="1">
        <v>0</v>
      </c>
      <c r="E2792">
        <f>D2792*C2792</f>
        <v>0</v>
      </c>
      <c r="F2792" s="1" t="s">
        <v>8010</v>
      </c>
      <c r="G2792" s="17">
        <v>66123</v>
      </c>
    </row>
    <row r="2793" spans="1:7">
      <c r="A2793" s="1" t="s">
        <v>8011</v>
      </c>
      <c r="B2793" s="1" t="s">
        <v>8012</v>
      </c>
      <c r="C2793">
        <f>(1-(B7/100))*9.41</f>
        <v>9.41</v>
      </c>
      <c r="D2793" s="1">
        <v>0</v>
      </c>
      <c r="E2793">
        <f>D2793*C2793</f>
        <v>0</v>
      </c>
      <c r="F2793" s="1" t="s">
        <v>8013</v>
      </c>
      <c r="G2793" s="17">
        <v>66128</v>
      </c>
    </row>
    <row r="2794" spans="1:7">
      <c r="A2794" s="1" t="s">
        <v>8014</v>
      </c>
      <c r="B2794" s="1" t="s">
        <v>8015</v>
      </c>
      <c r="C2794">
        <f>(1-(B7/100))*259.35</f>
        <v>259.35</v>
      </c>
      <c r="D2794" s="1">
        <v>0</v>
      </c>
      <c r="E2794">
        <f>D2794*C2794</f>
        <v>0</v>
      </c>
      <c r="F2794" s="1" t="s">
        <v>8016</v>
      </c>
      <c r="G2794" s="17">
        <v>66130</v>
      </c>
    </row>
    <row r="2795" spans="1:7">
      <c r="A2795" s="1" t="s">
        <v>8017</v>
      </c>
      <c r="B2795" s="1" t="s">
        <v>8018</v>
      </c>
      <c r="C2795">
        <f>(1-(B7/100))*201.25</f>
        <v>201.25</v>
      </c>
      <c r="D2795" s="1">
        <v>0</v>
      </c>
      <c r="E2795">
        <f>D2795*C2795</f>
        <v>0</v>
      </c>
      <c r="F2795" s="1" t="s">
        <v>8019</v>
      </c>
      <c r="G2795" s="17">
        <v>66136</v>
      </c>
    </row>
    <row r="2796" spans="1:7">
      <c r="A2796" s="1" t="s">
        <v>8020</v>
      </c>
      <c r="B2796" s="1" t="s">
        <v>8021</v>
      </c>
      <c r="C2796">
        <f>(1-(B7/100))*174.19</f>
        <v>174.19</v>
      </c>
      <c r="D2796" s="1">
        <v>0</v>
      </c>
      <c r="E2796">
        <f>D2796*C2796</f>
        <v>0</v>
      </c>
      <c r="F2796" s="1" t="s">
        <v>8022</v>
      </c>
      <c r="G2796" s="17">
        <v>66138</v>
      </c>
    </row>
    <row r="2797" spans="1:7">
      <c r="A2797" s="1" t="s">
        <v>8023</v>
      </c>
      <c r="B2797" s="1" t="s">
        <v>8024</v>
      </c>
      <c r="C2797">
        <f>(1-(B7/100))*130</f>
        <v>130</v>
      </c>
      <c r="D2797" s="1">
        <v>0</v>
      </c>
      <c r="E2797">
        <f>D2797*C2797</f>
        <v>0</v>
      </c>
      <c r="F2797" s="1" t="s">
        <v>8025</v>
      </c>
      <c r="G2797" s="17">
        <v>66165</v>
      </c>
    </row>
    <row r="2798" spans="1:7">
      <c r="A2798" s="1" t="s">
        <v>8026</v>
      </c>
      <c r="B2798" s="1" t="s">
        <v>8027</v>
      </c>
      <c r="C2798">
        <f>(1-(B7/100))*329.88</f>
        <v>329.88</v>
      </c>
      <c r="D2798" s="1">
        <v>0</v>
      </c>
      <c r="E2798">
        <f>D2798*C2798</f>
        <v>0</v>
      </c>
      <c r="F2798" s="1" t="s">
        <v>8028</v>
      </c>
      <c r="G2798" s="17">
        <v>66169</v>
      </c>
    </row>
    <row r="2799" spans="1:7">
      <c r="A2799" s="1" t="s">
        <v>8029</v>
      </c>
      <c r="B2799" s="1" t="s">
        <v>8030</v>
      </c>
      <c r="C2799">
        <f>(1-(B7/100))*110.55</f>
        <v>110.55</v>
      </c>
      <c r="D2799" s="1">
        <v>0</v>
      </c>
      <c r="E2799">
        <f>D2799*C2799</f>
        <v>0</v>
      </c>
      <c r="F2799" s="1" t="s">
        <v>8031</v>
      </c>
      <c r="G2799" s="17">
        <v>66172</v>
      </c>
    </row>
    <row r="2800" spans="1:7">
      <c r="A2800" s="1" t="s">
        <v>8032</v>
      </c>
      <c r="B2800" s="1" t="s">
        <v>8033</v>
      </c>
      <c r="C2800">
        <f>(1-(B7/100))*620.16</f>
        <v>620.16</v>
      </c>
      <c r="D2800" s="1">
        <v>0</v>
      </c>
      <c r="E2800">
        <f>D2800*C2800</f>
        <v>0</v>
      </c>
      <c r="F2800" s="1" t="s">
        <v>8034</v>
      </c>
      <c r="G2800" s="17">
        <v>66175</v>
      </c>
    </row>
    <row r="2801" spans="1:7">
      <c r="A2801" s="1" t="s">
        <v>8035</v>
      </c>
      <c r="B2801" s="1" t="s">
        <v>8036</v>
      </c>
      <c r="C2801">
        <f>(1-(B7/100))*109.14</f>
        <v>109.14</v>
      </c>
      <c r="D2801" s="1">
        <v>0</v>
      </c>
      <c r="E2801">
        <f>D2801*C2801</f>
        <v>0</v>
      </c>
      <c r="F2801" s="1" t="s">
        <v>8037</v>
      </c>
      <c r="G2801" s="17">
        <v>66176</v>
      </c>
    </row>
    <row r="2802" spans="1:7">
      <c r="A2802" s="1" t="s">
        <v>8038</v>
      </c>
      <c r="B2802" s="1" t="s">
        <v>8039</v>
      </c>
      <c r="C2802">
        <f>(1-(B7/100))*117.96</f>
        <v>117.96</v>
      </c>
      <c r="D2802" s="1">
        <v>0</v>
      </c>
      <c r="E2802">
        <f>D2802*C2802</f>
        <v>0</v>
      </c>
      <c r="F2802" s="1" t="s">
        <v>8040</v>
      </c>
      <c r="G2802" s="17">
        <v>66182</v>
      </c>
    </row>
    <row r="2803" spans="1:7">
      <c r="A2803" s="1" t="s">
        <v>8041</v>
      </c>
      <c r="B2803" s="1" t="s">
        <v>8042</v>
      </c>
      <c r="C2803">
        <f>(1-(B7/100))*1993.55</f>
        <v>1993.55</v>
      </c>
      <c r="D2803" s="1">
        <v>0</v>
      </c>
      <c r="E2803">
        <f>D2803*C2803</f>
        <v>0</v>
      </c>
      <c r="F2803" s="1" t="s">
        <v>8043</v>
      </c>
      <c r="G2803" s="17">
        <v>66188</v>
      </c>
    </row>
    <row r="2804" spans="1:7">
      <c r="A2804" s="1" t="s">
        <v>8044</v>
      </c>
      <c r="B2804" s="1" t="s">
        <v>8045</v>
      </c>
      <c r="C2804">
        <f>(1-(B7/100))*72.87</f>
        <v>72.87</v>
      </c>
      <c r="D2804" s="1">
        <v>0</v>
      </c>
      <c r="E2804">
        <f>D2804*C2804</f>
        <v>0</v>
      </c>
      <c r="F2804" s="1" t="s">
        <v>8046</v>
      </c>
      <c r="G2804" s="17">
        <v>66199</v>
      </c>
    </row>
    <row r="2805" spans="1:7">
      <c r="A2805" s="1" t="s">
        <v>8047</v>
      </c>
      <c r="B2805" s="1" t="s">
        <v>8048</v>
      </c>
      <c r="C2805">
        <f>(1-(B7/100))*140.39</f>
        <v>140.39</v>
      </c>
      <c r="D2805" s="1">
        <v>0</v>
      </c>
      <c r="E2805">
        <f>D2805*C2805</f>
        <v>0</v>
      </c>
      <c r="F2805" s="1" t="s">
        <v>8049</v>
      </c>
      <c r="G2805" s="17">
        <v>66201</v>
      </c>
    </row>
    <row r="2806" spans="1:7">
      <c r="A2806" s="1" t="s">
        <v>8050</v>
      </c>
      <c r="B2806" s="1" t="s">
        <v>8051</v>
      </c>
      <c r="C2806">
        <f>(1-(B7/100))*172.23</f>
        <v>172.23</v>
      </c>
      <c r="D2806" s="1">
        <v>0</v>
      </c>
      <c r="E2806">
        <f>D2806*C2806</f>
        <v>0</v>
      </c>
      <c r="F2806" s="1" t="s">
        <v>8052</v>
      </c>
      <c r="G2806" s="17">
        <v>66207</v>
      </c>
    </row>
    <row r="2807" spans="1:7">
      <c r="A2807" s="1" t="s">
        <v>8053</v>
      </c>
      <c r="B2807" s="1" t="s">
        <v>8054</v>
      </c>
      <c r="C2807">
        <f>(1-(B7/100))*492.96</f>
        <v>492.96</v>
      </c>
      <c r="D2807" s="1">
        <v>0</v>
      </c>
      <c r="E2807">
        <f>D2807*C2807</f>
        <v>0</v>
      </c>
      <c r="F2807" s="1" t="s">
        <v>8055</v>
      </c>
      <c r="G2807" s="17">
        <v>66208</v>
      </c>
    </row>
    <row r="2808" spans="1:7">
      <c r="A2808" s="1" t="s">
        <v>8056</v>
      </c>
      <c r="B2808" s="1" t="s">
        <v>8057</v>
      </c>
      <c r="C2808">
        <f>(1-(B7/100))*109.14</f>
        <v>109.14</v>
      </c>
      <c r="D2808" s="1">
        <v>0</v>
      </c>
      <c r="E2808">
        <f>D2808*C2808</f>
        <v>0</v>
      </c>
      <c r="F2808" s="1" t="s">
        <v>8058</v>
      </c>
      <c r="G2808" s="17">
        <v>66234</v>
      </c>
    </row>
    <row r="2809" spans="1:7">
      <c r="A2809" s="1" t="s">
        <v>8059</v>
      </c>
      <c r="B2809" s="1" t="s">
        <v>8060</v>
      </c>
      <c r="C2809">
        <f>(1-(B7/100))*88.24</f>
        <v>88.24</v>
      </c>
      <c r="D2809" s="1">
        <v>0</v>
      </c>
      <c r="E2809">
        <f>D2809*C2809</f>
        <v>0</v>
      </c>
      <c r="F2809" s="1" t="s">
        <v>8061</v>
      </c>
      <c r="G2809" s="17">
        <v>66237</v>
      </c>
    </row>
    <row r="2810" spans="1:7">
      <c r="A2810" s="1" t="s">
        <v>8062</v>
      </c>
      <c r="B2810" s="1" t="s">
        <v>8063</v>
      </c>
      <c r="C2810">
        <f>(1-(B7/100))*225.13</f>
        <v>225.13</v>
      </c>
      <c r="D2810" s="1">
        <v>0</v>
      </c>
      <c r="E2810">
        <f>D2810*C2810</f>
        <v>0</v>
      </c>
      <c r="F2810" s="1" t="s">
        <v>8064</v>
      </c>
      <c r="G2810" s="17">
        <v>66257</v>
      </c>
    </row>
    <row r="2811" spans="1:7">
      <c r="A2811" s="1" t="s">
        <v>8065</v>
      </c>
      <c r="B2811" s="1" t="s">
        <v>8066</v>
      </c>
      <c r="C2811">
        <f>(1-(B7/100))*520.47</f>
        <v>520.47</v>
      </c>
      <c r="D2811" s="1">
        <v>0</v>
      </c>
      <c r="E2811">
        <f>D2811*C2811</f>
        <v>0</v>
      </c>
      <c r="F2811" s="1" t="s">
        <v>8067</v>
      </c>
      <c r="G2811" s="17">
        <v>66270</v>
      </c>
    </row>
    <row r="2812" spans="1:7">
      <c r="A2812" s="1" t="s">
        <v>8068</v>
      </c>
      <c r="B2812" s="1" t="s">
        <v>8069</v>
      </c>
      <c r="C2812">
        <f>(1-(B7/100))*20.38</f>
        <v>20.38</v>
      </c>
      <c r="D2812" s="1">
        <v>0</v>
      </c>
      <c r="E2812">
        <f>D2812*C2812</f>
        <v>0</v>
      </c>
      <c r="F2812" s="1" t="s">
        <v>8070</v>
      </c>
      <c r="G2812" s="17">
        <v>66276</v>
      </c>
    </row>
    <row r="2813" spans="1:7">
      <c r="A2813" s="1" t="s">
        <v>8071</v>
      </c>
      <c r="B2813" s="1" t="s">
        <v>8072</v>
      </c>
      <c r="C2813">
        <f>(1-(B7/100))*568.03</f>
        <v>568.03</v>
      </c>
      <c r="D2813" s="1">
        <v>0</v>
      </c>
      <c r="E2813">
        <f>D2813*C2813</f>
        <v>0</v>
      </c>
      <c r="F2813" s="1" t="s">
        <v>8073</v>
      </c>
      <c r="G2813" s="17">
        <v>66277</v>
      </c>
    </row>
    <row r="2814" spans="1:7">
      <c r="A2814" s="1" t="s">
        <v>8074</v>
      </c>
      <c r="B2814" s="1" t="s">
        <v>8075</v>
      </c>
      <c r="C2814">
        <f>(1-(B7/100))*168.92</f>
        <v>168.92</v>
      </c>
      <c r="D2814" s="1">
        <v>0</v>
      </c>
      <c r="E2814">
        <f>D2814*C2814</f>
        <v>0</v>
      </c>
      <c r="F2814" s="1" t="s">
        <v>8076</v>
      </c>
      <c r="G2814" s="17">
        <v>66282</v>
      </c>
    </row>
    <row r="2815" spans="1:7">
      <c r="A2815" s="1" t="s">
        <v>8077</v>
      </c>
      <c r="B2815" s="1" t="s">
        <v>8078</v>
      </c>
      <c r="C2815">
        <f>(1-(B7/100))*168.92</f>
        <v>168.92</v>
      </c>
      <c r="D2815" s="1">
        <v>0</v>
      </c>
      <c r="E2815">
        <f>D2815*C2815</f>
        <v>0</v>
      </c>
      <c r="F2815" s="1" t="s">
        <v>8079</v>
      </c>
      <c r="G2815" s="17">
        <v>66283</v>
      </c>
    </row>
    <row r="2816" spans="1:7">
      <c r="A2816" s="1" t="s">
        <v>8080</v>
      </c>
      <c r="B2816" s="1" t="s">
        <v>8081</v>
      </c>
      <c r="C2816">
        <f>(1-(B7/100))*1272.02</f>
        <v>1272.02</v>
      </c>
      <c r="D2816" s="1">
        <v>0</v>
      </c>
      <c r="E2816">
        <f>D2816*C2816</f>
        <v>0</v>
      </c>
      <c r="F2816" s="1" t="s">
        <v>8082</v>
      </c>
      <c r="G2816" s="17">
        <v>66287</v>
      </c>
    </row>
    <row r="2817" spans="1:7">
      <c r="A2817" s="1" t="s">
        <v>8083</v>
      </c>
      <c r="B2817" s="1" t="s">
        <v>8084</v>
      </c>
      <c r="C2817">
        <f>(1-(B7/100))*922.26</f>
        <v>922.26</v>
      </c>
      <c r="D2817" s="1">
        <v>0</v>
      </c>
      <c r="E2817">
        <f>D2817*C2817</f>
        <v>0</v>
      </c>
      <c r="F2817" s="1" t="s">
        <v>8085</v>
      </c>
      <c r="G2817" s="17">
        <v>66645</v>
      </c>
    </row>
    <row r="2818" spans="1:7">
      <c r="A2818" s="1" t="s">
        <v>8086</v>
      </c>
      <c r="B2818" s="1" t="s">
        <v>8087</v>
      </c>
      <c r="C2818">
        <f>(1-(B7/100))*253.31</f>
        <v>253.31</v>
      </c>
      <c r="D2818" s="1">
        <v>0</v>
      </c>
      <c r="E2818">
        <f>D2818*C2818</f>
        <v>0</v>
      </c>
      <c r="F2818" s="1" t="s">
        <v>8088</v>
      </c>
      <c r="G2818" s="17">
        <v>66653</v>
      </c>
    </row>
    <row r="2819" spans="1:7">
      <c r="A2819" s="1" t="s">
        <v>8089</v>
      </c>
      <c r="B2819" s="1" t="s">
        <v>8090</v>
      </c>
      <c r="C2819">
        <f>(1-(B7/100))*118.21</f>
        <v>118.21</v>
      </c>
      <c r="D2819" s="1">
        <v>0</v>
      </c>
      <c r="E2819">
        <f>D2819*C2819</f>
        <v>0</v>
      </c>
      <c r="F2819" s="1" t="s">
        <v>8091</v>
      </c>
      <c r="G2819" s="17">
        <v>66792</v>
      </c>
    </row>
    <row r="2820" spans="1:7">
      <c r="A2820" s="1" t="s">
        <v>8092</v>
      </c>
      <c r="B2820" s="1" t="s">
        <v>8093</v>
      </c>
      <c r="C2820">
        <f>(1-(B7/100))*450</f>
        <v>450</v>
      </c>
      <c r="D2820" s="1">
        <v>0</v>
      </c>
      <c r="E2820">
        <f>D2820*C2820</f>
        <v>0</v>
      </c>
      <c r="F2820" s="1" t="s">
        <v>8094</v>
      </c>
      <c r="G2820" s="17">
        <v>66798</v>
      </c>
    </row>
    <row r="2821" spans="1:7">
      <c r="A2821" s="1" t="s">
        <v>8095</v>
      </c>
      <c r="B2821" s="1" t="s">
        <v>8096</v>
      </c>
      <c r="C2821">
        <f>(1-(B7/100))*620.81</f>
        <v>620.81</v>
      </c>
      <c r="D2821" s="1">
        <v>0</v>
      </c>
      <c r="E2821">
        <f>D2821*C2821</f>
        <v>0</v>
      </c>
      <c r="F2821" s="1" t="s">
        <v>8097</v>
      </c>
      <c r="G2821" s="17">
        <v>67386</v>
      </c>
    </row>
    <row r="2822" spans="1:7">
      <c r="A2822" s="1" t="s">
        <v>8098</v>
      </c>
      <c r="B2822" s="1" t="s">
        <v>8099</v>
      </c>
      <c r="C2822">
        <f>(1-(B7/100))*3018.7</f>
        <v>3018.7</v>
      </c>
      <c r="D2822" s="1">
        <v>0</v>
      </c>
      <c r="E2822">
        <f>D2822*C2822</f>
        <v>0</v>
      </c>
      <c r="F2822" s="1" t="s">
        <v>8100</v>
      </c>
      <c r="G2822" s="17">
        <v>67531</v>
      </c>
    </row>
    <row r="2823" spans="1:7">
      <c r="A2823" s="1" t="s">
        <v>8101</v>
      </c>
      <c r="B2823" s="1" t="s">
        <v>8102</v>
      </c>
      <c r="C2823">
        <f>(1-(B7/100))*8.5</f>
        <v>8.5</v>
      </c>
      <c r="D2823" s="1">
        <v>0</v>
      </c>
      <c r="E2823">
        <f>D2823*C2823</f>
        <v>0</v>
      </c>
      <c r="F2823" s="1" t="s">
        <v>8103</v>
      </c>
      <c r="G2823" s="17">
        <v>67573</v>
      </c>
    </row>
    <row r="2824" spans="1:7">
      <c r="A2824" s="1" t="s">
        <v>8104</v>
      </c>
      <c r="B2824" s="1" t="s">
        <v>8105</v>
      </c>
      <c r="C2824">
        <f>(1-(B7/100))*83.27</f>
        <v>83.27</v>
      </c>
      <c r="D2824" s="1">
        <v>0</v>
      </c>
      <c r="E2824">
        <f>D2824*C2824</f>
        <v>0</v>
      </c>
      <c r="F2824" s="1" t="s">
        <v>8106</v>
      </c>
      <c r="G2824" s="17">
        <v>67700</v>
      </c>
    </row>
    <row r="2825" spans="1:7">
      <c r="A2825" s="1" t="s">
        <v>8107</v>
      </c>
      <c r="B2825" s="1" t="s">
        <v>8108</v>
      </c>
      <c r="C2825">
        <f>(1-(B7/100))*260.23</f>
        <v>260.23</v>
      </c>
      <c r="D2825" s="1">
        <v>0</v>
      </c>
      <c r="E2825">
        <f>D2825*C2825</f>
        <v>0</v>
      </c>
      <c r="F2825" s="1" t="s">
        <v>8109</v>
      </c>
      <c r="G2825" s="17">
        <v>67803</v>
      </c>
    </row>
    <row r="2826" spans="1:7">
      <c r="A2826" s="1" t="s">
        <v>8110</v>
      </c>
      <c r="B2826" s="1" t="s">
        <v>8111</v>
      </c>
      <c r="C2826">
        <f>(1-(B7/100))*123</f>
        <v>123</v>
      </c>
      <c r="D2826" s="1">
        <v>0</v>
      </c>
      <c r="E2826">
        <f>D2826*C2826</f>
        <v>0</v>
      </c>
      <c r="F2826" s="1" t="s">
        <v>8112</v>
      </c>
      <c r="G2826" s="17">
        <v>68613</v>
      </c>
    </row>
    <row r="2827" spans="1:7">
      <c r="A2827" s="1" t="s">
        <v>8113</v>
      </c>
      <c r="B2827" s="1" t="s">
        <v>8114</v>
      </c>
      <c r="C2827">
        <f>(1-(B7/100))*1095.87</f>
        <v>1095.87</v>
      </c>
      <c r="D2827" s="1">
        <v>0</v>
      </c>
      <c r="E2827">
        <f>D2827*C2827</f>
        <v>0</v>
      </c>
      <c r="F2827" s="1" t="s">
        <v>8115</v>
      </c>
      <c r="G2827" s="17">
        <v>68743</v>
      </c>
    </row>
    <row r="2828" spans="1:7">
      <c r="A2828" s="1" t="s">
        <v>8116</v>
      </c>
      <c r="B2828" s="1" t="s">
        <v>8117</v>
      </c>
      <c r="C2828">
        <f>(1-(B7/100))*113.91</f>
        <v>113.91</v>
      </c>
      <c r="D2828" s="1">
        <v>0</v>
      </c>
      <c r="E2828">
        <f>D2828*C2828</f>
        <v>0</v>
      </c>
      <c r="F2828" s="1" t="s">
        <v>8118</v>
      </c>
      <c r="G2828" s="17">
        <v>68794</v>
      </c>
    </row>
    <row r="2829" spans="1:7">
      <c r="A2829" s="1" t="s">
        <v>8119</v>
      </c>
      <c r="B2829" s="1" t="s">
        <v>8120</v>
      </c>
      <c r="C2829">
        <f>(1-(B7/100))*2252.3</f>
        <v>2252.3</v>
      </c>
      <c r="D2829" s="1">
        <v>0</v>
      </c>
      <c r="E2829">
        <f>D2829*C2829</f>
        <v>0</v>
      </c>
      <c r="F2829" s="1" t="s">
        <v>8121</v>
      </c>
      <c r="G2829" s="17">
        <v>68952</v>
      </c>
    </row>
    <row r="2830" spans="1:7">
      <c r="A2830" s="1" t="s">
        <v>8122</v>
      </c>
      <c r="B2830" s="1" t="s">
        <v>8123</v>
      </c>
      <c r="C2830">
        <f>(1-(B7/100))*287.05</f>
        <v>287.05</v>
      </c>
      <c r="D2830" s="1">
        <v>0</v>
      </c>
      <c r="E2830">
        <f>D2830*C2830</f>
        <v>0</v>
      </c>
      <c r="F2830" s="1" t="s">
        <v>8124</v>
      </c>
      <c r="G2830" s="17">
        <v>69378</v>
      </c>
    </row>
    <row r="2831" spans="1:7">
      <c r="A2831" s="1" t="s">
        <v>8125</v>
      </c>
      <c r="B2831" s="1" t="s">
        <v>8126</v>
      </c>
      <c r="C2831">
        <f>(1-(B7/100))*77.79</f>
        <v>77.79</v>
      </c>
      <c r="D2831" s="1">
        <v>0</v>
      </c>
      <c r="E2831">
        <f>D2831*C2831</f>
        <v>0</v>
      </c>
      <c r="F2831" s="1" t="s">
        <v>8127</v>
      </c>
      <c r="G2831" s="17">
        <v>71064</v>
      </c>
    </row>
    <row r="2832" spans="1:7">
      <c r="A2832" s="1" t="s">
        <v>8128</v>
      </c>
      <c r="B2832" s="1" t="s">
        <v>8129</v>
      </c>
      <c r="C2832">
        <f>(1-(B7/100))*181.36</f>
        <v>181.36</v>
      </c>
      <c r="D2832" s="1">
        <v>0</v>
      </c>
      <c r="E2832">
        <f>D2832*C2832</f>
        <v>0</v>
      </c>
      <c r="F2832" s="1" t="s">
        <v>8130</v>
      </c>
      <c r="G2832" s="17">
        <v>71090</v>
      </c>
    </row>
    <row r="2833" spans="1:7">
      <c r="A2833" s="1" t="s">
        <v>8131</v>
      </c>
      <c r="B2833" s="1" t="s">
        <v>8132</v>
      </c>
      <c r="C2833">
        <f>(1-(B7/100))*1013.52</f>
        <v>1013.52</v>
      </c>
      <c r="D2833" s="1">
        <v>0</v>
      </c>
      <c r="E2833">
        <f>D2833*C2833</f>
        <v>0</v>
      </c>
      <c r="F2833" s="1" t="s">
        <v>8133</v>
      </c>
      <c r="G2833" s="17">
        <v>71101</v>
      </c>
    </row>
    <row r="2834" spans="1:7">
      <c r="A2834" s="1" t="s">
        <v>8134</v>
      </c>
      <c r="B2834" s="1" t="s">
        <v>8135</v>
      </c>
      <c r="C2834">
        <f>(1-(B7/100))*59.79</f>
        <v>59.79</v>
      </c>
      <c r="D2834" s="1">
        <v>0</v>
      </c>
      <c r="E2834">
        <f>D2834*C2834</f>
        <v>0</v>
      </c>
      <c r="F2834" s="1" t="s">
        <v>8136</v>
      </c>
      <c r="G2834" s="17">
        <v>71116</v>
      </c>
    </row>
    <row r="2835" spans="1:7">
      <c r="A2835" s="1" t="s">
        <v>8137</v>
      </c>
      <c r="B2835" s="1" t="s">
        <v>8138</v>
      </c>
      <c r="C2835">
        <f>(1-(B7/100))*1592.2</f>
        <v>1592.2</v>
      </c>
      <c r="D2835" s="1">
        <v>0</v>
      </c>
      <c r="E2835">
        <f>D2835*C2835</f>
        <v>0</v>
      </c>
      <c r="F2835" s="1" t="s">
        <v>8139</v>
      </c>
      <c r="G2835" s="17">
        <v>71197</v>
      </c>
    </row>
    <row r="2836" spans="1:7">
      <c r="A2836" s="1" t="s">
        <v>8140</v>
      </c>
      <c r="B2836" s="1" t="s">
        <v>8141</v>
      </c>
      <c r="C2836">
        <f>(1-(B7/100))*1592.85</f>
        <v>1592.85</v>
      </c>
      <c r="D2836" s="1">
        <v>0</v>
      </c>
      <c r="E2836">
        <f>D2836*C2836</f>
        <v>0</v>
      </c>
      <c r="F2836" s="1" t="s">
        <v>8142</v>
      </c>
      <c r="G2836" s="17">
        <v>71198</v>
      </c>
    </row>
    <row r="2837" spans="1:7">
      <c r="A2837" s="1" t="s">
        <v>8143</v>
      </c>
      <c r="B2837" s="1" t="s">
        <v>8144</v>
      </c>
      <c r="C2837">
        <f>(1-(B7/100))*2202.01</f>
        <v>2202.01</v>
      </c>
      <c r="D2837" s="1">
        <v>0</v>
      </c>
      <c r="E2837">
        <f>D2837*C2837</f>
        <v>0</v>
      </c>
      <c r="F2837" s="1" t="s">
        <v>8145</v>
      </c>
      <c r="G2837" s="17">
        <v>71199</v>
      </c>
    </row>
    <row r="2838" spans="1:7">
      <c r="A2838" s="1" t="s">
        <v>8146</v>
      </c>
      <c r="B2838" s="1" t="s">
        <v>8147</v>
      </c>
      <c r="C2838">
        <f>(1-(B7/100))*2106.32</f>
        <v>2106.32</v>
      </c>
      <c r="D2838" s="1">
        <v>0</v>
      </c>
      <c r="E2838">
        <f>D2838*C2838</f>
        <v>0</v>
      </c>
      <c r="F2838" s="1" t="s">
        <v>8148</v>
      </c>
      <c r="G2838" s="17">
        <v>71200</v>
      </c>
    </row>
    <row r="2839" spans="1:7">
      <c r="A2839" s="1" t="s">
        <v>8149</v>
      </c>
      <c r="B2839" s="1" t="s">
        <v>8150</v>
      </c>
      <c r="C2839">
        <f>(1-(B7/100))*1595.15</f>
        <v>1595.15</v>
      </c>
      <c r="D2839" s="1">
        <v>0</v>
      </c>
      <c r="E2839">
        <f>D2839*C2839</f>
        <v>0</v>
      </c>
      <c r="F2839" s="1" t="s">
        <v>8151</v>
      </c>
      <c r="G2839" s="17">
        <v>71201</v>
      </c>
    </row>
    <row r="2840" spans="1:7">
      <c r="A2840" s="1" t="s">
        <v>8152</v>
      </c>
      <c r="B2840" s="1" t="s">
        <v>8153</v>
      </c>
      <c r="C2840">
        <f>(1-(B7/100))*1592.85</f>
        <v>1592.85</v>
      </c>
      <c r="D2840" s="1">
        <v>0</v>
      </c>
      <c r="E2840">
        <f>D2840*C2840</f>
        <v>0</v>
      </c>
      <c r="F2840" s="1" t="s">
        <v>8154</v>
      </c>
      <c r="G2840" s="17">
        <v>71202</v>
      </c>
    </row>
    <row r="2841" spans="1:7">
      <c r="A2841" s="1" t="s">
        <v>8155</v>
      </c>
      <c r="B2841" s="1" t="s">
        <v>8156</v>
      </c>
      <c r="C2841">
        <f>(1-(B7/100))*1761.25</f>
        <v>1761.25</v>
      </c>
      <c r="D2841" s="1">
        <v>0</v>
      </c>
      <c r="E2841">
        <f>D2841*C2841</f>
        <v>0</v>
      </c>
      <c r="F2841" s="1" t="s">
        <v>8157</v>
      </c>
      <c r="G2841" s="17">
        <v>71203</v>
      </c>
    </row>
    <row r="2842" spans="1:7">
      <c r="A2842" s="1" t="s">
        <v>8158</v>
      </c>
      <c r="B2842" s="1" t="s">
        <v>8159</v>
      </c>
      <c r="C2842">
        <f>(1-(B7/100))*2106.32</f>
        <v>2106.32</v>
      </c>
      <c r="D2842" s="1">
        <v>0</v>
      </c>
      <c r="E2842">
        <f>D2842*C2842</f>
        <v>0</v>
      </c>
      <c r="F2842" s="1" t="s">
        <v>8160</v>
      </c>
      <c r="G2842" s="17">
        <v>71204</v>
      </c>
    </row>
    <row r="2843" spans="1:7">
      <c r="A2843" s="1" t="s">
        <v>8161</v>
      </c>
      <c r="B2843" s="1" t="s">
        <v>8162</v>
      </c>
      <c r="C2843">
        <f>(1-(B7/100))*1593.66</f>
        <v>1593.66</v>
      </c>
      <c r="D2843" s="1">
        <v>0</v>
      </c>
      <c r="E2843">
        <f>D2843*C2843</f>
        <v>0</v>
      </c>
      <c r="F2843" s="1" t="s">
        <v>8163</v>
      </c>
      <c r="G2843" s="17">
        <v>71205</v>
      </c>
    </row>
    <row r="2844" spans="1:7">
      <c r="A2844" s="1" t="s">
        <v>8164</v>
      </c>
      <c r="B2844" s="1" t="s">
        <v>8165</v>
      </c>
      <c r="C2844">
        <f>(1-(B7/100))*1592.85</f>
        <v>1592.85</v>
      </c>
      <c r="D2844" s="1">
        <v>0</v>
      </c>
      <c r="E2844">
        <f>D2844*C2844</f>
        <v>0</v>
      </c>
      <c r="F2844" s="1" t="s">
        <v>8166</v>
      </c>
      <c r="G2844" s="17">
        <v>71206</v>
      </c>
    </row>
    <row r="2845" spans="1:7">
      <c r="A2845" s="1" t="s">
        <v>8167</v>
      </c>
      <c r="B2845" s="1" t="s">
        <v>8168</v>
      </c>
      <c r="C2845">
        <f>(1-(B7/100))*1723.36</f>
        <v>1723.36</v>
      </c>
      <c r="D2845" s="1">
        <v>0</v>
      </c>
      <c r="E2845">
        <f>D2845*C2845</f>
        <v>0</v>
      </c>
      <c r="F2845" s="1" t="s">
        <v>8169</v>
      </c>
      <c r="G2845" s="17">
        <v>71207</v>
      </c>
    </row>
    <row r="2846" spans="1:7">
      <c r="A2846" s="1" t="s">
        <v>8170</v>
      </c>
      <c r="B2846" s="1" t="s">
        <v>8171</v>
      </c>
      <c r="C2846">
        <f>(1-(B7/100))*2106.32</f>
        <v>2106.32</v>
      </c>
      <c r="D2846" s="1">
        <v>0</v>
      </c>
      <c r="E2846">
        <f>D2846*C2846</f>
        <v>0</v>
      </c>
      <c r="F2846" s="1" t="s">
        <v>8172</v>
      </c>
      <c r="G2846" s="17">
        <v>71208</v>
      </c>
    </row>
    <row r="2847" spans="1:7">
      <c r="A2847" s="1" t="s">
        <v>8173</v>
      </c>
      <c r="B2847" s="1" t="s">
        <v>8174</v>
      </c>
      <c r="C2847">
        <f>(1-(B7/100))*1665.49</f>
        <v>1665.49</v>
      </c>
      <c r="D2847" s="1">
        <v>0</v>
      </c>
      <c r="E2847">
        <f>D2847*C2847</f>
        <v>0</v>
      </c>
      <c r="F2847" s="1" t="s">
        <v>16</v>
      </c>
      <c r="G2847" s="17">
        <v>71379</v>
      </c>
    </row>
    <row r="2848" spans="1:7">
      <c r="A2848" s="1" t="s">
        <v>8175</v>
      </c>
      <c r="B2848" s="1" t="s">
        <v>8176</v>
      </c>
      <c r="C2848">
        <f>(1-(B7/100))*180.44</f>
        <v>180.44</v>
      </c>
      <c r="D2848" s="1">
        <v>0</v>
      </c>
      <c r="E2848">
        <f>D2848*C2848</f>
        <v>0</v>
      </c>
      <c r="F2848" s="1" t="s">
        <v>8177</v>
      </c>
      <c r="G2848" s="17">
        <v>71454</v>
      </c>
    </row>
    <row r="2849" spans="1:7">
      <c r="A2849" s="1" t="s">
        <v>8178</v>
      </c>
      <c r="B2849" s="1" t="s">
        <v>8179</v>
      </c>
      <c r="C2849">
        <f>(1-(B7/100))*168.92</f>
        <v>168.92</v>
      </c>
      <c r="D2849" s="1">
        <v>0</v>
      </c>
      <c r="E2849">
        <f>D2849*C2849</f>
        <v>0</v>
      </c>
      <c r="F2849" s="1" t="s">
        <v>8180</v>
      </c>
      <c r="G2849" s="17">
        <v>71455</v>
      </c>
    </row>
    <row r="2850" spans="1:7">
      <c r="A2850" s="1" t="s">
        <v>8181</v>
      </c>
      <c r="B2850" s="1" t="s">
        <v>8182</v>
      </c>
      <c r="C2850">
        <f>(1-(B7/100))*146.8</f>
        <v>146.8</v>
      </c>
      <c r="D2850" s="1">
        <v>0</v>
      </c>
      <c r="E2850">
        <f>D2850*C2850</f>
        <v>0</v>
      </c>
      <c r="F2850" s="1" t="s">
        <v>8183</v>
      </c>
      <c r="G2850" s="17">
        <v>71457</v>
      </c>
    </row>
    <row r="2851" spans="1:7">
      <c r="A2851" s="1" t="s">
        <v>8184</v>
      </c>
      <c r="B2851" s="1" t="s">
        <v>8185</v>
      </c>
      <c r="C2851">
        <f>(1-(B7/100))*111.63</f>
        <v>111.63</v>
      </c>
      <c r="D2851" s="1">
        <v>0</v>
      </c>
      <c r="E2851">
        <f>D2851*C2851</f>
        <v>0</v>
      </c>
      <c r="F2851" s="1" t="s">
        <v>8186</v>
      </c>
      <c r="G2851" s="17">
        <v>71471</v>
      </c>
    </row>
    <row r="2852" spans="1:7">
      <c r="A2852" s="1" t="s">
        <v>8187</v>
      </c>
      <c r="B2852" s="1" t="s">
        <v>8188</v>
      </c>
      <c r="C2852">
        <f>(1-(B7/100))*174.76</f>
        <v>174.76</v>
      </c>
      <c r="D2852" s="1">
        <v>0</v>
      </c>
      <c r="E2852">
        <f>D2852*C2852</f>
        <v>0</v>
      </c>
      <c r="F2852" s="1" t="s">
        <v>8189</v>
      </c>
      <c r="G2852" s="17">
        <v>71482</v>
      </c>
    </row>
    <row r="2853" spans="1:7">
      <c r="A2853" s="1" t="s">
        <v>8190</v>
      </c>
      <c r="B2853" s="1" t="s">
        <v>8191</v>
      </c>
      <c r="C2853">
        <f>(1-(B7/100))*2081.87</f>
        <v>2081.87</v>
      </c>
      <c r="D2853" s="1">
        <v>0</v>
      </c>
      <c r="E2853">
        <f>D2853*C2853</f>
        <v>0</v>
      </c>
      <c r="F2853" s="1" t="s">
        <v>16</v>
      </c>
      <c r="G2853" s="17">
        <v>71484</v>
      </c>
    </row>
    <row r="2854" spans="1:7">
      <c r="A2854" s="1" t="s">
        <v>8192</v>
      </c>
      <c r="B2854" s="1" t="s">
        <v>8193</v>
      </c>
      <c r="C2854">
        <f>(1-(B7/100))*260.23</f>
        <v>260.23</v>
      </c>
      <c r="D2854" s="1">
        <v>0</v>
      </c>
      <c r="E2854">
        <f>D2854*C2854</f>
        <v>0</v>
      </c>
      <c r="F2854" s="1" t="s">
        <v>16</v>
      </c>
      <c r="G2854" s="17">
        <v>71486</v>
      </c>
    </row>
    <row r="2855" spans="1:7">
      <c r="A2855" s="1" t="s">
        <v>8194</v>
      </c>
      <c r="B2855" s="1" t="s">
        <v>8195</v>
      </c>
      <c r="C2855">
        <f>(1-(B7/100))*1417.25</f>
        <v>1417.25</v>
      </c>
      <c r="D2855" s="1">
        <v>0</v>
      </c>
      <c r="E2855">
        <f>D2855*C2855</f>
        <v>0</v>
      </c>
      <c r="F2855" s="1" t="s">
        <v>8196</v>
      </c>
      <c r="G2855" s="17">
        <v>71813</v>
      </c>
    </row>
    <row r="2856" spans="1:7">
      <c r="A2856" s="1" t="s">
        <v>8197</v>
      </c>
      <c r="B2856" s="1" t="s">
        <v>8198</v>
      </c>
      <c r="C2856">
        <f>(1-(B7/100))*1850.34</f>
        <v>1850.34</v>
      </c>
      <c r="D2856" s="1">
        <v>0</v>
      </c>
      <c r="E2856">
        <f>D2856*C2856</f>
        <v>0</v>
      </c>
      <c r="F2856" s="1" t="s">
        <v>8199</v>
      </c>
      <c r="G2856" s="17">
        <v>71814</v>
      </c>
    </row>
    <row r="2857" spans="1:7">
      <c r="A2857" s="1" t="s">
        <v>8200</v>
      </c>
      <c r="B2857" s="1" t="s">
        <v>8201</v>
      </c>
      <c r="C2857">
        <f>(1-(B7/100))*18216.32</f>
        <v>18216.32</v>
      </c>
      <c r="D2857" s="1">
        <v>0</v>
      </c>
      <c r="E2857">
        <f>D2857*C2857</f>
        <v>0</v>
      </c>
      <c r="F2857" s="1" t="s">
        <v>16</v>
      </c>
      <c r="G2857" s="17">
        <v>71983</v>
      </c>
    </row>
    <row r="2858" spans="1:7">
      <c r="A2858" s="1" t="s">
        <v>8202</v>
      </c>
      <c r="B2858" s="1" t="s">
        <v>8203</v>
      </c>
      <c r="C2858">
        <f>(1-(B7/100))*468.42</f>
        <v>468.42</v>
      </c>
      <c r="D2858" s="1">
        <v>0</v>
      </c>
      <c r="E2858">
        <f>D2858*C2858</f>
        <v>0</v>
      </c>
      <c r="F2858" s="1" t="s">
        <v>16</v>
      </c>
      <c r="G2858" s="17">
        <v>72053</v>
      </c>
    </row>
    <row r="2859" spans="1:7">
      <c r="A2859" s="1" t="s">
        <v>8204</v>
      </c>
      <c r="B2859" s="1" t="s">
        <v>8205</v>
      </c>
      <c r="C2859">
        <f>(1-(B7/100))*1600</f>
        <v>1600</v>
      </c>
      <c r="D2859" s="1">
        <v>0</v>
      </c>
      <c r="E2859">
        <f>D2859*C2859</f>
        <v>0</v>
      </c>
      <c r="F2859" s="1" t="s">
        <v>8206</v>
      </c>
      <c r="G2859" s="17">
        <v>72161</v>
      </c>
    </row>
    <row r="2860" spans="1:7">
      <c r="A2860" s="1" t="s">
        <v>8207</v>
      </c>
      <c r="B2860" s="1" t="s">
        <v>8208</v>
      </c>
      <c r="C2860">
        <f>(1-(B7/100))*1500</f>
        <v>1500</v>
      </c>
      <c r="D2860" s="1">
        <v>0</v>
      </c>
      <c r="E2860">
        <f>D2860*C2860</f>
        <v>0</v>
      </c>
      <c r="F2860" s="1" t="s">
        <v>8209</v>
      </c>
      <c r="G2860" s="17">
        <v>72162</v>
      </c>
    </row>
    <row r="2861" spans="1:7">
      <c r="A2861" s="1" t="s">
        <v>8210</v>
      </c>
      <c r="B2861" s="1" t="s">
        <v>8211</v>
      </c>
      <c r="C2861">
        <f>(1-(B7/100))*1100</f>
        <v>1100</v>
      </c>
      <c r="D2861" s="1">
        <v>0</v>
      </c>
      <c r="E2861">
        <f>D2861*C2861</f>
        <v>0</v>
      </c>
      <c r="F2861" s="1" t="s">
        <v>16</v>
      </c>
      <c r="G2861" s="17">
        <v>72171</v>
      </c>
    </row>
    <row r="2862" spans="1:7">
      <c r="A2862" s="1" t="s">
        <v>8212</v>
      </c>
      <c r="B2862" s="1" t="s">
        <v>8213</v>
      </c>
      <c r="C2862">
        <f>(1-(B7/100))*950</f>
        <v>950</v>
      </c>
      <c r="D2862" s="1">
        <v>0</v>
      </c>
      <c r="E2862">
        <f>D2862*C2862</f>
        <v>0</v>
      </c>
      <c r="F2862" s="1" t="s">
        <v>16</v>
      </c>
      <c r="G2862" s="17">
        <v>72172</v>
      </c>
    </row>
    <row r="2863" spans="1:7">
      <c r="A2863" s="1" t="s">
        <v>8214</v>
      </c>
      <c r="B2863" s="1" t="s">
        <v>8215</v>
      </c>
      <c r="C2863">
        <f>(1-(B7/100))*3435.08</f>
        <v>3435.08</v>
      </c>
      <c r="D2863" s="1">
        <v>0</v>
      </c>
      <c r="E2863">
        <f>D2863*C2863</f>
        <v>0</v>
      </c>
      <c r="F2863" s="1" t="s">
        <v>8216</v>
      </c>
      <c r="G2863" s="17">
        <v>72229</v>
      </c>
    </row>
    <row r="2864" spans="1:7">
      <c r="A2864" s="1" t="s">
        <v>8217</v>
      </c>
      <c r="B2864" s="1" t="s">
        <v>8218</v>
      </c>
      <c r="C2864">
        <f>(1-(B7/100))*135.32</f>
        <v>135.32</v>
      </c>
      <c r="D2864" s="1">
        <v>0</v>
      </c>
      <c r="E2864">
        <f>D2864*C2864</f>
        <v>0</v>
      </c>
      <c r="F2864" s="1" t="s">
        <v>8219</v>
      </c>
      <c r="G2864" s="17">
        <v>72233</v>
      </c>
    </row>
    <row r="2865" spans="1:7">
      <c r="A2865" s="1" t="s">
        <v>8220</v>
      </c>
      <c r="B2865" s="1" t="s">
        <v>8221</v>
      </c>
      <c r="C2865">
        <f>(1-(B7/100))*1860.45</f>
        <v>1860.45</v>
      </c>
      <c r="D2865" s="1">
        <v>0</v>
      </c>
      <c r="E2865">
        <f>D2865*C2865</f>
        <v>0</v>
      </c>
      <c r="F2865" s="1" t="s">
        <v>8222</v>
      </c>
      <c r="G2865" s="17">
        <v>72330</v>
      </c>
    </row>
    <row r="2866" spans="1:7">
      <c r="A2866" s="1" t="s">
        <v>8223</v>
      </c>
      <c r="B2866" s="1" t="s">
        <v>8224</v>
      </c>
      <c r="C2866">
        <f>(1-(B7/100))*163.97</f>
        <v>163.97</v>
      </c>
      <c r="D2866" s="1">
        <v>0</v>
      </c>
      <c r="E2866">
        <f>D2866*C2866</f>
        <v>0</v>
      </c>
      <c r="F2866" s="1" t="s">
        <v>8225</v>
      </c>
      <c r="G2866" s="17">
        <v>72451</v>
      </c>
    </row>
    <row r="2867" spans="1:7">
      <c r="A2867" s="1" t="s">
        <v>8226</v>
      </c>
      <c r="B2867" s="1" t="s">
        <v>8227</v>
      </c>
      <c r="C2867">
        <f>(1-(B7/100))*152.05</f>
        <v>152.05</v>
      </c>
      <c r="D2867" s="1">
        <v>0</v>
      </c>
      <c r="E2867">
        <f>D2867*C2867</f>
        <v>0</v>
      </c>
      <c r="F2867" s="1" t="s">
        <v>8228</v>
      </c>
      <c r="G2867" s="17">
        <v>72532</v>
      </c>
    </row>
    <row r="2868" spans="1:7">
      <c r="A2868" s="1" t="s">
        <v>8229</v>
      </c>
      <c r="B2868" s="1" t="s">
        <v>8230</v>
      </c>
      <c r="C2868">
        <f>(1-(B7/100))*2269.39</f>
        <v>2269.39</v>
      </c>
      <c r="D2868" s="1">
        <v>0</v>
      </c>
      <c r="E2868">
        <f>D2868*C2868</f>
        <v>0</v>
      </c>
      <c r="F2868" s="1" t="s">
        <v>8231</v>
      </c>
      <c r="G2868" s="17">
        <v>72594</v>
      </c>
    </row>
    <row r="2869" spans="1:7">
      <c r="A2869" s="1" t="s">
        <v>8232</v>
      </c>
      <c r="B2869" s="1" t="s">
        <v>8233</v>
      </c>
      <c r="C2869">
        <f>(1-(B7/100))*665.26</f>
        <v>665.26</v>
      </c>
      <c r="D2869" s="1">
        <v>0</v>
      </c>
      <c r="E2869">
        <f>D2869*C2869</f>
        <v>0</v>
      </c>
      <c r="F2869" s="1" t="s">
        <v>8234</v>
      </c>
      <c r="G2869" s="17">
        <v>72791</v>
      </c>
    </row>
    <row r="2870" spans="1:7">
      <c r="A2870" s="1" t="s">
        <v>8235</v>
      </c>
      <c r="B2870" s="1" t="s">
        <v>8236</v>
      </c>
      <c r="C2870">
        <f>(1-(B7/100))*788.31</f>
        <v>788.31</v>
      </c>
      <c r="D2870" s="1">
        <v>0</v>
      </c>
      <c r="E2870">
        <f>D2870*C2870</f>
        <v>0</v>
      </c>
      <c r="F2870" s="1" t="s">
        <v>8237</v>
      </c>
      <c r="G2870" s="17">
        <v>72843</v>
      </c>
    </row>
    <row r="2871" spans="1:7">
      <c r="A2871" s="1" t="s">
        <v>8238</v>
      </c>
      <c r="B2871" s="1" t="s">
        <v>8239</v>
      </c>
      <c r="C2871">
        <f>(1-(B7/100))*506.77</f>
        <v>506.77</v>
      </c>
      <c r="D2871" s="1">
        <v>0</v>
      </c>
      <c r="E2871">
        <f>D2871*C2871</f>
        <v>0</v>
      </c>
      <c r="F2871" s="1" t="s">
        <v>8240</v>
      </c>
      <c r="G2871" s="17">
        <v>72844</v>
      </c>
    </row>
    <row r="2872" spans="1:7">
      <c r="A2872" s="1" t="s">
        <v>8241</v>
      </c>
      <c r="B2872" s="1" t="s">
        <v>8242</v>
      </c>
      <c r="C2872">
        <f>(1-(B7/100))*168.92</f>
        <v>168.92</v>
      </c>
      <c r="D2872" s="1">
        <v>0</v>
      </c>
      <c r="E2872">
        <f>D2872*C2872</f>
        <v>0</v>
      </c>
      <c r="F2872" s="1" t="s">
        <v>8243</v>
      </c>
      <c r="G2872" s="17">
        <v>72845</v>
      </c>
    </row>
    <row r="2873" spans="1:7">
      <c r="A2873" s="1" t="s">
        <v>8244</v>
      </c>
      <c r="B2873" s="1" t="s">
        <v>8245</v>
      </c>
      <c r="C2873">
        <f>(1-(B7/100))*202.71</f>
        <v>202.71</v>
      </c>
      <c r="D2873" s="1">
        <v>0</v>
      </c>
      <c r="E2873">
        <f>D2873*C2873</f>
        <v>0</v>
      </c>
      <c r="F2873" s="1" t="s">
        <v>8246</v>
      </c>
      <c r="G2873" s="17">
        <v>72846</v>
      </c>
    </row>
    <row r="2874" spans="1:7">
      <c r="A2874" s="1" t="s">
        <v>8247</v>
      </c>
      <c r="B2874" s="1" t="s">
        <v>8248</v>
      </c>
      <c r="C2874">
        <f>(1-(B7/100))*202.71</f>
        <v>202.71</v>
      </c>
      <c r="D2874" s="1">
        <v>0</v>
      </c>
      <c r="E2874">
        <f>D2874*C2874</f>
        <v>0</v>
      </c>
      <c r="F2874" s="1" t="s">
        <v>8249</v>
      </c>
      <c r="G2874" s="17">
        <v>72847</v>
      </c>
    </row>
    <row r="2875" spans="1:7">
      <c r="A2875" s="1" t="s">
        <v>8250</v>
      </c>
      <c r="B2875" s="1" t="s">
        <v>8251</v>
      </c>
      <c r="C2875">
        <f>(1-(B7/100))*2441.68</f>
        <v>2441.68</v>
      </c>
      <c r="D2875" s="1">
        <v>0</v>
      </c>
      <c r="E2875">
        <f>D2875*C2875</f>
        <v>0</v>
      </c>
      <c r="F2875" s="1" t="s">
        <v>8252</v>
      </c>
      <c r="G2875" s="17">
        <v>72849</v>
      </c>
    </row>
    <row r="2876" spans="1:7">
      <c r="A2876" s="1" t="s">
        <v>8253</v>
      </c>
      <c r="B2876" s="1" t="s">
        <v>8254</v>
      </c>
      <c r="C2876">
        <f>(1-(B7/100))*116.19</f>
        <v>116.19</v>
      </c>
      <c r="D2876" s="1">
        <v>0</v>
      </c>
      <c r="E2876">
        <f>D2876*C2876</f>
        <v>0</v>
      </c>
      <c r="F2876" s="1" t="s">
        <v>8255</v>
      </c>
      <c r="G2876" s="17">
        <v>72910</v>
      </c>
    </row>
    <row r="2877" spans="1:7">
      <c r="A2877" s="1" t="s">
        <v>8256</v>
      </c>
      <c r="B2877" s="1" t="s">
        <v>8257</v>
      </c>
      <c r="C2877">
        <f>(1-(B7/100))*1821.63</f>
        <v>1821.63</v>
      </c>
      <c r="D2877" s="1">
        <v>0</v>
      </c>
      <c r="E2877">
        <f>D2877*C2877</f>
        <v>0</v>
      </c>
      <c r="F2877" s="1" t="s">
        <v>8258</v>
      </c>
      <c r="G2877" s="17">
        <v>72988</v>
      </c>
    </row>
    <row r="2878" spans="1:7">
      <c r="A2878" s="1" t="s">
        <v>8259</v>
      </c>
      <c r="B2878" s="1" t="s">
        <v>8260</v>
      </c>
      <c r="C2878">
        <f>(1-(B7/100))*1821.63</f>
        <v>1821.63</v>
      </c>
      <c r="D2878" s="1">
        <v>0</v>
      </c>
      <c r="E2878">
        <f>D2878*C2878</f>
        <v>0</v>
      </c>
      <c r="F2878" s="1" t="s">
        <v>8261</v>
      </c>
      <c r="G2878" s="17">
        <v>72989</v>
      </c>
    </row>
    <row r="2879" spans="1:7">
      <c r="A2879" s="1" t="s">
        <v>8262</v>
      </c>
      <c r="B2879" s="1" t="s">
        <v>8263</v>
      </c>
      <c r="C2879">
        <f>(1-(B7/100))*1821.63</f>
        <v>1821.63</v>
      </c>
      <c r="D2879" s="1">
        <v>0</v>
      </c>
      <c r="E2879">
        <f>D2879*C2879</f>
        <v>0</v>
      </c>
      <c r="F2879" s="1" t="s">
        <v>8264</v>
      </c>
      <c r="G2879" s="17">
        <v>72990</v>
      </c>
    </row>
    <row r="2880" spans="1:7">
      <c r="A2880" s="1" t="s">
        <v>8265</v>
      </c>
      <c r="B2880" s="1" t="s">
        <v>8266</v>
      </c>
      <c r="C2880">
        <f>(1-(B7/100))*286.92</f>
        <v>286.92</v>
      </c>
      <c r="D2880" s="1">
        <v>0</v>
      </c>
      <c r="E2880">
        <f>D2880*C2880</f>
        <v>0</v>
      </c>
      <c r="F2880" s="1" t="s">
        <v>8267</v>
      </c>
      <c r="G2880" s="17">
        <v>73083</v>
      </c>
    </row>
    <row r="2881" spans="1:7">
      <c r="A2881" s="1" t="s">
        <v>8268</v>
      </c>
      <c r="B2881" s="1" t="s">
        <v>8269</v>
      </c>
      <c r="C2881">
        <f>(1-(B7/100))*152.29</f>
        <v>152.29</v>
      </c>
      <c r="D2881" s="1">
        <v>0</v>
      </c>
      <c r="E2881">
        <f>D2881*C2881</f>
        <v>0</v>
      </c>
      <c r="F2881" s="1" t="s">
        <v>8270</v>
      </c>
      <c r="G2881" s="17">
        <v>73154</v>
      </c>
    </row>
    <row r="2882" spans="1:7">
      <c r="A2882" s="1" t="s">
        <v>8271</v>
      </c>
      <c r="B2882" s="1" t="s">
        <v>8272</v>
      </c>
      <c r="C2882">
        <f>(1-(B7/100))*19257.26</f>
        <v>19257.26</v>
      </c>
      <c r="D2882" s="1">
        <v>0</v>
      </c>
      <c r="E2882">
        <f>D2882*C2882</f>
        <v>0</v>
      </c>
      <c r="F2882" s="1" t="s">
        <v>8273</v>
      </c>
      <c r="G2882" s="17">
        <v>73176</v>
      </c>
    </row>
    <row r="2883" spans="1:7">
      <c r="A2883" s="1" t="s">
        <v>8274</v>
      </c>
      <c r="B2883" s="1" t="s">
        <v>8275</v>
      </c>
      <c r="C2883">
        <f>(1-(B7/100))*1665.49</f>
        <v>1665.49</v>
      </c>
      <c r="D2883" s="1">
        <v>0</v>
      </c>
      <c r="E2883">
        <f>D2883*C2883</f>
        <v>0</v>
      </c>
      <c r="F2883" s="1" t="s">
        <v>8276</v>
      </c>
      <c r="G2883" s="17">
        <v>73179</v>
      </c>
    </row>
    <row r="2884" spans="1:7">
      <c r="A2884" s="1" t="s">
        <v>8277</v>
      </c>
      <c r="B2884" s="1" t="s">
        <v>8278</v>
      </c>
      <c r="C2884">
        <f>(1-(B7/100))*3186.93</f>
        <v>3186.93</v>
      </c>
      <c r="D2884" s="1">
        <v>0</v>
      </c>
      <c r="E2884">
        <f>D2884*C2884</f>
        <v>0</v>
      </c>
      <c r="F2884" s="1" t="s">
        <v>8279</v>
      </c>
      <c r="G2884" s="17">
        <v>73671</v>
      </c>
    </row>
    <row r="2885" spans="1:7">
      <c r="A2885" s="1" t="s">
        <v>8280</v>
      </c>
      <c r="B2885" s="1" t="s">
        <v>8281</v>
      </c>
      <c r="C2885">
        <f>(1-(B7/100))*128.9</f>
        <v>128.9</v>
      </c>
      <c r="D2885" s="1">
        <v>0</v>
      </c>
      <c r="E2885">
        <f>D2885*C2885</f>
        <v>0</v>
      </c>
      <c r="F2885" s="1" t="s">
        <v>8282</v>
      </c>
      <c r="G2885" s="17">
        <v>73673</v>
      </c>
    </row>
    <row r="2886" spans="1:7">
      <c r="A2886" s="1" t="s">
        <v>8283</v>
      </c>
      <c r="B2886" s="1" t="s">
        <v>8284</v>
      </c>
      <c r="C2886">
        <f>(1-(B7/100))*124.06</f>
        <v>124.06</v>
      </c>
      <c r="D2886" s="1">
        <v>0</v>
      </c>
      <c r="E2886">
        <f>D2886*C2886</f>
        <v>0</v>
      </c>
      <c r="F2886" s="1" t="s">
        <v>8285</v>
      </c>
      <c r="G2886" s="17">
        <v>73676</v>
      </c>
    </row>
    <row r="2887" spans="1:7">
      <c r="A2887" s="1" t="s">
        <v>8286</v>
      </c>
      <c r="B2887" s="1" t="s">
        <v>8287</v>
      </c>
      <c r="C2887">
        <f>(1-(B7/100))*197.63</f>
        <v>197.63</v>
      </c>
      <c r="D2887" s="1">
        <v>0</v>
      </c>
      <c r="E2887">
        <f>D2887*C2887</f>
        <v>0</v>
      </c>
      <c r="F2887" s="1" t="s">
        <v>8288</v>
      </c>
      <c r="G2887" s="17">
        <v>73712</v>
      </c>
    </row>
    <row r="2888" spans="1:7">
      <c r="A2888" s="1">
        <v>16105245</v>
      </c>
      <c r="B2888" s="1" t="s">
        <v>8289</v>
      </c>
      <c r="C2888">
        <f>(1-(B7/100))*196.44</f>
        <v>196.44</v>
      </c>
      <c r="D2888" s="1">
        <v>0</v>
      </c>
      <c r="E2888">
        <f>D2888*C2888</f>
        <v>0</v>
      </c>
      <c r="F2888" s="1" t="s">
        <v>8290</v>
      </c>
      <c r="G2888" s="17">
        <v>73722</v>
      </c>
    </row>
    <row r="2889" spans="1:7">
      <c r="A2889" s="1" t="s">
        <v>8291</v>
      </c>
      <c r="B2889" s="1" t="s">
        <v>8292</v>
      </c>
      <c r="C2889">
        <f>(1-(B7/100))*109.88</f>
        <v>109.88</v>
      </c>
      <c r="D2889" s="1">
        <v>0</v>
      </c>
      <c r="E2889">
        <f>D2889*C2889</f>
        <v>0</v>
      </c>
      <c r="F2889" s="1" t="s">
        <v>8293</v>
      </c>
      <c r="G2889" s="17">
        <v>74225</v>
      </c>
    </row>
    <row r="2890" spans="1:7">
      <c r="A2890" s="1" t="s">
        <v>8294</v>
      </c>
      <c r="B2890" s="1" t="s">
        <v>8295</v>
      </c>
      <c r="C2890">
        <f>(1-(B7/100))*1405.26</f>
        <v>1405.26</v>
      </c>
      <c r="D2890" s="1">
        <v>0</v>
      </c>
      <c r="E2890">
        <f>D2890*C2890</f>
        <v>0</v>
      </c>
      <c r="F2890" s="1" t="s">
        <v>8296</v>
      </c>
      <c r="G2890" s="17">
        <v>78375</v>
      </c>
    </row>
    <row r="2891" spans="1:7">
      <c r="A2891" s="1" t="s">
        <v>8297</v>
      </c>
      <c r="B2891" s="1" t="s">
        <v>8298</v>
      </c>
      <c r="C2891">
        <f>(1-(B7/100))*2071.46</f>
        <v>2071.46</v>
      </c>
      <c r="D2891" s="1">
        <v>0</v>
      </c>
      <c r="E2891">
        <f>D2891*C2891</f>
        <v>0</v>
      </c>
      <c r="F2891" s="1" t="s">
        <v>8299</v>
      </c>
      <c r="G2891" s="17">
        <v>78733</v>
      </c>
    </row>
    <row r="2892" spans="1:7">
      <c r="A2892" s="1" t="s">
        <v>8300</v>
      </c>
      <c r="B2892" s="1" t="s">
        <v>8301</v>
      </c>
      <c r="C2892">
        <f>(1-(B7/100))*92.64</f>
        <v>92.64</v>
      </c>
      <c r="D2892" s="1">
        <v>0</v>
      </c>
      <c r="E2892">
        <f>D2892*C2892</f>
        <v>0</v>
      </c>
      <c r="F2892" s="1" t="s">
        <v>8302</v>
      </c>
      <c r="G2892" s="17">
        <v>78739</v>
      </c>
    </row>
    <row r="2893" spans="1:7">
      <c r="A2893" s="1" t="s">
        <v>8303</v>
      </c>
      <c r="B2893" s="1" t="s">
        <v>8304</v>
      </c>
      <c r="C2893">
        <f>(1-(B7/100))*884.79</f>
        <v>884.79</v>
      </c>
      <c r="D2893" s="1">
        <v>0</v>
      </c>
      <c r="E2893">
        <f>D2893*C2893</f>
        <v>0</v>
      </c>
      <c r="F2893" s="1" t="s">
        <v>8305</v>
      </c>
      <c r="G2893" s="17">
        <v>78746</v>
      </c>
    </row>
    <row r="2894" spans="1:7">
      <c r="A2894" s="1" t="s">
        <v>8306</v>
      </c>
      <c r="B2894" s="1" t="s">
        <v>8307</v>
      </c>
      <c r="C2894">
        <f>(1-(B7/100))*8.72</f>
        <v>8.72</v>
      </c>
      <c r="D2894" s="1">
        <v>0</v>
      </c>
      <c r="E2894">
        <f>D2894*C2894</f>
        <v>0</v>
      </c>
      <c r="F2894" s="1" t="s">
        <v>8308</v>
      </c>
      <c r="G2894" s="17">
        <v>78760</v>
      </c>
    </row>
    <row r="2895" spans="1:7">
      <c r="A2895" s="1" t="s">
        <v>8309</v>
      </c>
      <c r="B2895" s="1" t="s">
        <v>8310</v>
      </c>
      <c r="C2895">
        <f>(1-(B7/100))*197.31</f>
        <v>197.31</v>
      </c>
      <c r="D2895" s="1">
        <v>0</v>
      </c>
      <c r="E2895">
        <f>D2895*C2895</f>
        <v>0</v>
      </c>
      <c r="F2895" s="1" t="s">
        <v>8311</v>
      </c>
      <c r="G2895" s="17">
        <v>78769</v>
      </c>
    </row>
    <row r="2896" spans="1:7">
      <c r="A2896" s="1" t="s">
        <v>8312</v>
      </c>
      <c r="B2896" s="1" t="s">
        <v>8313</v>
      </c>
      <c r="C2896">
        <f>(1-(B7/100))*695.17</f>
        <v>695.17</v>
      </c>
      <c r="D2896" s="1">
        <v>0</v>
      </c>
      <c r="E2896">
        <f>D2896*C2896</f>
        <v>0</v>
      </c>
      <c r="F2896" s="1" t="s">
        <v>8314</v>
      </c>
      <c r="G2896" s="17">
        <v>78771</v>
      </c>
    </row>
    <row r="2897" spans="1:7">
      <c r="A2897" s="1" t="s">
        <v>8315</v>
      </c>
      <c r="B2897" s="1" t="s">
        <v>8316</v>
      </c>
      <c r="C2897">
        <f>(1-(B7/100))*357.08</f>
        <v>357.08</v>
      </c>
      <c r="D2897" s="1">
        <v>0</v>
      </c>
      <c r="E2897">
        <f>D2897*C2897</f>
        <v>0</v>
      </c>
      <c r="F2897" s="1" t="s">
        <v>8317</v>
      </c>
      <c r="G2897" s="17">
        <v>78779</v>
      </c>
    </row>
    <row r="2898" spans="1:7">
      <c r="A2898" s="1" t="s">
        <v>8318</v>
      </c>
      <c r="B2898" s="1" t="s">
        <v>8319</v>
      </c>
      <c r="C2898">
        <f>(1-(B7/100))*355.43</f>
        <v>355.43</v>
      </c>
      <c r="D2898" s="1">
        <v>0</v>
      </c>
      <c r="E2898">
        <f>D2898*C2898</f>
        <v>0</v>
      </c>
      <c r="F2898" s="1" t="s">
        <v>8320</v>
      </c>
      <c r="G2898" s="17">
        <v>78780</v>
      </c>
    </row>
    <row r="2899" spans="1:7">
      <c r="A2899" s="1" t="s">
        <v>8321</v>
      </c>
      <c r="B2899" s="1" t="s">
        <v>8322</v>
      </c>
      <c r="C2899">
        <f>(1-(B7/100))*19.12</f>
        <v>19.12</v>
      </c>
      <c r="D2899" s="1">
        <v>0</v>
      </c>
      <c r="E2899">
        <f>D2899*C2899</f>
        <v>0</v>
      </c>
      <c r="F2899" s="1" t="s">
        <v>8323</v>
      </c>
      <c r="G2899" s="17">
        <v>78783</v>
      </c>
    </row>
    <row r="2900" spans="1:7">
      <c r="A2900" s="1" t="s">
        <v>8324</v>
      </c>
      <c r="B2900" s="1" t="s">
        <v>8325</v>
      </c>
      <c r="C2900">
        <f>(1-(B7/100))*12.51</f>
        <v>12.51</v>
      </c>
      <c r="D2900" s="1">
        <v>0</v>
      </c>
      <c r="E2900">
        <f>D2900*C2900</f>
        <v>0</v>
      </c>
      <c r="F2900" s="1" t="s">
        <v>8326</v>
      </c>
      <c r="G2900" s="17">
        <v>78786</v>
      </c>
    </row>
    <row r="2901" spans="1:7">
      <c r="A2901" s="1" t="s">
        <v>8327</v>
      </c>
      <c r="B2901" s="1" t="s">
        <v>8328</v>
      </c>
      <c r="C2901">
        <f>(1-(B7/100))*114.28</f>
        <v>114.28</v>
      </c>
      <c r="D2901" s="1">
        <v>0</v>
      </c>
      <c r="E2901">
        <f>D2901*C2901</f>
        <v>0</v>
      </c>
      <c r="F2901" s="1" t="s">
        <v>8329</v>
      </c>
      <c r="G2901" s="17">
        <v>78787</v>
      </c>
    </row>
    <row r="2902" spans="1:7">
      <c r="A2902" s="1" t="s">
        <v>8330</v>
      </c>
      <c r="B2902" s="1" t="s">
        <v>8331</v>
      </c>
      <c r="C2902">
        <f>(1-(B7/100))*400.6</f>
        <v>400.6</v>
      </c>
      <c r="D2902" s="1">
        <v>0</v>
      </c>
      <c r="E2902">
        <f>D2902*C2902</f>
        <v>0</v>
      </c>
      <c r="F2902" s="1" t="s">
        <v>8332</v>
      </c>
      <c r="G2902" s="17">
        <v>78788</v>
      </c>
    </row>
    <row r="2903" spans="1:7">
      <c r="A2903" s="1" t="s">
        <v>8333</v>
      </c>
      <c r="B2903" s="1" t="s">
        <v>8334</v>
      </c>
      <c r="C2903">
        <f>(1-(B7/100))*329.55</f>
        <v>329.55</v>
      </c>
      <c r="D2903" s="1">
        <v>0</v>
      </c>
      <c r="E2903">
        <f>D2903*C2903</f>
        <v>0</v>
      </c>
      <c r="F2903" s="1" t="s">
        <v>8335</v>
      </c>
      <c r="G2903" s="17">
        <v>78789</v>
      </c>
    </row>
    <row r="2904" spans="1:7">
      <c r="A2904" s="1" t="s">
        <v>8336</v>
      </c>
      <c r="B2904" s="1" t="s">
        <v>8337</v>
      </c>
      <c r="C2904">
        <f>(1-(B7/100))*10.41</f>
        <v>10.41</v>
      </c>
      <c r="D2904" s="1">
        <v>0</v>
      </c>
      <c r="E2904">
        <f>D2904*C2904</f>
        <v>0</v>
      </c>
      <c r="F2904" s="1" t="s">
        <v>8338</v>
      </c>
      <c r="G2904" s="17">
        <v>78797</v>
      </c>
    </row>
    <row r="2905" spans="1:7">
      <c r="A2905" s="1" t="s">
        <v>8339</v>
      </c>
      <c r="B2905" s="1" t="s">
        <v>8340</v>
      </c>
      <c r="C2905">
        <f>(1-(B7/100))*3563.71</f>
        <v>3563.71</v>
      </c>
      <c r="D2905" s="1">
        <v>0</v>
      </c>
      <c r="E2905">
        <f>D2905*C2905</f>
        <v>0</v>
      </c>
      <c r="F2905" s="1" t="s">
        <v>8341</v>
      </c>
      <c r="G2905" s="17">
        <v>78802</v>
      </c>
    </row>
    <row r="2906" spans="1:7">
      <c r="A2906" s="1" t="s">
        <v>8342</v>
      </c>
      <c r="B2906" s="1" t="s">
        <v>8343</v>
      </c>
      <c r="C2906">
        <f>(1-(B7/100))*3750.05</f>
        <v>3750.05</v>
      </c>
      <c r="D2906" s="1">
        <v>0</v>
      </c>
      <c r="E2906">
        <f>D2906*C2906</f>
        <v>0</v>
      </c>
      <c r="F2906" s="1" t="s">
        <v>8344</v>
      </c>
      <c r="G2906" s="17">
        <v>78808</v>
      </c>
    </row>
    <row r="2907" spans="1:7">
      <c r="A2907" s="1" t="s">
        <v>8345</v>
      </c>
      <c r="B2907" s="1" t="s">
        <v>8346</v>
      </c>
      <c r="C2907">
        <f>(1-(B7/100))*38.84</f>
        <v>38.84</v>
      </c>
      <c r="D2907" s="1">
        <v>0</v>
      </c>
      <c r="E2907">
        <f>D2907*C2907</f>
        <v>0</v>
      </c>
      <c r="F2907" s="1" t="s">
        <v>8347</v>
      </c>
      <c r="G2907" s="17">
        <v>78814</v>
      </c>
    </row>
    <row r="2908" spans="1:7">
      <c r="A2908" s="1" t="s">
        <v>8348</v>
      </c>
      <c r="B2908" s="1" t="s">
        <v>8349</v>
      </c>
      <c r="C2908">
        <f>(1-(B7/100))*780.7</f>
        <v>780.7</v>
      </c>
      <c r="D2908" s="1">
        <v>0</v>
      </c>
      <c r="E2908">
        <f>D2908*C2908</f>
        <v>0</v>
      </c>
      <c r="F2908" s="1" t="s">
        <v>8350</v>
      </c>
      <c r="G2908" s="17">
        <v>78825</v>
      </c>
    </row>
    <row r="2909" spans="1:7">
      <c r="A2909" s="1" t="s">
        <v>8351</v>
      </c>
      <c r="B2909" s="1" t="s">
        <v>8352</v>
      </c>
      <c r="C2909">
        <f>(1-(B7/100))*197.39</f>
        <v>197.39</v>
      </c>
      <c r="D2909" s="1">
        <v>0</v>
      </c>
      <c r="E2909">
        <f>D2909*C2909</f>
        <v>0</v>
      </c>
      <c r="F2909" s="1" t="s">
        <v>8353</v>
      </c>
      <c r="G2909" s="17">
        <v>78833</v>
      </c>
    </row>
    <row r="2910" spans="1:7">
      <c r="A2910" s="1" t="s">
        <v>8354</v>
      </c>
      <c r="B2910" s="1" t="s">
        <v>8355</v>
      </c>
      <c r="C2910">
        <f>(1-(B7/100))*192.57</f>
        <v>192.57</v>
      </c>
      <c r="D2910" s="1">
        <v>0</v>
      </c>
      <c r="E2910">
        <f>D2910*C2910</f>
        <v>0</v>
      </c>
      <c r="F2910" s="1" t="s">
        <v>8356</v>
      </c>
      <c r="G2910" s="17">
        <v>78837</v>
      </c>
    </row>
    <row r="2911" spans="1:7">
      <c r="A2911" s="1" t="s">
        <v>8357</v>
      </c>
      <c r="B2911" s="1" t="s">
        <v>8358</v>
      </c>
      <c r="C2911">
        <f>(1-(B7/100))*8.58</f>
        <v>8.58</v>
      </c>
      <c r="D2911" s="1">
        <v>0</v>
      </c>
      <c r="E2911">
        <f>D2911*C2911</f>
        <v>0</v>
      </c>
      <c r="F2911" s="1" t="s">
        <v>8359</v>
      </c>
      <c r="G2911" s="17">
        <v>78839</v>
      </c>
    </row>
    <row r="2912" spans="1:7">
      <c r="A2912" s="1" t="s">
        <v>8360</v>
      </c>
      <c r="B2912" s="1" t="s">
        <v>8361</v>
      </c>
      <c r="C2912">
        <f>(1-(B7/100))*266.86</f>
        <v>266.86</v>
      </c>
      <c r="D2912" s="1">
        <v>0</v>
      </c>
      <c r="E2912">
        <f>D2912*C2912</f>
        <v>0</v>
      </c>
      <c r="F2912" s="1" t="s">
        <v>8362</v>
      </c>
      <c r="G2912" s="17">
        <v>78840</v>
      </c>
    </row>
    <row r="2913" spans="1:7">
      <c r="A2913" s="1" t="s">
        <v>8363</v>
      </c>
      <c r="B2913" s="1" t="s">
        <v>8364</v>
      </c>
      <c r="C2913">
        <f>(1-(B7/100))*1127.98</f>
        <v>1127.98</v>
      </c>
      <c r="D2913" s="1">
        <v>0</v>
      </c>
      <c r="E2913">
        <f>D2913*C2913</f>
        <v>0</v>
      </c>
      <c r="F2913" s="1" t="s">
        <v>8365</v>
      </c>
      <c r="G2913" s="17">
        <v>78841</v>
      </c>
    </row>
    <row r="2914" spans="1:7">
      <c r="A2914" s="1" t="s">
        <v>8366</v>
      </c>
      <c r="B2914" s="1" t="s">
        <v>8367</v>
      </c>
      <c r="C2914">
        <f>(1-(B7/100))*108.25</f>
        <v>108.25</v>
      </c>
      <c r="D2914" s="1">
        <v>0</v>
      </c>
      <c r="E2914">
        <f>D2914*C2914</f>
        <v>0</v>
      </c>
      <c r="F2914" s="1" t="s">
        <v>8368</v>
      </c>
      <c r="G2914" s="17">
        <v>78856</v>
      </c>
    </row>
    <row r="2915" spans="1:7">
      <c r="A2915" s="1" t="s">
        <v>8369</v>
      </c>
      <c r="B2915" s="1" t="s">
        <v>8370</v>
      </c>
      <c r="C2915">
        <f>(1-(B7/100))*181.57</f>
        <v>181.57</v>
      </c>
      <c r="D2915" s="1">
        <v>0</v>
      </c>
      <c r="E2915">
        <f>D2915*C2915</f>
        <v>0</v>
      </c>
      <c r="F2915" s="1" t="s">
        <v>8371</v>
      </c>
      <c r="G2915" s="17">
        <v>78858</v>
      </c>
    </row>
    <row r="2916" spans="1:7">
      <c r="A2916" s="1" t="s">
        <v>8372</v>
      </c>
      <c r="B2916" s="1" t="s">
        <v>8373</v>
      </c>
      <c r="C2916">
        <f>(1-(B7/100))*135.73</f>
        <v>135.73</v>
      </c>
      <c r="D2916" s="1">
        <v>0</v>
      </c>
      <c r="E2916">
        <f>D2916*C2916</f>
        <v>0</v>
      </c>
      <c r="F2916" s="1" t="s">
        <v>8374</v>
      </c>
      <c r="G2916" s="17">
        <v>78886</v>
      </c>
    </row>
    <row r="2917" spans="1:7">
      <c r="A2917" s="1" t="s">
        <v>8375</v>
      </c>
      <c r="B2917" s="1" t="s">
        <v>8376</v>
      </c>
      <c r="C2917">
        <f>(1-(B7/100))*135.73</f>
        <v>135.73</v>
      </c>
      <c r="D2917" s="1">
        <v>0</v>
      </c>
      <c r="E2917">
        <f>D2917*C2917</f>
        <v>0</v>
      </c>
      <c r="F2917" s="1" t="s">
        <v>8377</v>
      </c>
      <c r="G2917" s="17">
        <v>78887</v>
      </c>
    </row>
    <row r="2918" spans="1:7">
      <c r="A2918" s="1" t="s">
        <v>8378</v>
      </c>
      <c r="B2918" s="1" t="s">
        <v>8379</v>
      </c>
      <c r="C2918">
        <f>(1-(B7/100))*135.73</f>
        <v>135.73</v>
      </c>
      <c r="D2918" s="1">
        <v>0</v>
      </c>
      <c r="E2918">
        <f>D2918*C2918</f>
        <v>0</v>
      </c>
      <c r="F2918" s="1" t="s">
        <v>8380</v>
      </c>
      <c r="G2918" s="17">
        <v>78888</v>
      </c>
    </row>
    <row r="2919" spans="1:7">
      <c r="A2919" s="1" t="s">
        <v>8381</v>
      </c>
      <c r="B2919" s="1" t="s">
        <v>8382</v>
      </c>
      <c r="C2919">
        <f>(1-(B7/100))*32.46</f>
        <v>32.46</v>
      </c>
      <c r="D2919" s="1">
        <v>0</v>
      </c>
      <c r="E2919">
        <f>D2919*C2919</f>
        <v>0</v>
      </c>
      <c r="F2919" s="1" t="s">
        <v>8383</v>
      </c>
      <c r="G2919" s="17">
        <v>78891</v>
      </c>
    </row>
    <row r="2920" spans="1:7">
      <c r="A2920" s="1" t="s">
        <v>8384</v>
      </c>
      <c r="B2920" s="1" t="s">
        <v>8385</v>
      </c>
      <c r="C2920">
        <f>(1-(B7/100))*39.18</f>
        <v>39.18</v>
      </c>
      <c r="D2920" s="1">
        <v>0</v>
      </c>
      <c r="E2920">
        <f>D2920*C2920</f>
        <v>0</v>
      </c>
      <c r="F2920" s="1" t="s">
        <v>8386</v>
      </c>
      <c r="G2920" s="17">
        <v>78892</v>
      </c>
    </row>
    <row r="2921" spans="1:7">
      <c r="A2921" s="1" t="s">
        <v>8387</v>
      </c>
      <c r="B2921" s="1" t="s">
        <v>8388</v>
      </c>
      <c r="C2921">
        <f>(1-(B7/100))*202.97</f>
        <v>202.97</v>
      </c>
      <c r="D2921" s="1">
        <v>0</v>
      </c>
      <c r="E2921">
        <f>D2921*C2921</f>
        <v>0</v>
      </c>
      <c r="F2921" s="1" t="s">
        <v>8389</v>
      </c>
      <c r="G2921" s="17">
        <v>78905</v>
      </c>
    </row>
    <row r="2922" spans="1:7">
      <c r="A2922" s="1" t="s">
        <v>8390</v>
      </c>
      <c r="B2922" s="1" t="s">
        <v>8391</v>
      </c>
      <c r="C2922">
        <f>(1-(B7/100))*111.82</f>
        <v>111.82</v>
      </c>
      <c r="D2922" s="1">
        <v>0</v>
      </c>
      <c r="E2922">
        <f>D2922*C2922</f>
        <v>0</v>
      </c>
      <c r="F2922" s="1" t="s">
        <v>8392</v>
      </c>
      <c r="G2922" s="17">
        <v>78910</v>
      </c>
    </row>
    <row r="2923" spans="1:7">
      <c r="A2923" s="1" t="s">
        <v>8393</v>
      </c>
      <c r="B2923" s="1" t="s">
        <v>8394</v>
      </c>
      <c r="C2923">
        <f>(1-(B7/100))*493.47</f>
        <v>493.47</v>
      </c>
      <c r="D2923" s="1">
        <v>0</v>
      </c>
      <c r="E2923">
        <f>D2923*C2923</f>
        <v>0</v>
      </c>
      <c r="F2923" s="1" t="s">
        <v>8395</v>
      </c>
      <c r="G2923" s="17">
        <v>78916</v>
      </c>
    </row>
    <row r="2924" spans="1:7">
      <c r="A2924" s="1" t="s">
        <v>8396</v>
      </c>
      <c r="B2924" s="1" t="s">
        <v>8397</v>
      </c>
      <c r="C2924">
        <f>(1-(B7/100))*1121.47</f>
        <v>1121.47</v>
      </c>
      <c r="D2924" s="1">
        <v>0</v>
      </c>
      <c r="E2924">
        <f>D2924*C2924</f>
        <v>0</v>
      </c>
      <c r="F2924" s="1" t="s">
        <v>8398</v>
      </c>
      <c r="G2924" s="17">
        <v>78917</v>
      </c>
    </row>
    <row r="2925" spans="1:7">
      <c r="A2925" s="1" t="s">
        <v>8399</v>
      </c>
      <c r="B2925" s="1" t="s">
        <v>8400</v>
      </c>
      <c r="C2925">
        <f>(1-(B7/100))*103.73</f>
        <v>103.73</v>
      </c>
      <c r="D2925" s="1">
        <v>0</v>
      </c>
      <c r="E2925">
        <f>D2925*C2925</f>
        <v>0</v>
      </c>
      <c r="F2925" s="1" t="s">
        <v>8401</v>
      </c>
      <c r="G2925" s="17">
        <v>78918</v>
      </c>
    </row>
    <row r="2926" spans="1:7">
      <c r="A2926" s="1" t="s">
        <v>8402</v>
      </c>
      <c r="B2926" s="1" t="s">
        <v>8403</v>
      </c>
      <c r="C2926">
        <f>(1-(B7/100))*67.87</f>
        <v>67.87</v>
      </c>
      <c r="D2926" s="1">
        <v>0</v>
      </c>
      <c r="E2926">
        <f>D2926*C2926</f>
        <v>0</v>
      </c>
      <c r="F2926" s="1" t="s">
        <v>8404</v>
      </c>
      <c r="G2926" s="17">
        <v>78919</v>
      </c>
    </row>
    <row r="2927" spans="1:7">
      <c r="A2927" s="1" t="s">
        <v>8405</v>
      </c>
      <c r="B2927" s="1" t="s">
        <v>8406</v>
      </c>
      <c r="C2927">
        <f>(1-(B7/100))*1180.26</f>
        <v>1180.26</v>
      </c>
      <c r="D2927" s="1">
        <v>0</v>
      </c>
      <c r="E2927">
        <f>D2927*C2927</f>
        <v>0</v>
      </c>
      <c r="F2927" s="1" t="s">
        <v>8407</v>
      </c>
      <c r="G2927" s="17">
        <v>78923</v>
      </c>
    </row>
    <row r="2928" spans="1:7">
      <c r="A2928" s="1" t="s">
        <v>8408</v>
      </c>
      <c r="B2928" s="1" t="s">
        <v>8409</v>
      </c>
      <c r="C2928">
        <f>(1-(B7/100))*1078.76</f>
        <v>1078.76</v>
      </c>
      <c r="D2928" s="1">
        <v>0</v>
      </c>
      <c r="E2928">
        <f>D2928*C2928</f>
        <v>0</v>
      </c>
      <c r="F2928" s="1" t="s">
        <v>8410</v>
      </c>
      <c r="G2928" s="17">
        <v>78925</v>
      </c>
    </row>
    <row r="2929" spans="1:7">
      <c r="A2929" s="1" t="s">
        <v>8411</v>
      </c>
      <c r="B2929" s="1" t="s">
        <v>8412</v>
      </c>
      <c r="C2929">
        <f>(1-(B7/100))*174.29</f>
        <v>174.29</v>
      </c>
      <c r="D2929" s="1">
        <v>0</v>
      </c>
      <c r="E2929">
        <f>D2929*C2929</f>
        <v>0</v>
      </c>
      <c r="F2929" s="1" t="s">
        <v>8413</v>
      </c>
      <c r="G2929" s="17">
        <v>78927</v>
      </c>
    </row>
    <row r="2930" spans="1:7">
      <c r="A2930" s="1" t="s">
        <v>8414</v>
      </c>
      <c r="B2930" s="1" t="s">
        <v>8415</v>
      </c>
      <c r="C2930">
        <f>(1-(B7/100))*63.86</f>
        <v>63.86</v>
      </c>
      <c r="D2930" s="1">
        <v>0</v>
      </c>
      <c r="E2930">
        <f>D2930*C2930</f>
        <v>0</v>
      </c>
      <c r="F2930" s="1" t="s">
        <v>8416</v>
      </c>
      <c r="G2930" s="17">
        <v>78933</v>
      </c>
    </row>
    <row r="2931" spans="1:7">
      <c r="A2931" s="1" t="s">
        <v>8417</v>
      </c>
      <c r="B2931" s="1" t="s">
        <v>8418</v>
      </c>
      <c r="C2931">
        <f>(1-(B7/100))*72.23</f>
        <v>72.23</v>
      </c>
      <c r="D2931" s="1">
        <v>0</v>
      </c>
      <c r="E2931">
        <f>D2931*C2931</f>
        <v>0</v>
      </c>
      <c r="F2931" s="1" t="s">
        <v>8419</v>
      </c>
      <c r="G2931" s="17">
        <v>78936</v>
      </c>
    </row>
    <row r="2932" spans="1:7">
      <c r="A2932" s="1" t="s">
        <v>8420</v>
      </c>
      <c r="B2932" s="1" t="s">
        <v>8421</v>
      </c>
      <c r="C2932">
        <f>(1-(B7/100))*869.35</f>
        <v>869.35</v>
      </c>
      <c r="D2932" s="1">
        <v>0</v>
      </c>
      <c r="E2932">
        <f>D2932*C2932</f>
        <v>0</v>
      </c>
      <c r="F2932" s="1" t="s">
        <v>8422</v>
      </c>
      <c r="G2932" s="17">
        <v>78937</v>
      </c>
    </row>
    <row r="2933" spans="1:7">
      <c r="A2933" s="1" t="s">
        <v>8423</v>
      </c>
      <c r="B2933" s="1" t="s">
        <v>8424</v>
      </c>
      <c r="C2933">
        <f>(1-(B7/100))*157.86</f>
        <v>157.86</v>
      </c>
      <c r="D2933" s="1">
        <v>0</v>
      </c>
      <c r="E2933">
        <f>D2933*C2933</f>
        <v>0</v>
      </c>
      <c r="F2933" s="1" t="s">
        <v>8425</v>
      </c>
      <c r="G2933" s="17">
        <v>78946</v>
      </c>
    </row>
    <row r="2934" spans="1:7">
      <c r="A2934" s="1" t="s">
        <v>8426</v>
      </c>
      <c r="B2934" s="1" t="s">
        <v>8427</v>
      </c>
      <c r="C2934">
        <f>(1-(B7/100))*92.08</f>
        <v>92.08</v>
      </c>
      <c r="D2934" s="1">
        <v>0</v>
      </c>
      <c r="E2934">
        <f>D2934*C2934</f>
        <v>0</v>
      </c>
      <c r="F2934" s="1" t="s">
        <v>8428</v>
      </c>
      <c r="G2934" s="17">
        <v>78948</v>
      </c>
    </row>
    <row r="2935" spans="1:7">
      <c r="A2935" s="1" t="s">
        <v>8429</v>
      </c>
      <c r="B2935" s="1" t="s">
        <v>8430</v>
      </c>
      <c r="C2935">
        <f>(1-(B7/100))*118.05</f>
        <v>118.05</v>
      </c>
      <c r="D2935" s="1">
        <v>0</v>
      </c>
      <c r="E2935">
        <f>D2935*C2935</f>
        <v>0</v>
      </c>
      <c r="F2935" s="1" t="s">
        <v>8431</v>
      </c>
      <c r="G2935" s="17">
        <v>78951</v>
      </c>
    </row>
    <row r="2936" spans="1:7">
      <c r="A2936" s="1" t="s">
        <v>8432</v>
      </c>
      <c r="B2936" s="1" t="s">
        <v>8433</v>
      </c>
      <c r="C2936">
        <f>(1-(B7/100))*88.92</f>
        <v>88.92</v>
      </c>
      <c r="D2936" s="1">
        <v>0</v>
      </c>
      <c r="E2936">
        <f>D2936*C2936</f>
        <v>0</v>
      </c>
      <c r="F2936" s="1" t="s">
        <v>8434</v>
      </c>
      <c r="G2936" s="17">
        <v>78954</v>
      </c>
    </row>
    <row r="2937" spans="1:7">
      <c r="A2937" s="1" t="s">
        <v>8435</v>
      </c>
      <c r="B2937" s="1" t="s">
        <v>8436</v>
      </c>
      <c r="C2937">
        <f>(1-(B7/100))*505.87</f>
        <v>505.87</v>
      </c>
      <c r="D2937" s="1">
        <v>0</v>
      </c>
      <c r="E2937">
        <f>D2937*C2937</f>
        <v>0</v>
      </c>
      <c r="F2937" s="1" t="s">
        <v>8437</v>
      </c>
      <c r="G2937" s="17">
        <v>78957</v>
      </c>
    </row>
    <row r="2938" spans="1:7">
      <c r="A2938" s="1" t="s">
        <v>8438</v>
      </c>
      <c r="B2938" s="1" t="s">
        <v>8439</v>
      </c>
      <c r="C2938">
        <f>(1-(B7/100))*1141.99</f>
        <v>1141.99</v>
      </c>
      <c r="D2938" s="1">
        <v>0</v>
      </c>
      <c r="E2938">
        <f>D2938*C2938</f>
        <v>0</v>
      </c>
      <c r="F2938" s="1" t="s">
        <v>8440</v>
      </c>
      <c r="G2938" s="17">
        <v>78980</v>
      </c>
    </row>
    <row r="2939" spans="1:7">
      <c r="A2939" s="1" t="s">
        <v>8441</v>
      </c>
      <c r="B2939" s="1" t="s">
        <v>8442</v>
      </c>
      <c r="C2939">
        <f>(1-(B7/100))*163.06</f>
        <v>163.06</v>
      </c>
      <c r="D2939" s="1">
        <v>0</v>
      </c>
      <c r="E2939">
        <f>D2939*C2939</f>
        <v>0</v>
      </c>
      <c r="F2939" s="1" t="s">
        <v>8443</v>
      </c>
      <c r="G2939" s="17">
        <v>78982</v>
      </c>
    </row>
    <row r="2940" spans="1:7">
      <c r="A2940" s="1" t="s">
        <v>8444</v>
      </c>
      <c r="B2940" s="1" t="s">
        <v>8445</v>
      </c>
      <c r="C2940">
        <f>(1-(B7/100))*109.14</f>
        <v>109.14</v>
      </c>
      <c r="D2940" s="1">
        <v>0</v>
      </c>
      <c r="E2940">
        <f>D2940*C2940</f>
        <v>0</v>
      </c>
      <c r="F2940" s="1" t="s">
        <v>8446</v>
      </c>
      <c r="G2940" s="17">
        <v>78983</v>
      </c>
    </row>
    <row r="2941" spans="1:7">
      <c r="A2941" s="1" t="s">
        <v>8447</v>
      </c>
      <c r="B2941" s="1" t="s">
        <v>8448</v>
      </c>
      <c r="C2941">
        <f>(1-(B7/100))*28.97</f>
        <v>28.97</v>
      </c>
      <c r="D2941" s="1">
        <v>0</v>
      </c>
      <c r="E2941">
        <f>D2941*C2941</f>
        <v>0</v>
      </c>
      <c r="F2941" s="1" t="s">
        <v>8449</v>
      </c>
      <c r="G2941" s="17">
        <v>78985</v>
      </c>
    </row>
    <row r="2942" spans="1:7">
      <c r="A2942" s="1" t="s">
        <v>8450</v>
      </c>
      <c r="B2942" s="1" t="s">
        <v>8451</v>
      </c>
      <c r="C2942">
        <f>(1-(B7/100))*102.51</f>
        <v>102.51</v>
      </c>
      <c r="D2942" s="1">
        <v>0</v>
      </c>
      <c r="E2942">
        <f>D2942*C2942</f>
        <v>0</v>
      </c>
      <c r="F2942" s="1" t="s">
        <v>8452</v>
      </c>
      <c r="G2942" s="17">
        <v>78990</v>
      </c>
    </row>
    <row r="2943" spans="1:7">
      <c r="A2943" s="1" t="s">
        <v>8453</v>
      </c>
      <c r="B2943" s="1" t="s">
        <v>8454</v>
      </c>
      <c r="C2943">
        <f>(1-(B7/100))*183.09</f>
        <v>183.09</v>
      </c>
      <c r="D2943" s="1">
        <v>0</v>
      </c>
      <c r="E2943">
        <f>D2943*C2943</f>
        <v>0</v>
      </c>
      <c r="F2943" s="1" t="s">
        <v>8455</v>
      </c>
      <c r="G2943" s="17">
        <v>78991</v>
      </c>
    </row>
    <row r="2944" spans="1:7">
      <c r="A2944" s="1" t="s">
        <v>8456</v>
      </c>
      <c r="B2944" s="1" t="s">
        <v>8457</v>
      </c>
      <c r="C2944">
        <f>(1-(B7/100))*63.86</f>
        <v>63.86</v>
      </c>
      <c r="D2944" s="1">
        <v>0</v>
      </c>
      <c r="E2944">
        <f>D2944*C2944</f>
        <v>0</v>
      </c>
      <c r="F2944" s="1" t="s">
        <v>8458</v>
      </c>
      <c r="G2944" s="17">
        <v>78992</v>
      </c>
    </row>
    <row r="2945" spans="1:7">
      <c r="A2945" s="1" t="s">
        <v>8459</v>
      </c>
      <c r="B2945" s="1" t="s">
        <v>8460</v>
      </c>
      <c r="C2945">
        <f>(1-(B7/100))*63.86</f>
        <v>63.86</v>
      </c>
      <c r="D2945" s="1">
        <v>0</v>
      </c>
      <c r="E2945">
        <f>D2945*C2945</f>
        <v>0</v>
      </c>
      <c r="F2945" s="1" t="s">
        <v>8461</v>
      </c>
      <c r="G2945" s="17">
        <v>78993</v>
      </c>
    </row>
    <row r="2946" spans="1:7">
      <c r="A2946" s="1" t="s">
        <v>8462</v>
      </c>
      <c r="B2946" s="1" t="s">
        <v>8463</v>
      </c>
      <c r="C2946">
        <f>(1-(B7/100))*63.86</f>
        <v>63.86</v>
      </c>
      <c r="D2946" s="1">
        <v>0</v>
      </c>
      <c r="E2946">
        <f>D2946*C2946</f>
        <v>0</v>
      </c>
      <c r="F2946" s="1" t="s">
        <v>8464</v>
      </c>
      <c r="G2946" s="17">
        <v>78994</v>
      </c>
    </row>
    <row r="2947" spans="1:7">
      <c r="A2947" s="1" t="s">
        <v>8465</v>
      </c>
      <c r="B2947" s="1" t="s">
        <v>8466</v>
      </c>
      <c r="C2947">
        <f>(1-(B7/100))*63.86</f>
        <v>63.86</v>
      </c>
      <c r="D2947" s="1">
        <v>0</v>
      </c>
      <c r="E2947">
        <f>D2947*C2947</f>
        <v>0</v>
      </c>
      <c r="F2947" s="1" t="s">
        <v>8467</v>
      </c>
      <c r="G2947" s="17">
        <v>78995</v>
      </c>
    </row>
    <row r="2948" spans="1:7">
      <c r="A2948" s="1" t="s">
        <v>8468</v>
      </c>
      <c r="B2948" s="1" t="s">
        <v>8469</v>
      </c>
      <c r="C2948">
        <f>(1-(B7/100))*63.86</f>
        <v>63.86</v>
      </c>
      <c r="D2948" s="1">
        <v>0</v>
      </c>
      <c r="E2948">
        <f>D2948*C2948</f>
        <v>0</v>
      </c>
      <c r="F2948" s="1" t="s">
        <v>8470</v>
      </c>
      <c r="G2948" s="17">
        <v>78996</v>
      </c>
    </row>
    <row r="2949" spans="1:7">
      <c r="A2949" s="1" t="s">
        <v>8471</v>
      </c>
      <c r="B2949" s="1" t="s">
        <v>8472</v>
      </c>
      <c r="C2949">
        <f>(1-(B7/100))*63.86</f>
        <v>63.86</v>
      </c>
      <c r="D2949" s="1">
        <v>0</v>
      </c>
      <c r="E2949">
        <f>D2949*C2949</f>
        <v>0</v>
      </c>
      <c r="F2949" s="1" t="s">
        <v>8473</v>
      </c>
      <c r="G2949" s="17">
        <v>78997</v>
      </c>
    </row>
    <row r="2950" spans="1:7">
      <c r="A2950" s="1" t="s">
        <v>8474</v>
      </c>
      <c r="B2950" s="1" t="s">
        <v>8475</v>
      </c>
      <c r="C2950">
        <f>(1-(B7/100))*63.86</f>
        <v>63.86</v>
      </c>
      <c r="D2950" s="1">
        <v>0</v>
      </c>
      <c r="E2950">
        <f>D2950*C2950</f>
        <v>0</v>
      </c>
      <c r="F2950" s="1" t="s">
        <v>8476</v>
      </c>
      <c r="G2950" s="17">
        <v>78998</v>
      </c>
    </row>
    <row r="2951" spans="1:7">
      <c r="A2951" s="1" t="s">
        <v>8477</v>
      </c>
      <c r="B2951" s="1" t="s">
        <v>8478</v>
      </c>
      <c r="C2951">
        <f>(1-(B7/100))*63.86</f>
        <v>63.86</v>
      </c>
      <c r="D2951" s="1">
        <v>0</v>
      </c>
      <c r="E2951">
        <f>D2951*C2951</f>
        <v>0</v>
      </c>
      <c r="F2951" s="1" t="s">
        <v>8479</v>
      </c>
      <c r="G2951" s="17">
        <v>79000</v>
      </c>
    </row>
    <row r="2952" spans="1:7">
      <c r="A2952" s="1" t="s">
        <v>8480</v>
      </c>
      <c r="B2952" s="1" t="s">
        <v>8481</v>
      </c>
      <c r="C2952">
        <f>(1-(B7/100))*63.86</f>
        <v>63.86</v>
      </c>
      <c r="D2952" s="1">
        <v>0</v>
      </c>
      <c r="E2952">
        <f>D2952*C2952</f>
        <v>0</v>
      </c>
      <c r="F2952" s="1" t="s">
        <v>8482</v>
      </c>
      <c r="G2952" s="17">
        <v>79001</v>
      </c>
    </row>
    <row r="2953" spans="1:7">
      <c r="A2953" s="1" t="s">
        <v>8483</v>
      </c>
      <c r="B2953" s="1" t="s">
        <v>8484</v>
      </c>
      <c r="C2953">
        <f>(1-(B7/100))*63.86</f>
        <v>63.86</v>
      </c>
      <c r="D2953" s="1">
        <v>0</v>
      </c>
      <c r="E2953">
        <f>D2953*C2953</f>
        <v>0</v>
      </c>
      <c r="F2953" s="1" t="s">
        <v>8485</v>
      </c>
      <c r="G2953" s="17">
        <v>79003</v>
      </c>
    </row>
    <row r="2954" spans="1:7">
      <c r="A2954" s="1" t="s">
        <v>8486</v>
      </c>
      <c r="B2954" s="1" t="s">
        <v>8487</v>
      </c>
      <c r="C2954">
        <f>(1-(B7/100))*63.86</f>
        <v>63.86</v>
      </c>
      <c r="D2954" s="1">
        <v>0</v>
      </c>
      <c r="E2954">
        <f>D2954*C2954</f>
        <v>0</v>
      </c>
      <c r="F2954" s="1" t="s">
        <v>8488</v>
      </c>
      <c r="G2954" s="17">
        <v>79004</v>
      </c>
    </row>
    <row r="2955" spans="1:7">
      <c r="A2955" s="1" t="s">
        <v>8489</v>
      </c>
      <c r="B2955" s="1" t="s">
        <v>8490</v>
      </c>
      <c r="C2955">
        <f>(1-(B7/100))*63.86</f>
        <v>63.86</v>
      </c>
      <c r="D2955" s="1">
        <v>0</v>
      </c>
      <c r="E2955">
        <f>D2955*C2955</f>
        <v>0</v>
      </c>
      <c r="F2955" s="1" t="s">
        <v>8491</v>
      </c>
      <c r="G2955" s="17">
        <v>79006</v>
      </c>
    </row>
    <row r="2956" spans="1:7">
      <c r="A2956" s="1" t="s">
        <v>8492</v>
      </c>
      <c r="B2956" s="1" t="s">
        <v>8493</v>
      </c>
      <c r="C2956">
        <f>(1-(B7/100))*61.5</f>
        <v>61.5</v>
      </c>
      <c r="D2956" s="1">
        <v>0</v>
      </c>
      <c r="E2956">
        <f>D2956*C2956</f>
        <v>0</v>
      </c>
      <c r="F2956" s="1" t="s">
        <v>8494</v>
      </c>
      <c r="G2956" s="17">
        <v>79007</v>
      </c>
    </row>
    <row r="2957" spans="1:7">
      <c r="A2957" s="1" t="s">
        <v>8495</v>
      </c>
      <c r="B2957" s="1" t="s">
        <v>8496</v>
      </c>
      <c r="C2957">
        <f>(1-(B7/100))*63.86</f>
        <v>63.86</v>
      </c>
      <c r="D2957" s="1">
        <v>0</v>
      </c>
      <c r="E2957">
        <f>D2957*C2957</f>
        <v>0</v>
      </c>
      <c r="F2957" s="1" t="s">
        <v>8497</v>
      </c>
      <c r="G2957" s="17">
        <v>79008</v>
      </c>
    </row>
    <row r="2958" spans="1:7">
      <c r="A2958" s="1" t="s">
        <v>8498</v>
      </c>
      <c r="B2958" s="1" t="s">
        <v>8499</v>
      </c>
      <c r="C2958">
        <f>(1-(B7/100))*63.86</f>
        <v>63.86</v>
      </c>
      <c r="D2958" s="1">
        <v>0</v>
      </c>
      <c r="E2958">
        <f>D2958*C2958</f>
        <v>0</v>
      </c>
      <c r="F2958" s="1" t="s">
        <v>8500</v>
      </c>
      <c r="G2958" s="17">
        <v>79009</v>
      </c>
    </row>
    <row r="2959" spans="1:7">
      <c r="A2959" s="1" t="s">
        <v>8501</v>
      </c>
      <c r="B2959" s="1" t="s">
        <v>8502</v>
      </c>
      <c r="C2959">
        <f>(1-(B7/100))*111.82</f>
        <v>111.82</v>
      </c>
      <c r="D2959" s="1">
        <v>0</v>
      </c>
      <c r="E2959">
        <f>D2959*C2959</f>
        <v>0</v>
      </c>
      <c r="F2959" s="1" t="s">
        <v>8503</v>
      </c>
      <c r="G2959" s="17">
        <v>79012</v>
      </c>
    </row>
    <row r="2960" spans="1:7">
      <c r="A2960" s="1" t="s">
        <v>8504</v>
      </c>
      <c r="B2960" s="1" t="s">
        <v>8505</v>
      </c>
      <c r="C2960">
        <f>(1-(B7/100))*563.07</f>
        <v>563.07</v>
      </c>
      <c r="D2960" s="1">
        <v>0</v>
      </c>
      <c r="E2960">
        <f>D2960*C2960</f>
        <v>0</v>
      </c>
      <c r="F2960" s="1" t="s">
        <v>8506</v>
      </c>
      <c r="G2960" s="17">
        <v>79019</v>
      </c>
    </row>
    <row r="2961" spans="1:7">
      <c r="A2961" s="1" t="s">
        <v>8507</v>
      </c>
      <c r="B2961" s="1" t="s">
        <v>8508</v>
      </c>
      <c r="C2961">
        <f>(1-(B7/100))*533.95</f>
        <v>533.95</v>
      </c>
      <c r="D2961" s="1">
        <v>0</v>
      </c>
      <c r="E2961">
        <f>D2961*C2961</f>
        <v>0</v>
      </c>
      <c r="F2961" s="1" t="s">
        <v>8509</v>
      </c>
      <c r="G2961" s="17">
        <v>79022</v>
      </c>
    </row>
    <row r="2962" spans="1:7">
      <c r="A2962" s="1" t="s">
        <v>8510</v>
      </c>
      <c r="B2962" s="1" t="s">
        <v>8511</v>
      </c>
      <c r="C2962">
        <f>(1-(B7/100))*165.29</f>
        <v>165.29</v>
      </c>
      <c r="D2962" s="1">
        <v>0</v>
      </c>
      <c r="E2962">
        <f>D2962*C2962</f>
        <v>0</v>
      </c>
      <c r="F2962" s="1" t="s">
        <v>8512</v>
      </c>
      <c r="G2962" s="17">
        <v>79024</v>
      </c>
    </row>
    <row r="2963" spans="1:7">
      <c r="A2963" s="1" t="s">
        <v>8513</v>
      </c>
      <c r="B2963" s="1" t="s">
        <v>8514</v>
      </c>
      <c r="C2963">
        <f>(1-(B7/100))*53.18</f>
        <v>53.18</v>
      </c>
      <c r="D2963" s="1">
        <v>0</v>
      </c>
      <c r="E2963">
        <f>D2963*C2963</f>
        <v>0</v>
      </c>
      <c r="F2963" s="1" t="s">
        <v>8515</v>
      </c>
      <c r="G2963" s="17">
        <v>79029</v>
      </c>
    </row>
    <row r="2964" spans="1:7">
      <c r="A2964" s="1" t="s">
        <v>8516</v>
      </c>
      <c r="B2964" s="1" t="s">
        <v>8517</v>
      </c>
      <c r="C2964">
        <f>(1-(B7/100))*131.96</f>
        <v>131.96</v>
      </c>
      <c r="D2964" s="1">
        <v>0</v>
      </c>
      <c r="E2964">
        <f>D2964*C2964</f>
        <v>0</v>
      </c>
      <c r="F2964" s="1" t="s">
        <v>8518</v>
      </c>
      <c r="G2964" s="17">
        <v>79032</v>
      </c>
    </row>
    <row r="2965" spans="1:7">
      <c r="A2965" s="1" t="s">
        <v>8519</v>
      </c>
      <c r="B2965" s="1" t="s">
        <v>8520</v>
      </c>
      <c r="C2965">
        <f>(1-(B7/100))*119.67</f>
        <v>119.67</v>
      </c>
      <c r="D2965" s="1">
        <v>0</v>
      </c>
      <c r="E2965">
        <f>D2965*C2965</f>
        <v>0</v>
      </c>
      <c r="F2965" s="1" t="s">
        <v>8521</v>
      </c>
      <c r="G2965" s="17">
        <v>79036</v>
      </c>
    </row>
    <row r="2966" spans="1:7">
      <c r="A2966" s="1" t="s">
        <v>8522</v>
      </c>
      <c r="B2966" s="1" t="s">
        <v>8523</v>
      </c>
      <c r="C2966">
        <f>(1-(B7/100))*936.84</f>
        <v>936.84</v>
      </c>
      <c r="D2966" s="1">
        <v>0</v>
      </c>
      <c r="E2966">
        <f>D2966*C2966</f>
        <v>0</v>
      </c>
      <c r="F2966" s="1" t="s">
        <v>8524</v>
      </c>
      <c r="G2966" s="17">
        <v>79047</v>
      </c>
    </row>
    <row r="2967" spans="1:7">
      <c r="A2967" s="1" t="s">
        <v>8525</v>
      </c>
      <c r="B2967" s="1" t="s">
        <v>8526</v>
      </c>
      <c r="C2967">
        <f>(1-(B7/100))*19.12</f>
        <v>19.12</v>
      </c>
      <c r="D2967" s="1">
        <v>0</v>
      </c>
      <c r="E2967">
        <f>D2967*C2967</f>
        <v>0</v>
      </c>
      <c r="F2967" s="1" t="s">
        <v>8527</v>
      </c>
      <c r="G2967" s="17">
        <v>79058</v>
      </c>
    </row>
    <row r="2968" spans="1:7">
      <c r="A2968" s="1" t="s">
        <v>8528</v>
      </c>
      <c r="B2968" s="1" t="s">
        <v>8529</v>
      </c>
      <c r="C2968">
        <f>(1-(B7/100))*67.87</f>
        <v>67.87</v>
      </c>
      <c r="D2968" s="1">
        <v>0</v>
      </c>
      <c r="E2968">
        <f>D2968*C2968</f>
        <v>0</v>
      </c>
      <c r="F2968" s="1" t="s">
        <v>8530</v>
      </c>
      <c r="G2968" s="17">
        <v>79064</v>
      </c>
    </row>
    <row r="2969" spans="1:7">
      <c r="A2969" s="1" t="s">
        <v>8531</v>
      </c>
      <c r="B2969" s="1" t="s">
        <v>8532</v>
      </c>
      <c r="C2969">
        <f>(1-(B7/100))*76.61</f>
        <v>76.61</v>
      </c>
      <c r="D2969" s="1">
        <v>0</v>
      </c>
      <c r="E2969">
        <f>D2969*C2969</f>
        <v>0</v>
      </c>
      <c r="F2969" s="1" t="s">
        <v>8533</v>
      </c>
      <c r="G2969" s="17">
        <v>79065</v>
      </c>
    </row>
    <row r="2970" spans="1:7">
      <c r="A2970" s="1" t="s">
        <v>8534</v>
      </c>
      <c r="B2970" s="1" t="s">
        <v>8535</v>
      </c>
      <c r="C2970">
        <f>(1-(B7/100))*3.85</f>
        <v>3.85</v>
      </c>
      <c r="D2970" s="1">
        <v>0</v>
      </c>
      <c r="E2970">
        <f>D2970*C2970</f>
        <v>0</v>
      </c>
      <c r="F2970" s="1" t="s">
        <v>8536</v>
      </c>
      <c r="G2970" s="17">
        <v>79068</v>
      </c>
    </row>
    <row r="2971" spans="1:7">
      <c r="A2971" s="1" t="s">
        <v>8537</v>
      </c>
      <c r="B2971" s="1" t="s">
        <v>8538</v>
      </c>
      <c r="C2971">
        <f>(1-(B7/100))*107.06</f>
        <v>107.06</v>
      </c>
      <c r="D2971" s="1">
        <v>0</v>
      </c>
      <c r="E2971">
        <f>D2971*C2971</f>
        <v>0</v>
      </c>
      <c r="F2971" s="1" t="s">
        <v>8539</v>
      </c>
      <c r="G2971" s="17">
        <v>79071</v>
      </c>
    </row>
    <row r="2972" spans="1:7">
      <c r="A2972" s="1" t="s">
        <v>8540</v>
      </c>
      <c r="B2972" s="1" t="s">
        <v>8541</v>
      </c>
      <c r="C2972">
        <f>(1-(B7/100))*400.01</f>
        <v>400.01</v>
      </c>
      <c r="D2972" s="1">
        <v>0</v>
      </c>
      <c r="E2972">
        <f>D2972*C2972</f>
        <v>0</v>
      </c>
      <c r="F2972" s="1" t="s">
        <v>8542</v>
      </c>
      <c r="G2972" s="17">
        <v>79073</v>
      </c>
    </row>
    <row r="2973" spans="1:7">
      <c r="A2973" s="1" t="s">
        <v>8543</v>
      </c>
      <c r="B2973" s="1" t="s">
        <v>8544</v>
      </c>
      <c r="C2973">
        <f>(1-(B7/100))*1768.83</f>
        <v>1768.83</v>
      </c>
      <c r="D2973" s="1">
        <v>0</v>
      </c>
      <c r="E2973">
        <f>D2973*C2973</f>
        <v>0</v>
      </c>
      <c r="F2973" s="1" t="s">
        <v>8545</v>
      </c>
      <c r="G2973" s="17">
        <v>79076</v>
      </c>
    </row>
    <row r="2974" spans="1:7">
      <c r="A2974" s="1" t="s">
        <v>8546</v>
      </c>
      <c r="B2974" s="1" t="s">
        <v>8547</v>
      </c>
      <c r="C2974">
        <f>(1-(B7/100))*1768.83</f>
        <v>1768.83</v>
      </c>
      <c r="D2974" s="1">
        <v>0</v>
      </c>
      <c r="E2974">
        <f>D2974*C2974</f>
        <v>0</v>
      </c>
      <c r="F2974" s="1" t="s">
        <v>8548</v>
      </c>
      <c r="G2974" s="17">
        <v>79077</v>
      </c>
    </row>
    <row r="2975" spans="1:7">
      <c r="A2975" s="1" t="s">
        <v>8549</v>
      </c>
      <c r="B2975" s="1" t="s">
        <v>8550</v>
      </c>
      <c r="C2975">
        <f>(1-(B7/100))*1768.83</f>
        <v>1768.83</v>
      </c>
      <c r="D2975" s="1">
        <v>0</v>
      </c>
      <c r="E2975">
        <f>D2975*C2975</f>
        <v>0</v>
      </c>
      <c r="F2975" s="1" t="s">
        <v>8551</v>
      </c>
      <c r="G2975" s="17">
        <v>79078</v>
      </c>
    </row>
    <row r="2976" spans="1:7">
      <c r="A2976" s="1" t="s">
        <v>8552</v>
      </c>
      <c r="B2976" s="1" t="s">
        <v>8553</v>
      </c>
      <c r="C2976">
        <f>(1-(B7/100))*281.88</f>
        <v>281.88</v>
      </c>
      <c r="D2976" s="1">
        <v>0</v>
      </c>
      <c r="E2976">
        <f>D2976*C2976</f>
        <v>0</v>
      </c>
      <c r="F2976" s="1" t="s">
        <v>8554</v>
      </c>
      <c r="G2976" s="17">
        <v>79080</v>
      </c>
    </row>
    <row r="2977" spans="1:7">
      <c r="A2977" s="1" t="s">
        <v>8555</v>
      </c>
      <c r="B2977" s="1" t="s">
        <v>8556</v>
      </c>
      <c r="C2977">
        <f>(1-(B7/100))*440.63</f>
        <v>440.63</v>
      </c>
      <c r="D2977" s="1">
        <v>0</v>
      </c>
      <c r="E2977">
        <f>D2977*C2977</f>
        <v>0</v>
      </c>
      <c r="F2977" s="1" t="s">
        <v>8557</v>
      </c>
      <c r="G2977" s="17">
        <v>79085</v>
      </c>
    </row>
    <row r="2978" spans="1:7">
      <c r="A2978" s="1" t="s">
        <v>8558</v>
      </c>
      <c r="B2978" s="1" t="s">
        <v>8559</v>
      </c>
      <c r="C2978">
        <f>(1-(B7/100))*34.38</f>
        <v>34.38</v>
      </c>
      <c r="D2978" s="1">
        <v>0</v>
      </c>
      <c r="E2978">
        <f>D2978*C2978</f>
        <v>0</v>
      </c>
      <c r="F2978" s="1" t="s">
        <v>8560</v>
      </c>
      <c r="G2978" s="17">
        <v>79090</v>
      </c>
    </row>
    <row r="2979" spans="1:7">
      <c r="A2979" s="1" t="s">
        <v>8561</v>
      </c>
      <c r="B2979" s="1" t="s">
        <v>8562</v>
      </c>
      <c r="C2979">
        <f>(1-(B7/100))*71.64</f>
        <v>71.64</v>
      </c>
      <c r="D2979" s="1">
        <v>0</v>
      </c>
      <c r="E2979">
        <f>D2979*C2979</f>
        <v>0</v>
      </c>
      <c r="F2979" s="1" t="s">
        <v>8563</v>
      </c>
      <c r="G2979" s="17">
        <v>79098</v>
      </c>
    </row>
    <row r="2980" spans="1:7">
      <c r="A2980" s="1" t="s">
        <v>8564</v>
      </c>
      <c r="B2980" s="1" t="s">
        <v>8565</v>
      </c>
      <c r="C2980">
        <f>(1-(B7/100))*347.19</f>
        <v>347.19</v>
      </c>
      <c r="D2980" s="1">
        <v>0</v>
      </c>
      <c r="E2980">
        <f>D2980*C2980</f>
        <v>0</v>
      </c>
      <c r="F2980" s="1" t="s">
        <v>8566</v>
      </c>
      <c r="G2980" s="17">
        <v>79101</v>
      </c>
    </row>
    <row r="2981" spans="1:7">
      <c r="A2981" s="1" t="s">
        <v>8567</v>
      </c>
      <c r="B2981" s="1" t="s">
        <v>8568</v>
      </c>
      <c r="C2981">
        <f>(1-(B7/100))*67.87</f>
        <v>67.87</v>
      </c>
      <c r="D2981" s="1">
        <v>0</v>
      </c>
      <c r="E2981">
        <f>D2981*C2981</f>
        <v>0</v>
      </c>
      <c r="F2981" s="1" t="s">
        <v>8569</v>
      </c>
      <c r="G2981" s="17">
        <v>79105</v>
      </c>
    </row>
    <row r="2982" spans="1:7">
      <c r="A2982" s="1" t="s">
        <v>8570</v>
      </c>
      <c r="B2982" s="1" t="s">
        <v>8571</v>
      </c>
      <c r="C2982">
        <f>(1-(B7/100))*46.99</f>
        <v>46.99</v>
      </c>
      <c r="D2982" s="1">
        <v>0</v>
      </c>
      <c r="E2982">
        <f>D2982*C2982</f>
        <v>0</v>
      </c>
      <c r="F2982" s="1" t="s">
        <v>8572</v>
      </c>
      <c r="G2982" s="17">
        <v>79108</v>
      </c>
    </row>
    <row r="2983" spans="1:7">
      <c r="A2983" s="1" t="s">
        <v>8573</v>
      </c>
      <c r="B2983" s="1" t="s">
        <v>8574</v>
      </c>
      <c r="C2983">
        <f>(1-(B7/100))*140</f>
        <v>140</v>
      </c>
      <c r="D2983" s="1">
        <v>0</v>
      </c>
      <c r="E2983">
        <f>D2983*C2983</f>
        <v>0</v>
      </c>
      <c r="F2983" s="1" t="s">
        <v>8575</v>
      </c>
      <c r="G2983" s="17">
        <v>79113</v>
      </c>
    </row>
    <row r="2984" spans="1:7">
      <c r="A2984" s="1" t="s">
        <v>8576</v>
      </c>
      <c r="B2984" s="1" t="s">
        <v>8577</v>
      </c>
      <c r="C2984">
        <f>(1-(B7/100))*372.33</f>
        <v>372.33</v>
      </c>
      <c r="D2984" s="1">
        <v>0</v>
      </c>
      <c r="E2984">
        <f>D2984*C2984</f>
        <v>0</v>
      </c>
      <c r="F2984" s="1" t="s">
        <v>8578</v>
      </c>
      <c r="G2984" s="17">
        <v>79132</v>
      </c>
    </row>
    <row r="2985" spans="1:7">
      <c r="A2985" s="1" t="s">
        <v>8579</v>
      </c>
      <c r="B2985" s="1" t="s">
        <v>8580</v>
      </c>
      <c r="C2985">
        <f>(1-(B7/100))*372.33</f>
        <v>372.33</v>
      </c>
      <c r="D2985" s="1">
        <v>0</v>
      </c>
      <c r="E2985">
        <f>D2985*C2985</f>
        <v>0</v>
      </c>
      <c r="F2985" s="1" t="s">
        <v>8581</v>
      </c>
      <c r="G2985" s="17">
        <v>79133</v>
      </c>
    </row>
    <row r="2986" spans="1:7">
      <c r="A2986" s="1" t="s">
        <v>8582</v>
      </c>
      <c r="B2986" s="1" t="s">
        <v>8583</v>
      </c>
      <c r="C2986">
        <f>(1-(B7/100))*26.61</f>
        <v>26.61</v>
      </c>
      <c r="D2986" s="1">
        <v>0</v>
      </c>
      <c r="E2986">
        <f>D2986*C2986</f>
        <v>0</v>
      </c>
      <c r="F2986" s="1" t="s">
        <v>8584</v>
      </c>
      <c r="G2986" s="17">
        <v>79147</v>
      </c>
    </row>
    <row r="2987" spans="1:7">
      <c r="A2987" s="1" t="s">
        <v>8585</v>
      </c>
      <c r="B2987" s="1" t="s">
        <v>8586</v>
      </c>
      <c r="C2987">
        <f>(1-(B7/100))*240.74</f>
        <v>240.74</v>
      </c>
      <c r="D2987" s="1">
        <v>0</v>
      </c>
      <c r="E2987">
        <f>D2987*C2987</f>
        <v>0</v>
      </c>
      <c r="F2987" s="1" t="s">
        <v>8587</v>
      </c>
      <c r="G2987" s="17">
        <v>79155</v>
      </c>
    </row>
    <row r="2988" spans="1:7">
      <c r="A2988" s="1" t="s">
        <v>8588</v>
      </c>
      <c r="B2988" s="1" t="s">
        <v>8589</v>
      </c>
      <c r="C2988">
        <f>(1-(B7/100))*150</f>
        <v>150</v>
      </c>
      <c r="D2988" s="1">
        <v>0</v>
      </c>
      <c r="E2988">
        <f>D2988*C2988</f>
        <v>0</v>
      </c>
      <c r="F2988" s="1" t="s">
        <v>16</v>
      </c>
      <c r="G2988" s="17">
        <v>79179</v>
      </c>
    </row>
    <row r="2989" spans="1:7">
      <c r="A2989" s="1" t="s">
        <v>8590</v>
      </c>
      <c r="B2989" s="1" t="s">
        <v>8591</v>
      </c>
      <c r="C2989">
        <f>(1-(B7/100))*54.74</f>
        <v>54.74</v>
      </c>
      <c r="D2989" s="1">
        <v>0</v>
      </c>
      <c r="E2989">
        <f>D2989*C2989</f>
        <v>0</v>
      </c>
      <c r="F2989" s="1" t="s">
        <v>8592</v>
      </c>
      <c r="G2989" s="17">
        <v>79181</v>
      </c>
    </row>
    <row r="2990" spans="1:7">
      <c r="A2990" s="1" t="s">
        <v>8593</v>
      </c>
      <c r="B2990" s="1" t="s">
        <v>8594</v>
      </c>
      <c r="C2990">
        <f>(1-(B7/100))*572.51</f>
        <v>572.51</v>
      </c>
      <c r="D2990" s="1">
        <v>0</v>
      </c>
      <c r="E2990">
        <f>D2990*C2990</f>
        <v>0</v>
      </c>
      <c r="F2990" s="1" t="s">
        <v>8595</v>
      </c>
      <c r="G2990" s="17">
        <v>79182</v>
      </c>
    </row>
    <row r="2991" spans="1:7">
      <c r="A2991" s="1" t="s">
        <v>8596</v>
      </c>
      <c r="B2991" s="1" t="s">
        <v>8597</v>
      </c>
      <c r="C2991">
        <f>(1-(B7/100))*668.64</f>
        <v>668.64</v>
      </c>
      <c r="D2991" s="1">
        <v>0</v>
      </c>
      <c r="E2991">
        <f>D2991*C2991</f>
        <v>0</v>
      </c>
      <c r="F2991" s="1" t="s">
        <v>8598</v>
      </c>
      <c r="G2991" s="17">
        <v>79186</v>
      </c>
    </row>
    <row r="2992" spans="1:7">
      <c r="A2992" s="1" t="s">
        <v>8599</v>
      </c>
      <c r="B2992" s="1" t="s">
        <v>8600</v>
      </c>
      <c r="C2992">
        <f>(1-(B7/100))*297.87</f>
        <v>297.87</v>
      </c>
      <c r="D2992" s="1">
        <v>0</v>
      </c>
      <c r="E2992">
        <f>D2992*C2992</f>
        <v>0</v>
      </c>
      <c r="F2992" s="1" t="s">
        <v>8601</v>
      </c>
      <c r="G2992" s="17">
        <v>79189</v>
      </c>
    </row>
    <row r="2993" spans="1:7">
      <c r="A2993" s="1" t="s">
        <v>8602</v>
      </c>
      <c r="B2993" s="1" t="s">
        <v>8603</v>
      </c>
      <c r="C2993">
        <f>(1-(B7/100))*12.45</f>
        <v>12.45</v>
      </c>
      <c r="D2993" s="1">
        <v>0</v>
      </c>
      <c r="E2993">
        <f>D2993*C2993</f>
        <v>0</v>
      </c>
      <c r="F2993" s="1" t="s">
        <v>8604</v>
      </c>
      <c r="G2993" s="17">
        <v>79196</v>
      </c>
    </row>
    <row r="2994" spans="1:7">
      <c r="A2994" s="1" t="s">
        <v>8605</v>
      </c>
      <c r="B2994" s="1" t="s">
        <v>8606</v>
      </c>
      <c r="C2994">
        <f>(1-(B7/100))*131.19</f>
        <v>131.19</v>
      </c>
      <c r="D2994" s="1">
        <v>0</v>
      </c>
      <c r="E2994">
        <f>D2994*C2994</f>
        <v>0</v>
      </c>
      <c r="F2994" s="1" t="s">
        <v>8607</v>
      </c>
      <c r="G2994" s="17">
        <v>79215</v>
      </c>
    </row>
    <row r="2995" spans="1:7">
      <c r="A2995" s="1" t="s">
        <v>8608</v>
      </c>
      <c r="B2995" s="1" t="s">
        <v>8609</v>
      </c>
      <c r="C2995">
        <f>(1-(B7/100))*117.59</f>
        <v>117.59</v>
      </c>
      <c r="D2995" s="1">
        <v>0</v>
      </c>
      <c r="E2995">
        <f>D2995*C2995</f>
        <v>0</v>
      </c>
      <c r="F2995" s="1" t="s">
        <v>8610</v>
      </c>
      <c r="G2995" s="17">
        <v>79216</v>
      </c>
    </row>
    <row r="2996" spans="1:7">
      <c r="A2996" s="1" t="s">
        <v>8611</v>
      </c>
      <c r="B2996" s="1" t="s">
        <v>8612</v>
      </c>
      <c r="C2996">
        <f>(1-(B7/100))*2016.91</f>
        <v>2016.91</v>
      </c>
      <c r="D2996" s="1">
        <v>0</v>
      </c>
      <c r="E2996">
        <f>D2996*C2996</f>
        <v>0</v>
      </c>
      <c r="F2996" s="1" t="s">
        <v>8613</v>
      </c>
      <c r="G2996" s="17">
        <v>79224</v>
      </c>
    </row>
    <row r="2997" spans="1:7">
      <c r="A2997" s="1" t="s">
        <v>8614</v>
      </c>
      <c r="B2997" s="1" t="s">
        <v>8615</v>
      </c>
      <c r="C2997">
        <f>(1-(B7/100))*355.85</f>
        <v>355.85</v>
      </c>
      <c r="D2997" s="1">
        <v>0</v>
      </c>
      <c r="E2997">
        <f>D2997*C2997</f>
        <v>0</v>
      </c>
      <c r="F2997" s="1" t="s">
        <v>8616</v>
      </c>
      <c r="G2997" s="17">
        <v>79226</v>
      </c>
    </row>
    <row r="2998" spans="1:7">
      <c r="A2998" s="1" t="s">
        <v>8617</v>
      </c>
      <c r="B2998" s="1" t="s">
        <v>8618</v>
      </c>
      <c r="C2998">
        <f>(1-(B7/100))*483.19</f>
        <v>483.19</v>
      </c>
      <c r="D2998" s="1">
        <v>0</v>
      </c>
      <c r="E2998">
        <f>D2998*C2998</f>
        <v>0</v>
      </c>
      <c r="F2998" s="1" t="s">
        <v>8619</v>
      </c>
      <c r="G2998" s="17">
        <v>79227</v>
      </c>
    </row>
    <row r="2999" spans="1:7">
      <c r="A2999" s="1" t="s">
        <v>8620</v>
      </c>
      <c r="B2999" s="1" t="s">
        <v>8621</v>
      </c>
      <c r="C2999">
        <f>(1-(B7/100))*343</f>
        <v>343</v>
      </c>
      <c r="D2999" s="1">
        <v>0</v>
      </c>
      <c r="E2999">
        <f>D2999*C2999</f>
        <v>0</v>
      </c>
      <c r="F2999" s="1" t="s">
        <v>16</v>
      </c>
      <c r="G2999" s="17">
        <v>79228</v>
      </c>
    </row>
    <row r="3000" spans="1:7">
      <c r="A3000" s="1" t="s">
        <v>8622</v>
      </c>
      <c r="B3000" s="1" t="s">
        <v>8623</v>
      </c>
      <c r="C3000">
        <f>(1-(B7/100))*1187.51</f>
        <v>1187.51</v>
      </c>
      <c r="D3000" s="1">
        <v>0</v>
      </c>
      <c r="E3000">
        <f>D3000*C3000</f>
        <v>0</v>
      </c>
      <c r="F3000" s="1" t="s">
        <v>8624</v>
      </c>
      <c r="G3000" s="17">
        <v>79230</v>
      </c>
    </row>
    <row r="3001" spans="1:7">
      <c r="A3001" s="1" t="s">
        <v>8625</v>
      </c>
      <c r="B3001" s="1" t="s">
        <v>8626</v>
      </c>
      <c r="C3001">
        <f>(1-(B7/100))*260.23</f>
        <v>260.23</v>
      </c>
      <c r="D3001" s="1">
        <v>0</v>
      </c>
      <c r="E3001">
        <f>D3001*C3001</f>
        <v>0</v>
      </c>
      <c r="F3001" s="1" t="s">
        <v>8627</v>
      </c>
      <c r="G3001" s="17">
        <v>79232</v>
      </c>
    </row>
    <row r="3002" spans="1:7">
      <c r="A3002" s="1" t="s">
        <v>8628</v>
      </c>
      <c r="B3002" s="1" t="s">
        <v>8629</v>
      </c>
      <c r="C3002">
        <f>(1-(B7/100))*229.33</f>
        <v>229.33</v>
      </c>
      <c r="D3002" s="1">
        <v>0</v>
      </c>
      <c r="E3002">
        <f>D3002*C3002</f>
        <v>0</v>
      </c>
      <c r="F3002" s="1" t="s">
        <v>8630</v>
      </c>
      <c r="G3002" s="17">
        <v>79236</v>
      </c>
    </row>
    <row r="3003" spans="1:7">
      <c r="A3003" s="1" t="s">
        <v>8631</v>
      </c>
      <c r="B3003" s="1" t="s">
        <v>8632</v>
      </c>
      <c r="C3003">
        <f>(1-(B7/100))*67.58</f>
        <v>67.58</v>
      </c>
      <c r="D3003" s="1">
        <v>0</v>
      </c>
      <c r="E3003">
        <f>D3003*C3003</f>
        <v>0</v>
      </c>
      <c r="F3003" s="1" t="s">
        <v>8633</v>
      </c>
      <c r="G3003" s="17">
        <v>79259</v>
      </c>
    </row>
    <row r="3004" spans="1:7">
      <c r="A3004" s="1" t="s">
        <v>8634</v>
      </c>
      <c r="B3004" s="1" t="s">
        <v>8635</v>
      </c>
      <c r="C3004">
        <f>(1-(B7/100))*1539.73</f>
        <v>1539.73</v>
      </c>
      <c r="D3004" s="1">
        <v>0</v>
      </c>
      <c r="E3004">
        <f>D3004*C3004</f>
        <v>0</v>
      </c>
      <c r="F3004" s="1" t="s">
        <v>8636</v>
      </c>
      <c r="G3004" s="17">
        <v>79265</v>
      </c>
    </row>
    <row r="3005" spans="1:7">
      <c r="A3005" s="1" t="s">
        <v>8637</v>
      </c>
      <c r="B3005" s="1" t="s">
        <v>8638</v>
      </c>
      <c r="C3005">
        <f>(1-(B7/100))*2230.42</f>
        <v>2230.42</v>
      </c>
      <c r="D3005" s="1">
        <v>0</v>
      </c>
      <c r="E3005">
        <f>D3005*C3005</f>
        <v>0</v>
      </c>
      <c r="F3005" s="1" t="s">
        <v>8639</v>
      </c>
      <c r="G3005" s="17">
        <v>79266</v>
      </c>
    </row>
    <row r="3006" spans="1:7">
      <c r="A3006" s="1" t="s">
        <v>8640</v>
      </c>
      <c r="B3006" s="1" t="s">
        <v>8641</v>
      </c>
      <c r="C3006">
        <f>(1-(B7/100))*1353.21</f>
        <v>1353.21</v>
      </c>
      <c r="D3006" s="1">
        <v>0</v>
      </c>
      <c r="E3006">
        <f>D3006*C3006</f>
        <v>0</v>
      </c>
      <c r="F3006" s="1" t="s">
        <v>8642</v>
      </c>
      <c r="G3006" s="17">
        <v>79271</v>
      </c>
    </row>
    <row r="3007" spans="1:7">
      <c r="A3007" s="1" t="s">
        <v>8643</v>
      </c>
      <c r="B3007" s="1" t="s">
        <v>8644</v>
      </c>
      <c r="C3007">
        <f>(1-(B7/100))*1323.49</f>
        <v>1323.49</v>
      </c>
      <c r="D3007" s="1">
        <v>0</v>
      </c>
      <c r="E3007">
        <f>D3007*C3007</f>
        <v>0</v>
      </c>
      <c r="F3007" s="1" t="s">
        <v>8645</v>
      </c>
      <c r="G3007" s="17">
        <v>79274</v>
      </c>
    </row>
    <row r="3008" spans="1:7">
      <c r="A3008" s="1" t="s">
        <v>8646</v>
      </c>
      <c r="B3008" s="1" t="s">
        <v>8647</v>
      </c>
      <c r="C3008">
        <f>(1-(B7/100))*563.35</f>
        <v>563.35</v>
      </c>
      <c r="D3008" s="1">
        <v>0</v>
      </c>
      <c r="E3008">
        <f>D3008*C3008</f>
        <v>0</v>
      </c>
      <c r="F3008" s="1" t="s">
        <v>8648</v>
      </c>
      <c r="G3008" s="17">
        <v>79277</v>
      </c>
    </row>
    <row r="3009" spans="1:7">
      <c r="A3009" s="1" t="s">
        <v>8649</v>
      </c>
      <c r="B3009" s="1" t="s">
        <v>8650</v>
      </c>
      <c r="C3009">
        <f>(1-(B7/100))*1672.08</f>
        <v>1672.08</v>
      </c>
      <c r="D3009" s="1">
        <v>0</v>
      </c>
      <c r="E3009">
        <f>D3009*C3009</f>
        <v>0</v>
      </c>
      <c r="F3009" s="1" t="s">
        <v>8651</v>
      </c>
      <c r="G3009" s="17">
        <v>79279</v>
      </c>
    </row>
    <row r="3010" spans="1:7">
      <c r="A3010" s="1" t="s">
        <v>8652</v>
      </c>
      <c r="B3010" s="1" t="s">
        <v>8653</v>
      </c>
      <c r="C3010">
        <f>(1-(B7/100))*2241.03</f>
        <v>2241.03</v>
      </c>
      <c r="D3010" s="1">
        <v>0</v>
      </c>
      <c r="E3010">
        <f>D3010*C3010</f>
        <v>0</v>
      </c>
      <c r="F3010" s="1" t="s">
        <v>8654</v>
      </c>
      <c r="G3010" s="17">
        <v>79282</v>
      </c>
    </row>
    <row r="3011" spans="1:7">
      <c r="A3011" s="1" t="s">
        <v>8655</v>
      </c>
      <c r="B3011" s="1" t="s">
        <v>8656</v>
      </c>
      <c r="C3011">
        <f>(1-(B7/100))*100.92</f>
        <v>100.92</v>
      </c>
      <c r="D3011" s="1">
        <v>0</v>
      </c>
      <c r="E3011">
        <f>D3011*C3011</f>
        <v>0</v>
      </c>
      <c r="F3011" s="1" t="s">
        <v>8657</v>
      </c>
      <c r="G3011" s="17">
        <v>79290</v>
      </c>
    </row>
    <row r="3012" spans="1:7">
      <c r="A3012" s="1" t="s">
        <v>8658</v>
      </c>
      <c r="B3012" s="1" t="s">
        <v>8659</v>
      </c>
      <c r="C3012">
        <f>(1-(B7/100))*883.89</f>
        <v>883.89</v>
      </c>
      <c r="D3012" s="1">
        <v>0</v>
      </c>
      <c r="E3012">
        <f>D3012*C3012</f>
        <v>0</v>
      </c>
      <c r="F3012" s="1" t="s">
        <v>8660</v>
      </c>
      <c r="G3012" s="17">
        <v>79291</v>
      </c>
    </row>
    <row r="3013" spans="1:7">
      <c r="A3013" s="1" t="s">
        <v>8661</v>
      </c>
      <c r="B3013" s="1" t="s">
        <v>8662</v>
      </c>
      <c r="C3013">
        <f>(1-(B7/100))*71.57</f>
        <v>71.57</v>
      </c>
      <c r="D3013" s="1">
        <v>0</v>
      </c>
      <c r="E3013">
        <f>D3013*C3013</f>
        <v>0</v>
      </c>
      <c r="F3013" s="1" t="s">
        <v>16</v>
      </c>
      <c r="G3013" s="17">
        <v>79297</v>
      </c>
    </row>
    <row r="3014" spans="1:7">
      <c r="A3014" s="1" t="s">
        <v>8663</v>
      </c>
      <c r="B3014" s="1" t="s">
        <v>8664</v>
      </c>
      <c r="C3014">
        <f>(1-(B7/100))*68.81</f>
        <v>68.81</v>
      </c>
      <c r="D3014" s="1">
        <v>0</v>
      </c>
      <c r="E3014">
        <f>D3014*C3014</f>
        <v>0</v>
      </c>
      <c r="F3014" s="1" t="s">
        <v>8665</v>
      </c>
      <c r="G3014" s="17">
        <v>79298</v>
      </c>
    </row>
    <row r="3015" spans="1:7">
      <c r="A3015" s="1" t="s">
        <v>8666</v>
      </c>
      <c r="B3015" s="1" t="s">
        <v>8667</v>
      </c>
      <c r="C3015">
        <f>(1-(B7/100))*519.9</f>
        <v>519.9</v>
      </c>
      <c r="D3015" s="1">
        <v>0</v>
      </c>
      <c r="E3015">
        <f>D3015*C3015</f>
        <v>0</v>
      </c>
      <c r="F3015" s="1" t="s">
        <v>16</v>
      </c>
      <c r="G3015" s="17">
        <v>79299</v>
      </c>
    </row>
    <row r="3016" spans="1:7">
      <c r="A3016" s="1" t="s">
        <v>8668</v>
      </c>
      <c r="B3016" s="1" t="s">
        <v>8669</v>
      </c>
      <c r="C3016">
        <f>(1-(B7/100))*409.29</f>
        <v>409.29</v>
      </c>
      <c r="D3016" s="1">
        <v>0</v>
      </c>
      <c r="E3016">
        <f>D3016*C3016</f>
        <v>0</v>
      </c>
      <c r="F3016" s="1" t="s">
        <v>8670</v>
      </c>
      <c r="G3016" s="17">
        <v>79302</v>
      </c>
    </row>
    <row r="3017" spans="1:7">
      <c r="A3017" s="1" t="s">
        <v>8671</v>
      </c>
      <c r="B3017" s="1" t="s">
        <v>8672</v>
      </c>
      <c r="C3017">
        <f>(1-(B7/100))*60.18</f>
        <v>60.18</v>
      </c>
      <c r="D3017" s="1">
        <v>0</v>
      </c>
      <c r="E3017">
        <f>D3017*C3017</f>
        <v>0</v>
      </c>
      <c r="F3017" s="1" t="s">
        <v>8673</v>
      </c>
      <c r="G3017" s="17">
        <v>79305</v>
      </c>
    </row>
    <row r="3018" spans="1:7">
      <c r="A3018" s="1" t="s">
        <v>8674</v>
      </c>
      <c r="B3018" s="1" t="s">
        <v>8675</v>
      </c>
      <c r="C3018">
        <f>(1-(B7/100))*311.62</f>
        <v>311.62</v>
      </c>
      <c r="D3018" s="1">
        <v>0</v>
      </c>
      <c r="E3018">
        <f>D3018*C3018</f>
        <v>0</v>
      </c>
      <c r="F3018" s="1" t="s">
        <v>8676</v>
      </c>
      <c r="G3018" s="17">
        <v>79306</v>
      </c>
    </row>
    <row r="3019" spans="1:7">
      <c r="A3019" s="1" t="s">
        <v>8677</v>
      </c>
      <c r="B3019" s="1" t="s">
        <v>8678</v>
      </c>
      <c r="C3019">
        <f>(1-(B7/100))*679.76</f>
        <v>679.76</v>
      </c>
      <c r="D3019" s="1">
        <v>0</v>
      </c>
      <c r="E3019">
        <f>D3019*C3019</f>
        <v>0</v>
      </c>
      <c r="F3019" s="1" t="s">
        <v>8679</v>
      </c>
      <c r="G3019" s="17">
        <v>79315</v>
      </c>
    </row>
    <row r="3020" spans="1:7">
      <c r="A3020" s="1" t="s">
        <v>8680</v>
      </c>
      <c r="B3020" s="1" t="s">
        <v>8681</v>
      </c>
      <c r="C3020">
        <f>(1-(B7/100))*2390.78</f>
        <v>2390.78</v>
      </c>
      <c r="D3020" s="1">
        <v>0</v>
      </c>
      <c r="E3020">
        <f>D3020*C3020</f>
        <v>0</v>
      </c>
      <c r="F3020" s="1" t="s">
        <v>8682</v>
      </c>
      <c r="G3020" s="17">
        <v>79318</v>
      </c>
    </row>
    <row r="3021" spans="1:7">
      <c r="A3021" s="1" t="s">
        <v>8683</v>
      </c>
      <c r="B3021" s="1" t="s">
        <v>8684</v>
      </c>
      <c r="C3021">
        <f>(1-(B7/100))*2716.81</f>
        <v>2716.81</v>
      </c>
      <c r="D3021" s="1">
        <v>0</v>
      </c>
      <c r="E3021">
        <f>D3021*C3021</f>
        <v>0</v>
      </c>
      <c r="F3021" s="1" t="s">
        <v>8685</v>
      </c>
      <c r="G3021" s="17">
        <v>79322</v>
      </c>
    </row>
    <row r="3022" spans="1:7">
      <c r="A3022" s="1" t="s">
        <v>8686</v>
      </c>
      <c r="B3022" s="1" t="s">
        <v>8687</v>
      </c>
      <c r="C3022">
        <f>(1-(B7/100))*52.89</f>
        <v>52.89</v>
      </c>
      <c r="D3022" s="1">
        <v>0</v>
      </c>
      <c r="E3022">
        <f>D3022*C3022</f>
        <v>0</v>
      </c>
      <c r="F3022" s="1" t="s">
        <v>8688</v>
      </c>
      <c r="G3022" s="17">
        <v>79324</v>
      </c>
    </row>
    <row r="3023" spans="1:7">
      <c r="A3023" s="1" t="s">
        <v>8689</v>
      </c>
      <c r="B3023" s="1" t="s">
        <v>8690</v>
      </c>
      <c r="C3023">
        <f>(1-(B7/100))*72.53</f>
        <v>72.53</v>
      </c>
      <c r="D3023" s="1">
        <v>0</v>
      </c>
      <c r="E3023">
        <f>D3023*C3023</f>
        <v>0</v>
      </c>
      <c r="F3023" s="1" t="s">
        <v>8691</v>
      </c>
      <c r="G3023" s="17">
        <v>79326</v>
      </c>
    </row>
    <row r="3024" spans="1:7">
      <c r="A3024" s="1" t="s">
        <v>8692</v>
      </c>
      <c r="B3024" s="1" t="s">
        <v>8693</v>
      </c>
      <c r="C3024">
        <f>(1-(B7/100))*176.81</f>
        <v>176.81</v>
      </c>
      <c r="D3024" s="1">
        <v>0</v>
      </c>
      <c r="E3024">
        <f>D3024*C3024</f>
        <v>0</v>
      </c>
      <c r="F3024" s="1" t="s">
        <v>16</v>
      </c>
      <c r="G3024" s="17">
        <v>79333</v>
      </c>
    </row>
    <row r="3025" spans="1:7">
      <c r="A3025" s="1" t="s">
        <v>8694</v>
      </c>
      <c r="B3025" s="1" t="s">
        <v>8695</v>
      </c>
      <c r="C3025">
        <f>(1-(B7/100))*91.77</f>
        <v>91.77</v>
      </c>
      <c r="D3025" s="1">
        <v>0</v>
      </c>
      <c r="E3025">
        <f>D3025*C3025</f>
        <v>0</v>
      </c>
      <c r="F3025" s="1" t="s">
        <v>8696</v>
      </c>
      <c r="G3025" s="17">
        <v>79340</v>
      </c>
    </row>
    <row r="3026" spans="1:7">
      <c r="A3026" s="1" t="s">
        <v>8697</v>
      </c>
      <c r="B3026" s="1" t="s">
        <v>8698</v>
      </c>
      <c r="C3026">
        <f>(1-(B7/100))*115.52</f>
        <v>115.52</v>
      </c>
      <c r="D3026" s="1">
        <v>0</v>
      </c>
      <c r="E3026">
        <f>D3026*C3026</f>
        <v>0</v>
      </c>
      <c r="F3026" s="1" t="s">
        <v>8699</v>
      </c>
      <c r="G3026" s="17">
        <v>79344</v>
      </c>
    </row>
    <row r="3027" spans="1:7">
      <c r="A3027" s="1" t="s">
        <v>8700</v>
      </c>
      <c r="B3027" s="1" t="s">
        <v>8701</v>
      </c>
      <c r="C3027">
        <f>(1-(B7/100))*229.01</f>
        <v>229.01</v>
      </c>
      <c r="D3027" s="1">
        <v>0</v>
      </c>
      <c r="E3027">
        <f>D3027*C3027</f>
        <v>0</v>
      </c>
      <c r="F3027" s="1" t="s">
        <v>8702</v>
      </c>
      <c r="G3027" s="17">
        <v>79354</v>
      </c>
    </row>
    <row r="3028" spans="1:7">
      <c r="A3028" s="1" t="s">
        <v>8703</v>
      </c>
      <c r="B3028" s="1" t="s">
        <v>8704</v>
      </c>
      <c r="C3028">
        <f>(1-(B7/100))*115.52</f>
        <v>115.52</v>
      </c>
      <c r="D3028" s="1">
        <v>0</v>
      </c>
      <c r="E3028">
        <f>D3028*C3028</f>
        <v>0</v>
      </c>
      <c r="F3028" s="1" t="s">
        <v>8705</v>
      </c>
      <c r="G3028" s="17">
        <v>79359</v>
      </c>
    </row>
    <row r="3029" spans="1:7">
      <c r="A3029" s="1" t="s">
        <v>8706</v>
      </c>
      <c r="B3029" s="1" t="s">
        <v>8707</v>
      </c>
      <c r="C3029">
        <f>(1-(B7/100))*23.14</f>
        <v>23.14</v>
      </c>
      <c r="D3029" s="1">
        <v>0</v>
      </c>
      <c r="E3029">
        <f>D3029*C3029</f>
        <v>0</v>
      </c>
      <c r="F3029" s="1" t="s">
        <v>8708</v>
      </c>
      <c r="G3029" s="17">
        <v>79362</v>
      </c>
    </row>
    <row r="3030" spans="1:7">
      <c r="A3030" s="1" t="s">
        <v>8709</v>
      </c>
      <c r="B3030" s="1" t="s">
        <v>8710</v>
      </c>
      <c r="C3030">
        <f>(1-(B7/100))*82.03</f>
        <v>82.03</v>
      </c>
      <c r="D3030" s="1">
        <v>0</v>
      </c>
      <c r="E3030">
        <f>D3030*C3030</f>
        <v>0</v>
      </c>
      <c r="F3030" s="1" t="s">
        <v>8711</v>
      </c>
      <c r="G3030" s="17">
        <v>79363</v>
      </c>
    </row>
    <row r="3031" spans="1:7">
      <c r="A3031" s="1" t="s">
        <v>8712</v>
      </c>
      <c r="B3031" s="1" t="s">
        <v>8713</v>
      </c>
      <c r="C3031">
        <f>(1-(B7/100))*27.71</f>
        <v>27.71</v>
      </c>
      <c r="D3031" s="1">
        <v>0</v>
      </c>
      <c r="E3031">
        <f>D3031*C3031</f>
        <v>0</v>
      </c>
      <c r="F3031" s="1" t="s">
        <v>8714</v>
      </c>
      <c r="G3031" s="17">
        <v>79364</v>
      </c>
    </row>
    <row r="3032" spans="1:7">
      <c r="A3032" s="1" t="s">
        <v>8715</v>
      </c>
      <c r="B3032" s="1" t="s">
        <v>8716</v>
      </c>
      <c r="C3032">
        <f>(1-(B7/100))*23.14</f>
        <v>23.14</v>
      </c>
      <c r="D3032" s="1">
        <v>0</v>
      </c>
      <c r="E3032">
        <f>D3032*C3032</f>
        <v>0</v>
      </c>
      <c r="F3032" s="1" t="s">
        <v>8717</v>
      </c>
      <c r="G3032" s="17">
        <v>79365</v>
      </c>
    </row>
    <row r="3033" spans="1:7">
      <c r="A3033" s="1" t="s">
        <v>8718</v>
      </c>
      <c r="B3033" s="1" t="s">
        <v>8719</v>
      </c>
      <c r="C3033">
        <f>(1-(B7/100))*23.14</f>
        <v>23.14</v>
      </c>
      <c r="D3033" s="1">
        <v>0</v>
      </c>
      <c r="E3033">
        <f>D3033*C3033</f>
        <v>0</v>
      </c>
      <c r="F3033" s="1" t="s">
        <v>8720</v>
      </c>
      <c r="G3033" s="17">
        <v>79366</v>
      </c>
    </row>
    <row r="3034" spans="1:7">
      <c r="A3034" s="1" t="s">
        <v>8721</v>
      </c>
      <c r="B3034" s="1" t="s">
        <v>8722</v>
      </c>
      <c r="C3034">
        <f>(1-(B7/100))*97.91</f>
        <v>97.91</v>
      </c>
      <c r="D3034" s="1">
        <v>0</v>
      </c>
      <c r="E3034">
        <f>D3034*C3034</f>
        <v>0</v>
      </c>
      <c r="F3034" s="1" t="s">
        <v>8723</v>
      </c>
      <c r="G3034" s="17">
        <v>79367</v>
      </c>
    </row>
    <row r="3035" spans="1:7">
      <c r="A3035" s="1" t="s">
        <v>8724</v>
      </c>
      <c r="B3035" s="1" t="s">
        <v>8725</v>
      </c>
      <c r="C3035">
        <f>(1-(B7/100))*115.52</f>
        <v>115.52</v>
      </c>
      <c r="D3035" s="1">
        <v>0</v>
      </c>
      <c r="E3035">
        <f>D3035*C3035</f>
        <v>0</v>
      </c>
      <c r="F3035" s="1" t="s">
        <v>8726</v>
      </c>
      <c r="G3035" s="17">
        <v>79368</v>
      </c>
    </row>
    <row r="3036" spans="1:7">
      <c r="A3036" s="1" t="s">
        <v>8727</v>
      </c>
      <c r="B3036" s="1" t="s">
        <v>8728</v>
      </c>
      <c r="C3036">
        <f>(1-(B7/100))*82.03</f>
        <v>82.03</v>
      </c>
      <c r="D3036" s="1">
        <v>0</v>
      </c>
      <c r="E3036">
        <f>D3036*C3036</f>
        <v>0</v>
      </c>
      <c r="F3036" s="1" t="s">
        <v>8729</v>
      </c>
      <c r="G3036" s="17">
        <v>79369</v>
      </c>
    </row>
    <row r="3037" spans="1:7">
      <c r="A3037" s="1" t="s">
        <v>8730</v>
      </c>
      <c r="B3037" s="1" t="s">
        <v>8731</v>
      </c>
      <c r="C3037">
        <f>(1-(B7/100))*171.35</f>
        <v>171.35</v>
      </c>
      <c r="D3037" s="1">
        <v>0</v>
      </c>
      <c r="E3037">
        <f>D3037*C3037</f>
        <v>0</v>
      </c>
      <c r="F3037" s="1" t="s">
        <v>8732</v>
      </c>
      <c r="G3037" s="17">
        <v>79373</v>
      </c>
    </row>
    <row r="3038" spans="1:7">
      <c r="A3038" s="1" t="s">
        <v>8733</v>
      </c>
      <c r="B3038" s="1" t="s">
        <v>8734</v>
      </c>
      <c r="C3038">
        <f>(1-(B7/100))*76.45</f>
        <v>76.45</v>
      </c>
      <c r="D3038" s="1">
        <v>0</v>
      </c>
      <c r="E3038">
        <f>D3038*C3038</f>
        <v>0</v>
      </c>
      <c r="F3038" s="1" t="s">
        <v>8735</v>
      </c>
      <c r="G3038" s="17">
        <v>79378</v>
      </c>
    </row>
    <row r="3039" spans="1:7">
      <c r="A3039" s="1" t="s">
        <v>8736</v>
      </c>
      <c r="B3039" s="1" t="s">
        <v>8737</v>
      </c>
      <c r="C3039">
        <f>(1-(B7/100))*76.45</f>
        <v>76.45</v>
      </c>
      <c r="D3039" s="1">
        <v>0</v>
      </c>
      <c r="E3039">
        <f>D3039*C3039</f>
        <v>0</v>
      </c>
      <c r="F3039" s="1" t="s">
        <v>8738</v>
      </c>
      <c r="G3039" s="17">
        <v>79379</v>
      </c>
    </row>
    <row r="3040" spans="1:7">
      <c r="A3040" s="1" t="s">
        <v>8739</v>
      </c>
      <c r="B3040" s="1" t="s">
        <v>8740</v>
      </c>
      <c r="C3040">
        <f>(1-(B7/100))*190.15</f>
        <v>190.15</v>
      </c>
      <c r="D3040" s="1">
        <v>0</v>
      </c>
      <c r="E3040">
        <f>D3040*C3040</f>
        <v>0</v>
      </c>
      <c r="F3040" s="1" t="s">
        <v>8741</v>
      </c>
      <c r="G3040" s="17">
        <v>79384</v>
      </c>
    </row>
    <row r="3041" spans="1:7">
      <c r="A3041" s="1" t="s">
        <v>8742</v>
      </c>
      <c r="B3041" s="1" t="s">
        <v>8743</v>
      </c>
      <c r="C3041">
        <f>(1-(B7/100))*140.33</f>
        <v>140.33</v>
      </c>
      <c r="D3041" s="1">
        <v>0</v>
      </c>
      <c r="E3041">
        <f>D3041*C3041</f>
        <v>0</v>
      </c>
      <c r="F3041" s="1" t="s">
        <v>8744</v>
      </c>
      <c r="G3041" s="17">
        <v>79385</v>
      </c>
    </row>
    <row r="3042" spans="1:7">
      <c r="A3042" s="1" t="s">
        <v>8745</v>
      </c>
      <c r="B3042" s="1" t="s">
        <v>8746</v>
      </c>
      <c r="C3042">
        <f>(1-(B7/100))*111.82</f>
        <v>111.82</v>
      </c>
      <c r="D3042" s="1">
        <v>0</v>
      </c>
      <c r="E3042">
        <f>D3042*C3042</f>
        <v>0</v>
      </c>
      <c r="F3042" s="1" t="s">
        <v>8747</v>
      </c>
      <c r="G3042" s="17">
        <v>79392</v>
      </c>
    </row>
    <row r="3043" spans="1:7">
      <c r="A3043" s="1" t="s">
        <v>8748</v>
      </c>
      <c r="B3043" s="1" t="s">
        <v>8749</v>
      </c>
      <c r="C3043">
        <f>(1-(B7/100))*115.52</f>
        <v>115.52</v>
      </c>
      <c r="D3043" s="1">
        <v>0</v>
      </c>
      <c r="E3043">
        <f>D3043*C3043</f>
        <v>0</v>
      </c>
      <c r="F3043" s="1" t="s">
        <v>8750</v>
      </c>
      <c r="G3043" s="17">
        <v>79393</v>
      </c>
    </row>
    <row r="3044" spans="1:7">
      <c r="A3044" s="1" t="s">
        <v>8751</v>
      </c>
      <c r="B3044" s="1" t="s">
        <v>8752</v>
      </c>
      <c r="C3044">
        <f>(1-(B7/100))*61.8</f>
        <v>61.8</v>
      </c>
      <c r="D3044" s="1">
        <v>0</v>
      </c>
      <c r="E3044">
        <f>D3044*C3044</f>
        <v>0</v>
      </c>
      <c r="F3044" s="1" t="s">
        <v>8753</v>
      </c>
      <c r="G3044" s="17">
        <v>79395</v>
      </c>
    </row>
    <row r="3045" spans="1:7">
      <c r="A3045" s="1" t="s">
        <v>8754</v>
      </c>
      <c r="B3045" s="1" t="s">
        <v>8755</v>
      </c>
      <c r="C3045">
        <f>(1-(B7/100))*66.08</f>
        <v>66.08</v>
      </c>
      <c r="D3045" s="1">
        <v>0</v>
      </c>
      <c r="E3045">
        <f>D3045*C3045</f>
        <v>0</v>
      </c>
      <c r="F3045" s="1" t="s">
        <v>8756</v>
      </c>
      <c r="G3045" s="17">
        <v>79398</v>
      </c>
    </row>
    <row r="3046" spans="1:7">
      <c r="A3046" s="1" t="s">
        <v>8757</v>
      </c>
      <c r="B3046" s="1" t="s">
        <v>8758</v>
      </c>
      <c r="C3046">
        <f>(1-(B7/100))*28.73</f>
        <v>28.73</v>
      </c>
      <c r="D3046" s="1">
        <v>0</v>
      </c>
      <c r="E3046">
        <f>D3046*C3046</f>
        <v>0</v>
      </c>
      <c r="F3046" s="1" t="s">
        <v>8759</v>
      </c>
      <c r="G3046" s="17">
        <v>79400</v>
      </c>
    </row>
    <row r="3047" spans="1:7">
      <c r="A3047" s="1" t="s">
        <v>8760</v>
      </c>
      <c r="B3047" s="1" t="s">
        <v>8761</v>
      </c>
      <c r="C3047">
        <f>(1-(B7/100))*97.38</f>
        <v>97.38</v>
      </c>
      <c r="D3047" s="1">
        <v>0</v>
      </c>
      <c r="E3047">
        <f>D3047*C3047</f>
        <v>0</v>
      </c>
      <c r="F3047" s="1" t="s">
        <v>8762</v>
      </c>
      <c r="G3047" s="17">
        <v>79405</v>
      </c>
    </row>
    <row r="3048" spans="1:7">
      <c r="A3048" s="1" t="s">
        <v>8763</v>
      </c>
      <c r="B3048" s="1" t="s">
        <v>8764</v>
      </c>
      <c r="C3048">
        <f>(1-(B7/100))*168.67</f>
        <v>168.67</v>
      </c>
      <c r="D3048" s="1">
        <v>0</v>
      </c>
      <c r="E3048">
        <f>D3048*C3048</f>
        <v>0</v>
      </c>
      <c r="F3048" s="1" t="s">
        <v>8765</v>
      </c>
      <c r="G3048" s="17">
        <v>79414</v>
      </c>
    </row>
    <row r="3049" spans="1:7">
      <c r="A3049" s="1" t="s">
        <v>8766</v>
      </c>
      <c r="B3049" s="1" t="s">
        <v>8767</v>
      </c>
      <c r="C3049">
        <f>(1-(B7/100))*168.67</f>
        <v>168.67</v>
      </c>
      <c r="D3049" s="1">
        <v>0</v>
      </c>
      <c r="E3049">
        <f>D3049*C3049</f>
        <v>0</v>
      </c>
      <c r="F3049" s="1" t="s">
        <v>8768</v>
      </c>
      <c r="G3049" s="17">
        <v>79415</v>
      </c>
    </row>
    <row r="3050" spans="1:7">
      <c r="A3050" s="1" t="s">
        <v>8769</v>
      </c>
      <c r="B3050" s="1" t="s">
        <v>8770</v>
      </c>
      <c r="C3050">
        <f>(1-(B7/100))*612.85</f>
        <v>612.85</v>
      </c>
      <c r="D3050" s="1">
        <v>0</v>
      </c>
      <c r="E3050">
        <f>D3050*C3050</f>
        <v>0</v>
      </c>
      <c r="F3050" s="1" t="s">
        <v>8771</v>
      </c>
      <c r="G3050" s="17">
        <v>79423</v>
      </c>
    </row>
    <row r="3051" spans="1:7">
      <c r="A3051" s="1" t="s">
        <v>8772</v>
      </c>
      <c r="B3051" s="1" t="s">
        <v>8773</v>
      </c>
      <c r="C3051">
        <f>(1-(B7/100))*315.32</f>
        <v>315.32</v>
      </c>
      <c r="D3051" s="1">
        <v>0</v>
      </c>
      <c r="E3051">
        <f>D3051*C3051</f>
        <v>0</v>
      </c>
      <c r="F3051" s="1" t="s">
        <v>8774</v>
      </c>
      <c r="G3051" s="17">
        <v>79425</v>
      </c>
    </row>
    <row r="3052" spans="1:7">
      <c r="A3052" s="1" t="s">
        <v>8775</v>
      </c>
      <c r="B3052" s="1" t="s">
        <v>8776</v>
      </c>
      <c r="C3052">
        <f>(1-(B7/100))*440.63</f>
        <v>440.63</v>
      </c>
      <c r="D3052" s="1">
        <v>0</v>
      </c>
      <c r="E3052">
        <f>D3052*C3052</f>
        <v>0</v>
      </c>
      <c r="F3052" s="1" t="s">
        <v>8777</v>
      </c>
      <c r="G3052" s="17">
        <v>79429</v>
      </c>
    </row>
    <row r="3053" spans="1:7">
      <c r="A3053" s="1" t="s">
        <v>8778</v>
      </c>
      <c r="B3053" s="1" t="s">
        <v>8779</v>
      </c>
      <c r="C3053">
        <f>(1-(B7/100))*397.98</f>
        <v>397.98</v>
      </c>
      <c r="D3053" s="1">
        <v>0</v>
      </c>
      <c r="E3053">
        <f>D3053*C3053</f>
        <v>0</v>
      </c>
      <c r="F3053" s="1" t="s">
        <v>8780</v>
      </c>
      <c r="G3053" s="17">
        <v>79430</v>
      </c>
    </row>
    <row r="3054" spans="1:7">
      <c r="A3054" s="1" t="s">
        <v>8781</v>
      </c>
      <c r="B3054" s="1" t="s">
        <v>8782</v>
      </c>
      <c r="C3054">
        <f>(1-(B7/100))*15.26</f>
        <v>15.26</v>
      </c>
      <c r="D3054" s="1">
        <v>0</v>
      </c>
      <c r="E3054">
        <f>D3054*C3054</f>
        <v>0</v>
      </c>
      <c r="F3054" s="1" t="s">
        <v>8783</v>
      </c>
      <c r="G3054" s="17">
        <v>79432</v>
      </c>
    </row>
    <row r="3055" spans="1:7">
      <c r="A3055" s="1" t="s">
        <v>8784</v>
      </c>
      <c r="B3055" s="1" t="s">
        <v>8785</v>
      </c>
      <c r="C3055">
        <f>(1-(B7/100))*152.85</f>
        <v>152.85</v>
      </c>
      <c r="D3055" s="1">
        <v>0</v>
      </c>
      <c r="E3055">
        <f>D3055*C3055</f>
        <v>0</v>
      </c>
      <c r="F3055" s="1" t="s">
        <v>8786</v>
      </c>
      <c r="G3055" s="17">
        <v>79433</v>
      </c>
    </row>
    <row r="3056" spans="1:7">
      <c r="A3056" s="1" t="s">
        <v>8787</v>
      </c>
      <c r="B3056" s="1" t="s">
        <v>8788</v>
      </c>
      <c r="C3056">
        <f>(1-(B7/100))*3.85</f>
        <v>3.85</v>
      </c>
      <c r="D3056" s="1">
        <v>0</v>
      </c>
      <c r="E3056">
        <f>D3056*C3056</f>
        <v>0</v>
      </c>
      <c r="F3056" s="1" t="s">
        <v>8789</v>
      </c>
      <c r="G3056" s="17">
        <v>79441</v>
      </c>
    </row>
    <row r="3057" spans="1:7">
      <c r="A3057" s="1" t="s">
        <v>8790</v>
      </c>
      <c r="B3057" s="1" t="s">
        <v>8791</v>
      </c>
      <c r="C3057">
        <f>(1-(B7/100))*6.69</f>
        <v>6.69</v>
      </c>
      <c r="D3057" s="1">
        <v>0</v>
      </c>
      <c r="E3057">
        <f>D3057*C3057</f>
        <v>0</v>
      </c>
      <c r="F3057" s="1" t="s">
        <v>8792</v>
      </c>
      <c r="G3057" s="17">
        <v>79442</v>
      </c>
    </row>
    <row r="3058" spans="1:7">
      <c r="A3058" s="1" t="s">
        <v>8793</v>
      </c>
      <c r="B3058" s="1" t="s">
        <v>8794</v>
      </c>
      <c r="C3058">
        <f>(1-(B7/100))*5.7</f>
        <v>5.7</v>
      </c>
      <c r="D3058" s="1">
        <v>0</v>
      </c>
      <c r="E3058">
        <f>D3058*C3058</f>
        <v>0</v>
      </c>
      <c r="F3058" s="1" t="s">
        <v>8795</v>
      </c>
      <c r="G3058" s="17">
        <v>79443</v>
      </c>
    </row>
    <row r="3059" spans="1:7">
      <c r="A3059" s="1" t="s">
        <v>8796</v>
      </c>
      <c r="B3059" s="1" t="s">
        <v>8797</v>
      </c>
      <c r="C3059">
        <f>(1-(B7/100))*145.66</f>
        <v>145.66</v>
      </c>
      <c r="D3059" s="1">
        <v>0</v>
      </c>
      <c r="E3059">
        <f>D3059*C3059</f>
        <v>0</v>
      </c>
      <c r="F3059" s="1" t="s">
        <v>8798</v>
      </c>
      <c r="G3059" s="17">
        <v>79446</v>
      </c>
    </row>
    <row r="3060" spans="1:7">
      <c r="A3060" s="1" t="s">
        <v>8799</v>
      </c>
      <c r="B3060" s="1" t="s">
        <v>8800</v>
      </c>
      <c r="C3060">
        <f>(1-(B7/100))*254.27</f>
        <v>254.27</v>
      </c>
      <c r="D3060" s="1">
        <v>0</v>
      </c>
      <c r="E3060">
        <f>D3060*C3060</f>
        <v>0</v>
      </c>
      <c r="F3060" s="1" t="s">
        <v>8801</v>
      </c>
      <c r="G3060" s="17">
        <v>79457</v>
      </c>
    </row>
    <row r="3061" spans="1:7">
      <c r="A3061" s="1" t="s">
        <v>8802</v>
      </c>
      <c r="B3061" s="1" t="s">
        <v>8803</v>
      </c>
      <c r="C3061">
        <f>(1-(B7/100))*169.58</f>
        <v>169.58</v>
      </c>
      <c r="D3061" s="1">
        <v>0</v>
      </c>
      <c r="E3061">
        <f>D3061*C3061</f>
        <v>0</v>
      </c>
      <c r="F3061" s="1" t="s">
        <v>8804</v>
      </c>
      <c r="G3061" s="17">
        <v>79460</v>
      </c>
    </row>
    <row r="3062" spans="1:7">
      <c r="A3062" s="1" t="s">
        <v>8805</v>
      </c>
      <c r="B3062" s="1" t="s">
        <v>8806</v>
      </c>
      <c r="C3062">
        <f>(1-(B7/100))*168.67</f>
        <v>168.67</v>
      </c>
      <c r="D3062" s="1">
        <v>0</v>
      </c>
      <c r="E3062">
        <f>D3062*C3062</f>
        <v>0</v>
      </c>
      <c r="F3062" s="1" t="s">
        <v>8807</v>
      </c>
      <c r="G3062" s="17">
        <v>79461</v>
      </c>
    </row>
    <row r="3063" spans="1:7">
      <c r="A3063" s="1" t="s">
        <v>8808</v>
      </c>
      <c r="B3063" s="1" t="s">
        <v>8809</v>
      </c>
      <c r="C3063">
        <f>(1-(B7/100))*150</f>
        <v>150</v>
      </c>
      <c r="D3063" s="1">
        <v>0</v>
      </c>
      <c r="E3063">
        <f>D3063*C3063</f>
        <v>0</v>
      </c>
      <c r="F3063" s="1" t="s">
        <v>8810</v>
      </c>
      <c r="G3063" s="17">
        <v>79474</v>
      </c>
    </row>
    <row r="3064" spans="1:7">
      <c r="A3064" s="1" t="s">
        <v>8811</v>
      </c>
      <c r="B3064" s="1" t="s">
        <v>8812</v>
      </c>
      <c r="C3064">
        <f>(1-(B7/100))*150</f>
        <v>150</v>
      </c>
      <c r="D3064" s="1">
        <v>0</v>
      </c>
      <c r="E3064">
        <f>D3064*C3064</f>
        <v>0</v>
      </c>
      <c r="F3064" s="1" t="s">
        <v>8813</v>
      </c>
      <c r="G3064" s="17">
        <v>79475</v>
      </c>
    </row>
    <row r="3065" spans="1:7">
      <c r="A3065" s="1" t="s">
        <v>8814</v>
      </c>
      <c r="B3065" s="1" t="s">
        <v>8815</v>
      </c>
      <c r="C3065">
        <f>(1-(B7/100))*150</f>
        <v>150</v>
      </c>
      <c r="D3065" s="1">
        <v>0</v>
      </c>
      <c r="E3065">
        <f>D3065*C3065</f>
        <v>0</v>
      </c>
      <c r="F3065" s="1" t="s">
        <v>8816</v>
      </c>
      <c r="G3065" s="17">
        <v>79476</v>
      </c>
    </row>
    <row r="3066" spans="1:7">
      <c r="A3066" s="1" t="s">
        <v>8817</v>
      </c>
      <c r="B3066" s="1" t="s">
        <v>8818</v>
      </c>
      <c r="C3066">
        <f>(1-(B7/100))*58.35</f>
        <v>58.35</v>
      </c>
      <c r="D3066" s="1">
        <v>0</v>
      </c>
      <c r="E3066">
        <f>D3066*C3066</f>
        <v>0</v>
      </c>
      <c r="F3066" s="1" t="s">
        <v>8819</v>
      </c>
      <c r="G3066" s="17">
        <v>79478</v>
      </c>
    </row>
    <row r="3067" spans="1:7">
      <c r="A3067" s="1" t="s">
        <v>8820</v>
      </c>
      <c r="B3067" s="1" t="s">
        <v>8821</v>
      </c>
      <c r="C3067">
        <f>(1-(B7/100))*58.35</f>
        <v>58.35</v>
      </c>
      <c r="D3067" s="1">
        <v>0</v>
      </c>
      <c r="E3067">
        <f>D3067*C3067</f>
        <v>0</v>
      </c>
      <c r="F3067" s="1" t="s">
        <v>8822</v>
      </c>
      <c r="G3067" s="17">
        <v>79479</v>
      </c>
    </row>
    <row r="3068" spans="1:7">
      <c r="A3068" s="1" t="s">
        <v>8823</v>
      </c>
      <c r="B3068" s="1" t="s">
        <v>8824</v>
      </c>
      <c r="C3068">
        <f>(1-(B7/100))*98.14</f>
        <v>98.14</v>
      </c>
      <c r="D3068" s="1">
        <v>0</v>
      </c>
      <c r="E3068">
        <f>D3068*C3068</f>
        <v>0</v>
      </c>
      <c r="F3068" s="1" t="s">
        <v>8825</v>
      </c>
      <c r="G3068" s="17">
        <v>79496</v>
      </c>
    </row>
    <row r="3069" spans="1:7">
      <c r="A3069" s="1" t="s">
        <v>8826</v>
      </c>
      <c r="B3069" s="1" t="s">
        <v>8827</v>
      </c>
      <c r="C3069">
        <f>(1-(B7/100))*1640.36</f>
        <v>1640.36</v>
      </c>
      <c r="D3069" s="1">
        <v>0</v>
      </c>
      <c r="E3069">
        <f>D3069*C3069</f>
        <v>0</v>
      </c>
      <c r="F3069" s="1" t="s">
        <v>8828</v>
      </c>
      <c r="G3069" s="17">
        <v>79512</v>
      </c>
    </row>
    <row r="3070" spans="1:7">
      <c r="A3070" s="1" t="s">
        <v>8829</v>
      </c>
      <c r="B3070" s="1" t="s">
        <v>8830</v>
      </c>
      <c r="C3070">
        <f>(1-(B7/100))*1860.32</f>
        <v>1860.32</v>
      </c>
      <c r="D3070" s="1">
        <v>0</v>
      </c>
      <c r="E3070">
        <f>D3070*C3070</f>
        <v>0</v>
      </c>
      <c r="F3070" s="1" t="s">
        <v>8831</v>
      </c>
      <c r="G3070" s="17">
        <v>79513</v>
      </c>
    </row>
    <row r="3071" spans="1:7">
      <c r="A3071" s="1" t="s">
        <v>8832</v>
      </c>
      <c r="B3071" s="1" t="s">
        <v>8833</v>
      </c>
      <c r="C3071">
        <f>(1-(B7/100))*1659.69</f>
        <v>1659.69</v>
      </c>
      <c r="D3071" s="1">
        <v>0</v>
      </c>
      <c r="E3071">
        <f>D3071*C3071</f>
        <v>0</v>
      </c>
      <c r="F3071" s="1" t="s">
        <v>8834</v>
      </c>
      <c r="G3071" s="17">
        <v>79514</v>
      </c>
    </row>
    <row r="3072" spans="1:7">
      <c r="A3072" s="1" t="s">
        <v>8835</v>
      </c>
      <c r="B3072" s="1" t="s">
        <v>8836</v>
      </c>
      <c r="C3072">
        <f>(1-(B7/100))*1561.4</f>
        <v>1561.4</v>
      </c>
      <c r="D3072" s="1">
        <v>0</v>
      </c>
      <c r="E3072">
        <f>D3072*C3072</f>
        <v>0</v>
      </c>
      <c r="F3072" s="1" t="s">
        <v>8837</v>
      </c>
      <c r="G3072" s="17">
        <v>79516</v>
      </c>
    </row>
    <row r="3073" spans="1:7">
      <c r="A3073" s="1" t="s">
        <v>8838</v>
      </c>
      <c r="B3073" s="1" t="s">
        <v>8839</v>
      </c>
      <c r="C3073">
        <f>(1-(B7/100))*483.6</f>
        <v>483.6</v>
      </c>
      <c r="D3073" s="1">
        <v>0</v>
      </c>
      <c r="E3073">
        <f>D3073*C3073</f>
        <v>0</v>
      </c>
      <c r="F3073" s="1" t="s">
        <v>8840</v>
      </c>
      <c r="G3073" s="17">
        <v>79520</v>
      </c>
    </row>
    <row r="3074" spans="1:7">
      <c r="A3074" s="1" t="s">
        <v>8841</v>
      </c>
      <c r="B3074" s="1" t="s">
        <v>8842</v>
      </c>
      <c r="C3074">
        <f>(1-(B7/100))*382.27</f>
        <v>382.27</v>
      </c>
      <c r="D3074" s="1">
        <v>0</v>
      </c>
      <c r="E3074">
        <f>D3074*C3074</f>
        <v>0</v>
      </c>
      <c r="F3074" s="1" t="s">
        <v>8843</v>
      </c>
      <c r="G3074" s="17">
        <v>79522</v>
      </c>
    </row>
    <row r="3075" spans="1:7">
      <c r="A3075" s="1" t="s">
        <v>8844</v>
      </c>
      <c r="B3075" s="1" t="s">
        <v>8845</v>
      </c>
      <c r="C3075">
        <f>(1-(B7/100))*429.5</f>
        <v>429.5</v>
      </c>
      <c r="D3075" s="1">
        <v>0</v>
      </c>
      <c r="E3075">
        <f>D3075*C3075</f>
        <v>0</v>
      </c>
      <c r="F3075" s="1" t="s">
        <v>8846</v>
      </c>
      <c r="G3075" s="17">
        <v>80620</v>
      </c>
    </row>
    <row r="3076" spans="1:7">
      <c r="A3076" s="1" t="s">
        <v>8847</v>
      </c>
      <c r="B3076" s="1" t="s">
        <v>8848</v>
      </c>
      <c r="C3076">
        <f>(1-(B7/100))*630.38</f>
        <v>630.38</v>
      </c>
      <c r="D3076" s="1">
        <v>0</v>
      </c>
      <c r="E3076">
        <f>D3076*C3076</f>
        <v>0</v>
      </c>
      <c r="F3076" s="1" t="s">
        <v>8849</v>
      </c>
      <c r="G3076" s="17">
        <v>81451</v>
      </c>
    </row>
    <row r="3077" spans="1:7">
      <c r="A3077" s="1" t="s">
        <v>8850</v>
      </c>
      <c r="B3077" s="1" t="s">
        <v>8851</v>
      </c>
      <c r="C3077">
        <f>(1-(B7/100))*162.99</f>
        <v>162.99</v>
      </c>
      <c r="D3077" s="1">
        <v>0</v>
      </c>
      <c r="E3077">
        <f>D3077*C3077</f>
        <v>0</v>
      </c>
      <c r="F3077" s="1" t="s">
        <v>8852</v>
      </c>
      <c r="G3077" s="17">
        <v>81750</v>
      </c>
    </row>
    <row r="3078" spans="1:7">
      <c r="A3078" s="1" t="s">
        <v>8853</v>
      </c>
      <c r="B3078" s="1" t="s">
        <v>8854</v>
      </c>
      <c r="C3078">
        <f>(1-(B7/100))*63.86</f>
        <v>63.86</v>
      </c>
      <c r="D3078" s="1">
        <v>0</v>
      </c>
      <c r="E3078">
        <f>D3078*C3078</f>
        <v>0</v>
      </c>
      <c r="F3078" s="1" t="s">
        <v>8855</v>
      </c>
      <c r="G3078" s="17">
        <v>82076</v>
      </c>
    </row>
    <row r="3079" spans="1:7">
      <c r="A3079" s="1" t="s">
        <v>8856</v>
      </c>
      <c r="B3079" s="1" t="s">
        <v>8857</v>
      </c>
      <c r="C3079">
        <f>(1-(B7/100))*162.33</f>
        <v>162.33</v>
      </c>
      <c r="D3079" s="1">
        <v>0</v>
      </c>
      <c r="E3079">
        <f>D3079*C3079</f>
        <v>0</v>
      </c>
      <c r="F3079" s="1" t="s">
        <v>8858</v>
      </c>
      <c r="G3079" s="17">
        <v>83334</v>
      </c>
    </row>
    <row r="3080" spans="1:7">
      <c r="A3080" s="1" t="s">
        <v>8859</v>
      </c>
      <c r="B3080" s="1" t="s">
        <v>8860</v>
      </c>
      <c r="C3080">
        <f>(1-(B7/100))*3.85</f>
        <v>3.85</v>
      </c>
      <c r="D3080" s="1">
        <v>0</v>
      </c>
      <c r="E3080">
        <f>D3080*C3080</f>
        <v>0</v>
      </c>
      <c r="F3080" s="1" t="s">
        <v>8861</v>
      </c>
      <c r="G3080" s="17">
        <v>84131</v>
      </c>
    </row>
    <row r="3081" spans="1:7">
      <c r="A3081" s="1" t="s">
        <v>8862</v>
      </c>
      <c r="B3081" s="1" t="s">
        <v>8863</v>
      </c>
      <c r="C3081">
        <f>(1-(B7/100))*3.85</f>
        <v>3.85</v>
      </c>
      <c r="D3081" s="1">
        <v>0</v>
      </c>
      <c r="E3081">
        <f>D3081*C3081</f>
        <v>0</v>
      </c>
      <c r="F3081" s="1" t="s">
        <v>8864</v>
      </c>
      <c r="G3081" s="17">
        <v>84132</v>
      </c>
    </row>
    <row r="3082" spans="1:7">
      <c r="A3082" s="1" t="s">
        <v>8865</v>
      </c>
      <c r="B3082" s="1" t="s">
        <v>8866</v>
      </c>
      <c r="C3082">
        <f>(1-(B7/100))*135.3</f>
        <v>135.3</v>
      </c>
      <c r="D3082" s="1">
        <v>0</v>
      </c>
      <c r="E3082">
        <f>D3082*C3082</f>
        <v>0</v>
      </c>
      <c r="F3082" s="1" t="s">
        <v>8867</v>
      </c>
      <c r="G3082" s="17">
        <v>84272</v>
      </c>
    </row>
    <row r="3083" spans="1:7">
      <c r="A3083" s="1" t="s">
        <v>8868</v>
      </c>
      <c r="B3083" s="1" t="s">
        <v>8869</v>
      </c>
      <c r="C3083">
        <f>(1-(B7/100))*2082.47</f>
        <v>2082.47</v>
      </c>
      <c r="D3083" s="1">
        <v>0</v>
      </c>
      <c r="E3083">
        <f>D3083*C3083</f>
        <v>0</v>
      </c>
      <c r="F3083" s="1" t="s">
        <v>8870</v>
      </c>
      <c r="G3083" s="17">
        <v>84632</v>
      </c>
    </row>
    <row r="3084" spans="1:7">
      <c r="A3084" s="1" t="s">
        <v>8871</v>
      </c>
      <c r="B3084" s="1" t="s">
        <v>8872</v>
      </c>
      <c r="C3084">
        <f>(1-(B7/100))*154.64</f>
        <v>154.64</v>
      </c>
      <c r="D3084" s="1">
        <v>0</v>
      </c>
      <c r="E3084">
        <f>D3084*C3084</f>
        <v>0</v>
      </c>
      <c r="F3084" s="1" t="s">
        <v>8873</v>
      </c>
      <c r="G3084" s="17">
        <v>84715</v>
      </c>
    </row>
    <row r="3085" spans="1:7">
      <c r="A3085" s="1" t="s">
        <v>8874</v>
      </c>
      <c r="B3085" s="1" t="s">
        <v>8875</v>
      </c>
      <c r="C3085">
        <f>(1-(B7/100))*135.22</f>
        <v>135.22</v>
      </c>
      <c r="D3085" s="1">
        <v>0</v>
      </c>
      <c r="E3085">
        <f>D3085*C3085</f>
        <v>0</v>
      </c>
      <c r="F3085" s="1" t="s">
        <v>8876</v>
      </c>
      <c r="G3085" s="17">
        <v>84971</v>
      </c>
    </row>
    <row r="3086" spans="1:7">
      <c r="A3086" s="1" t="s">
        <v>8877</v>
      </c>
      <c r="B3086" s="1" t="s">
        <v>8878</v>
      </c>
      <c r="C3086">
        <f>(1-(B7/100))*233.71</f>
        <v>233.71</v>
      </c>
      <c r="D3086" s="1">
        <v>0</v>
      </c>
      <c r="E3086">
        <f>D3086*C3086</f>
        <v>0</v>
      </c>
      <c r="F3086" s="1" t="s">
        <v>8879</v>
      </c>
      <c r="G3086" s="17">
        <v>85385</v>
      </c>
    </row>
    <row r="3087" spans="1:7">
      <c r="A3087" s="1" t="s">
        <v>8880</v>
      </c>
      <c r="B3087" s="1" t="s">
        <v>8881</v>
      </c>
      <c r="C3087">
        <f>(1-(B7/100))*583.81</f>
        <v>583.81</v>
      </c>
      <c r="D3087" s="1">
        <v>0</v>
      </c>
      <c r="E3087">
        <f>D3087*C3087</f>
        <v>0</v>
      </c>
      <c r="F3087" s="1" t="s">
        <v>8882</v>
      </c>
      <c r="G3087" s="17">
        <v>85624</v>
      </c>
    </row>
    <row r="3088" spans="1:7">
      <c r="A3088" s="1" t="s">
        <v>8883</v>
      </c>
      <c r="B3088" s="1" t="s">
        <v>8884</v>
      </c>
      <c r="C3088">
        <f>(1-(B7/100))*26.18</f>
        <v>26.18</v>
      </c>
      <c r="D3088" s="1">
        <v>0</v>
      </c>
      <c r="E3088">
        <f>D3088*C3088</f>
        <v>0</v>
      </c>
      <c r="F3088" s="1" t="s">
        <v>8885</v>
      </c>
      <c r="G3088" s="17">
        <v>85701</v>
      </c>
    </row>
    <row r="3089" spans="1:7">
      <c r="A3089" s="1" t="s">
        <v>8886</v>
      </c>
      <c r="B3089" s="1" t="s">
        <v>8887</v>
      </c>
      <c r="C3089">
        <f>(1-(B7/100))*59.58</f>
        <v>59.58</v>
      </c>
      <c r="D3089" s="1">
        <v>0</v>
      </c>
      <c r="E3089">
        <f>D3089*C3089</f>
        <v>0</v>
      </c>
      <c r="F3089" s="1" t="s">
        <v>8888</v>
      </c>
      <c r="G3089" s="17">
        <v>85890</v>
      </c>
    </row>
    <row r="3090" spans="1:7">
      <c r="A3090" s="1" t="s">
        <v>8889</v>
      </c>
      <c r="B3090" s="1" t="s">
        <v>8890</v>
      </c>
      <c r="C3090">
        <f>(1-(B7/100))*2413.82</f>
        <v>2413.82</v>
      </c>
      <c r="D3090" s="1">
        <v>0</v>
      </c>
      <c r="E3090">
        <f>D3090*C3090</f>
        <v>0</v>
      </c>
      <c r="F3090" s="1" t="s">
        <v>8891</v>
      </c>
      <c r="G3090" s="17">
        <v>85891</v>
      </c>
    </row>
    <row r="3091" spans="1:7">
      <c r="A3091" s="1" t="s">
        <v>8892</v>
      </c>
      <c r="B3091" s="1" t="s">
        <v>8893</v>
      </c>
      <c r="C3091">
        <f>(1-(B7/100))*3643.26</f>
        <v>3643.26</v>
      </c>
      <c r="D3091" s="1">
        <v>0</v>
      </c>
      <c r="E3091">
        <f>D3091*C3091</f>
        <v>0</v>
      </c>
      <c r="F3091" s="1" t="s">
        <v>8894</v>
      </c>
      <c r="G3091" s="17">
        <v>85892</v>
      </c>
    </row>
    <row r="3092" spans="1:7">
      <c r="A3092" s="1" t="s">
        <v>8895</v>
      </c>
      <c r="B3092" s="1" t="s">
        <v>8896</v>
      </c>
      <c r="C3092">
        <f>(1-(B7/100))*3749.5</f>
        <v>3749.5</v>
      </c>
      <c r="D3092" s="1">
        <v>0</v>
      </c>
      <c r="E3092">
        <f>D3092*C3092</f>
        <v>0</v>
      </c>
      <c r="F3092" s="1" t="s">
        <v>8897</v>
      </c>
      <c r="G3092" s="17">
        <v>85893</v>
      </c>
    </row>
    <row r="3093" spans="1:7">
      <c r="A3093" s="1" t="s">
        <v>8898</v>
      </c>
      <c r="B3093" s="1" t="s">
        <v>8899</v>
      </c>
      <c r="C3093">
        <f>(1-(B7/100))*18320.42</f>
        <v>18320.42</v>
      </c>
      <c r="D3093" s="1">
        <v>0</v>
      </c>
      <c r="E3093">
        <f>D3093*C3093</f>
        <v>0</v>
      </c>
      <c r="F3093" s="1" t="s">
        <v>8900</v>
      </c>
      <c r="G3093" s="17">
        <v>85895</v>
      </c>
    </row>
    <row r="3094" spans="1:7">
      <c r="A3094" s="1" t="s">
        <v>8901</v>
      </c>
      <c r="B3094" s="1" t="s">
        <v>8902</v>
      </c>
      <c r="C3094">
        <f>(1-(B7/100))*19151.75</f>
        <v>19151.75</v>
      </c>
      <c r="D3094" s="1">
        <v>0</v>
      </c>
      <c r="E3094">
        <f>D3094*C3094</f>
        <v>0</v>
      </c>
      <c r="F3094" s="1" t="s">
        <v>8903</v>
      </c>
      <c r="G3094" s="17">
        <v>85897</v>
      </c>
    </row>
    <row r="3095" spans="1:7">
      <c r="A3095" s="1" t="s">
        <v>8904</v>
      </c>
      <c r="B3095" s="1" t="s">
        <v>8905</v>
      </c>
      <c r="C3095">
        <f>(1-(B7/100))*20298.19</f>
        <v>20298.19</v>
      </c>
      <c r="D3095" s="1">
        <v>0</v>
      </c>
      <c r="E3095">
        <f>D3095*C3095</f>
        <v>0</v>
      </c>
      <c r="F3095" s="1" t="s">
        <v>8906</v>
      </c>
      <c r="G3095" s="17">
        <v>85898</v>
      </c>
    </row>
    <row r="3096" spans="1:7">
      <c r="A3096" s="1" t="s">
        <v>8907</v>
      </c>
      <c r="B3096" s="1" t="s">
        <v>8908</v>
      </c>
      <c r="C3096">
        <f>(1-(B7/100))*47.26</f>
        <v>47.26</v>
      </c>
      <c r="D3096" s="1">
        <v>0</v>
      </c>
      <c r="E3096">
        <f>D3096*C3096</f>
        <v>0</v>
      </c>
      <c r="F3096" s="1" t="s">
        <v>8909</v>
      </c>
      <c r="G3096" s="17">
        <v>85905</v>
      </c>
    </row>
    <row r="3097" spans="1:7">
      <c r="A3097" s="1" t="s">
        <v>8910</v>
      </c>
      <c r="B3097" s="1" t="s">
        <v>8911</v>
      </c>
      <c r="C3097">
        <f>(1-(B7/100))*4076.36</f>
        <v>4076.36</v>
      </c>
      <c r="D3097" s="1">
        <v>0</v>
      </c>
      <c r="E3097">
        <f>D3097*C3097</f>
        <v>0</v>
      </c>
      <c r="F3097" s="1" t="s">
        <v>8912</v>
      </c>
      <c r="G3097" s="17">
        <v>85911</v>
      </c>
    </row>
    <row r="3098" spans="1:7">
      <c r="A3098" s="1" t="s">
        <v>8913</v>
      </c>
      <c r="B3098" s="1" t="s">
        <v>8914</v>
      </c>
      <c r="C3098">
        <f>(1-(B7/100))*180.41</f>
        <v>180.41</v>
      </c>
      <c r="D3098" s="1">
        <v>0</v>
      </c>
      <c r="E3098">
        <f>D3098*C3098</f>
        <v>0</v>
      </c>
      <c r="F3098" s="1" t="s">
        <v>8915</v>
      </c>
      <c r="G3098" s="17">
        <v>85913</v>
      </c>
    </row>
    <row r="3099" spans="1:7">
      <c r="A3099" s="1" t="s">
        <v>8916</v>
      </c>
      <c r="B3099" s="1" t="s">
        <v>8917</v>
      </c>
      <c r="C3099">
        <f>(1-(B7/100))*1414.53</f>
        <v>1414.53</v>
      </c>
      <c r="D3099" s="1">
        <v>0</v>
      </c>
      <c r="E3099">
        <f>D3099*C3099</f>
        <v>0</v>
      </c>
      <c r="F3099" s="1" t="s">
        <v>8918</v>
      </c>
      <c r="G3099" s="17">
        <v>86168</v>
      </c>
    </row>
    <row r="3100" spans="1:7">
      <c r="A3100" s="1" t="s">
        <v>8919</v>
      </c>
      <c r="B3100" s="1" t="s">
        <v>8920</v>
      </c>
      <c r="C3100">
        <f>(1-(B7/100))*1461.58</f>
        <v>1461.58</v>
      </c>
      <c r="D3100" s="1">
        <v>0</v>
      </c>
      <c r="E3100">
        <f>D3100*C3100</f>
        <v>0</v>
      </c>
      <c r="F3100" s="1" t="s">
        <v>8921</v>
      </c>
      <c r="G3100" s="17">
        <v>86172</v>
      </c>
    </row>
    <row r="3101" spans="1:7">
      <c r="A3101" s="1" t="s">
        <v>8922</v>
      </c>
      <c r="B3101" s="1" t="s">
        <v>8923</v>
      </c>
      <c r="C3101">
        <f>(1-(B7/100))*2112.36</f>
        <v>2112.36</v>
      </c>
      <c r="D3101" s="1">
        <v>0</v>
      </c>
      <c r="E3101">
        <f>D3101*C3101</f>
        <v>0</v>
      </c>
      <c r="F3101" s="1" t="s">
        <v>8924</v>
      </c>
      <c r="G3101" s="17">
        <v>86282</v>
      </c>
    </row>
    <row r="3102" spans="1:7">
      <c r="A3102" s="1" t="s">
        <v>8925</v>
      </c>
      <c r="B3102" s="1" t="s">
        <v>8926</v>
      </c>
      <c r="C3102">
        <f>(1-(B7/100))*2112.36</f>
        <v>2112.36</v>
      </c>
      <c r="D3102" s="1">
        <v>0</v>
      </c>
      <c r="E3102">
        <f>D3102*C3102</f>
        <v>0</v>
      </c>
      <c r="F3102" s="1" t="s">
        <v>8927</v>
      </c>
      <c r="G3102" s="17">
        <v>86283</v>
      </c>
    </row>
    <row r="3103" spans="1:7">
      <c r="A3103" s="1" t="s">
        <v>8928</v>
      </c>
      <c r="B3103" s="1" t="s">
        <v>8929</v>
      </c>
      <c r="C3103">
        <f>(1-(B7/100))*1441.33</f>
        <v>1441.33</v>
      </c>
      <c r="D3103" s="1">
        <v>0</v>
      </c>
      <c r="E3103">
        <f>D3103*C3103</f>
        <v>0</v>
      </c>
      <c r="F3103" s="1" t="s">
        <v>8930</v>
      </c>
      <c r="G3103" s="17">
        <v>86288</v>
      </c>
    </row>
    <row r="3104" spans="1:7">
      <c r="A3104" s="1" t="s">
        <v>8931</v>
      </c>
      <c r="B3104" s="1" t="s">
        <v>8932</v>
      </c>
      <c r="C3104">
        <f>(1-(B7/100))*1673</f>
        <v>1673</v>
      </c>
      <c r="D3104" s="1">
        <v>0</v>
      </c>
      <c r="E3104">
        <f>D3104*C3104</f>
        <v>0</v>
      </c>
      <c r="F3104" s="1" t="s">
        <v>16</v>
      </c>
      <c r="G3104" s="17">
        <v>86292</v>
      </c>
    </row>
    <row r="3105" spans="1:7">
      <c r="A3105" s="1" t="s">
        <v>8933</v>
      </c>
      <c r="B3105" s="1" t="s">
        <v>8934</v>
      </c>
      <c r="C3105">
        <f>(1-(B7/100))*392.67</f>
        <v>392.67</v>
      </c>
      <c r="D3105" s="1">
        <v>0</v>
      </c>
      <c r="E3105">
        <f>D3105*C3105</f>
        <v>0</v>
      </c>
      <c r="F3105" s="1" t="s">
        <v>8935</v>
      </c>
      <c r="G3105" s="17">
        <v>86325</v>
      </c>
    </row>
    <row r="3106" spans="1:7">
      <c r="A3106" s="1">
        <v>16101167</v>
      </c>
      <c r="B3106" s="1" t="s">
        <v>8936</v>
      </c>
      <c r="C3106">
        <f>(1-(B7/100))*1280.43</f>
        <v>1280.43</v>
      </c>
      <c r="D3106" s="1">
        <v>0</v>
      </c>
      <c r="E3106">
        <f>D3106*C3106</f>
        <v>0</v>
      </c>
      <c r="F3106" s="1" t="s">
        <v>8937</v>
      </c>
      <c r="G3106" s="17">
        <v>86335</v>
      </c>
    </row>
    <row r="3107" spans="1:7">
      <c r="A3107" s="1" t="s">
        <v>8938</v>
      </c>
      <c r="B3107" s="1" t="s">
        <v>8939</v>
      </c>
      <c r="C3107">
        <f>(1-(B7/100))*620.81</f>
        <v>620.81</v>
      </c>
      <c r="D3107" s="1">
        <v>0</v>
      </c>
      <c r="E3107">
        <f>D3107*C3107</f>
        <v>0</v>
      </c>
      <c r="F3107" s="1" t="s">
        <v>8940</v>
      </c>
      <c r="G3107" s="17">
        <v>86347</v>
      </c>
    </row>
    <row r="3108" spans="1:7">
      <c r="A3108" s="1" t="s">
        <v>8941</v>
      </c>
      <c r="B3108" s="1" t="s">
        <v>8942</v>
      </c>
      <c r="C3108">
        <f>(1-(B7/100))*485.44</f>
        <v>485.44</v>
      </c>
      <c r="D3108" s="1">
        <v>0</v>
      </c>
      <c r="E3108">
        <f>D3108*C3108</f>
        <v>0</v>
      </c>
      <c r="F3108" s="1" t="s">
        <v>8943</v>
      </c>
      <c r="G3108" s="17">
        <v>86352</v>
      </c>
    </row>
    <row r="3109" spans="1:7">
      <c r="A3109" s="1" t="s">
        <v>8944</v>
      </c>
      <c r="B3109" s="1" t="s">
        <v>8945</v>
      </c>
      <c r="C3109">
        <f>(1-(B7/100))*943.93</f>
        <v>943.93</v>
      </c>
      <c r="D3109" s="1">
        <v>0</v>
      </c>
      <c r="E3109">
        <f>D3109*C3109</f>
        <v>0</v>
      </c>
      <c r="F3109" s="1" t="s">
        <v>8946</v>
      </c>
      <c r="G3109" s="17">
        <v>86357</v>
      </c>
    </row>
    <row r="3110" spans="1:7">
      <c r="A3110" s="1" t="s">
        <v>8947</v>
      </c>
      <c r="B3110" s="1" t="s">
        <v>8948</v>
      </c>
      <c r="C3110">
        <f>(1-(B7/100))*207.91</f>
        <v>207.91</v>
      </c>
      <c r="D3110" s="1">
        <v>0</v>
      </c>
      <c r="E3110">
        <f>D3110*C3110</f>
        <v>0</v>
      </c>
      <c r="F3110" s="1" t="s">
        <v>8949</v>
      </c>
      <c r="G3110" s="17">
        <v>86381</v>
      </c>
    </row>
    <row r="3111" spans="1:7">
      <c r="A3111" s="1" t="s">
        <v>8950</v>
      </c>
      <c r="B3111" s="1" t="s">
        <v>8951</v>
      </c>
      <c r="C3111">
        <f>(1-(B7/100))*701.38</f>
        <v>701.38</v>
      </c>
      <c r="D3111" s="1">
        <v>0</v>
      </c>
      <c r="E3111">
        <f>D3111*C3111</f>
        <v>0</v>
      </c>
      <c r="F3111" s="1" t="s">
        <v>8952</v>
      </c>
      <c r="G3111" s="17">
        <v>86385</v>
      </c>
    </row>
    <row r="3112" spans="1:7">
      <c r="A3112" s="1" t="s">
        <v>8953</v>
      </c>
      <c r="B3112" s="1" t="s">
        <v>8954</v>
      </c>
      <c r="C3112">
        <f>(1-(B7/100))*1648.48</f>
        <v>1648.48</v>
      </c>
      <c r="D3112" s="1">
        <v>0</v>
      </c>
      <c r="E3112">
        <f>D3112*C3112</f>
        <v>0</v>
      </c>
      <c r="F3112" s="1" t="s">
        <v>8955</v>
      </c>
      <c r="G3112" s="17">
        <v>86404</v>
      </c>
    </row>
    <row r="3113" spans="1:7">
      <c r="A3113" s="1" t="s">
        <v>8956</v>
      </c>
      <c r="B3113" s="1" t="s">
        <v>8957</v>
      </c>
      <c r="C3113">
        <f>(1-(B7/100))*409.66</f>
        <v>409.66</v>
      </c>
      <c r="D3113" s="1">
        <v>0</v>
      </c>
      <c r="E3113">
        <f>D3113*C3113</f>
        <v>0</v>
      </c>
      <c r="F3113" s="1" t="s">
        <v>8958</v>
      </c>
      <c r="G3113" s="17">
        <v>86416</v>
      </c>
    </row>
    <row r="3114" spans="1:7">
      <c r="A3114" s="1" t="s">
        <v>8959</v>
      </c>
      <c r="B3114" s="1" t="s">
        <v>8960</v>
      </c>
      <c r="C3114">
        <f>(1-(B7/100))*259.4</f>
        <v>259.4</v>
      </c>
      <c r="D3114" s="1">
        <v>0</v>
      </c>
      <c r="E3114">
        <f>D3114*C3114</f>
        <v>0</v>
      </c>
      <c r="F3114" s="1" t="s">
        <v>8961</v>
      </c>
      <c r="G3114" s="17">
        <v>86510</v>
      </c>
    </row>
    <row r="3115" spans="1:7">
      <c r="A3115" s="1" t="s">
        <v>8962</v>
      </c>
      <c r="B3115" s="1" t="s">
        <v>8963</v>
      </c>
      <c r="C3115">
        <f>(1-(B7/100))*87.32</f>
        <v>87.32</v>
      </c>
      <c r="D3115" s="1">
        <v>0</v>
      </c>
      <c r="E3115">
        <f>D3115*C3115</f>
        <v>0</v>
      </c>
      <c r="F3115" s="1" t="s">
        <v>8964</v>
      </c>
      <c r="G3115" s="17">
        <v>86529</v>
      </c>
    </row>
    <row r="3116" spans="1:7">
      <c r="A3116" s="1" t="s">
        <v>8965</v>
      </c>
      <c r="B3116" s="1" t="s">
        <v>8966</v>
      </c>
      <c r="C3116">
        <f>(1-(B7/100))*51.96</f>
        <v>51.96</v>
      </c>
      <c r="D3116" s="1">
        <v>0</v>
      </c>
      <c r="E3116">
        <f>D3116*C3116</f>
        <v>0</v>
      </c>
      <c r="F3116" s="1" t="s">
        <v>8967</v>
      </c>
      <c r="G3116" s="17">
        <v>86757</v>
      </c>
    </row>
    <row r="3117" spans="1:7">
      <c r="A3117" s="1" t="s">
        <v>8968</v>
      </c>
      <c r="B3117" s="1" t="s">
        <v>8969</v>
      </c>
      <c r="C3117">
        <f>(1-(B7/100))*2815.36</f>
        <v>2815.36</v>
      </c>
      <c r="D3117" s="1">
        <v>0</v>
      </c>
      <c r="E3117">
        <f>D3117*C3117</f>
        <v>0</v>
      </c>
      <c r="F3117" s="1" t="s">
        <v>8970</v>
      </c>
      <c r="G3117" s="17">
        <v>86766</v>
      </c>
    </row>
    <row r="3118" spans="1:7">
      <c r="A3118" s="1" t="s">
        <v>8971</v>
      </c>
      <c r="B3118" s="1" t="s">
        <v>8972</v>
      </c>
      <c r="C3118">
        <f>(1-(B7/100))*268.29</f>
        <v>268.29</v>
      </c>
      <c r="D3118" s="1">
        <v>0</v>
      </c>
      <c r="E3118">
        <f>D3118*C3118</f>
        <v>0</v>
      </c>
      <c r="F3118" s="1" t="s">
        <v>8973</v>
      </c>
      <c r="G3118" s="17">
        <v>86957</v>
      </c>
    </row>
    <row r="3119" spans="1:7">
      <c r="A3119" s="1" t="s">
        <v>8974</v>
      </c>
      <c r="B3119" s="1" t="s">
        <v>8975</v>
      </c>
      <c r="C3119">
        <f>(1-(B7/100))*107.22</f>
        <v>107.22</v>
      </c>
      <c r="D3119" s="1">
        <v>0</v>
      </c>
      <c r="E3119">
        <f>D3119*C3119</f>
        <v>0</v>
      </c>
      <c r="F3119" s="1" t="s">
        <v>8976</v>
      </c>
      <c r="G3119" s="17">
        <v>86958</v>
      </c>
    </row>
    <row r="3120" spans="1:7">
      <c r="A3120" s="1" t="s">
        <v>8977</v>
      </c>
      <c r="B3120" s="1" t="s">
        <v>8978</v>
      </c>
      <c r="C3120">
        <f>(1-(B7/100))*990</f>
        <v>990</v>
      </c>
      <c r="D3120" s="1">
        <v>0</v>
      </c>
      <c r="E3120">
        <f>D3120*C3120</f>
        <v>0</v>
      </c>
      <c r="F3120" s="1" t="s">
        <v>8979</v>
      </c>
      <c r="G3120" s="17">
        <v>87331</v>
      </c>
    </row>
    <row r="3121" spans="1:7">
      <c r="A3121" s="1" t="s">
        <v>8980</v>
      </c>
      <c r="B3121" s="1" t="s">
        <v>8981</v>
      </c>
      <c r="C3121">
        <f>(1-(B7/100))*215.29</f>
        <v>215.29</v>
      </c>
      <c r="D3121" s="1">
        <v>0</v>
      </c>
      <c r="E3121">
        <f>D3121*C3121</f>
        <v>0</v>
      </c>
      <c r="F3121" s="1" t="s">
        <v>8982</v>
      </c>
      <c r="G3121" s="17">
        <v>87430</v>
      </c>
    </row>
    <row r="3122" spans="1:7">
      <c r="A3122" s="1" t="s">
        <v>8983</v>
      </c>
      <c r="B3122" s="1" t="s">
        <v>8984</v>
      </c>
      <c r="C3122">
        <f>(1-(B7/100))*4007.59</f>
        <v>4007.59</v>
      </c>
      <c r="D3122" s="1">
        <v>0</v>
      </c>
      <c r="E3122">
        <f>D3122*C3122</f>
        <v>0</v>
      </c>
      <c r="F3122" s="1" t="s">
        <v>8985</v>
      </c>
      <c r="G3122" s="17">
        <v>87452</v>
      </c>
    </row>
    <row r="3123" spans="1:7">
      <c r="A3123" s="1" t="s">
        <v>8986</v>
      </c>
      <c r="B3123" s="1" t="s">
        <v>8987</v>
      </c>
      <c r="C3123">
        <f>(1-(B7/100))*15.03</f>
        <v>15.03</v>
      </c>
      <c r="D3123" s="1">
        <v>0</v>
      </c>
      <c r="E3123">
        <f>D3123*C3123</f>
        <v>0</v>
      </c>
      <c r="F3123" s="1" t="s">
        <v>8988</v>
      </c>
      <c r="G3123" s="17">
        <v>87453</v>
      </c>
    </row>
    <row r="3124" spans="1:7">
      <c r="A3124" s="1" t="s">
        <v>8989</v>
      </c>
      <c r="B3124" s="1" t="s">
        <v>8990</v>
      </c>
      <c r="C3124">
        <f>(1-(B7/100))*33.79</f>
        <v>33.79</v>
      </c>
      <c r="D3124" s="1">
        <v>0</v>
      </c>
      <c r="E3124">
        <f>D3124*C3124</f>
        <v>0</v>
      </c>
      <c r="F3124" s="1" t="s">
        <v>8991</v>
      </c>
      <c r="G3124" s="17">
        <v>87454</v>
      </c>
    </row>
    <row r="3125" spans="1:7">
      <c r="A3125" s="1" t="s">
        <v>8992</v>
      </c>
      <c r="B3125" s="1" t="s">
        <v>8993</v>
      </c>
      <c r="C3125">
        <f>(1-(B7/100))*271.85</f>
        <v>271.85</v>
      </c>
      <c r="D3125" s="1">
        <v>0</v>
      </c>
      <c r="E3125">
        <f>D3125*C3125</f>
        <v>0</v>
      </c>
      <c r="F3125" s="1" t="s">
        <v>8994</v>
      </c>
      <c r="G3125" s="17">
        <v>87455</v>
      </c>
    </row>
    <row r="3126" spans="1:7">
      <c r="A3126" s="1" t="s">
        <v>8995</v>
      </c>
      <c r="B3126" s="1" t="s">
        <v>8996</v>
      </c>
      <c r="C3126">
        <f>(1-(B7/100))*81.42</f>
        <v>81.42</v>
      </c>
      <c r="D3126" s="1">
        <v>0</v>
      </c>
      <c r="E3126">
        <f>D3126*C3126</f>
        <v>0</v>
      </c>
      <c r="F3126" s="1" t="s">
        <v>8997</v>
      </c>
      <c r="G3126" s="17">
        <v>87456</v>
      </c>
    </row>
    <row r="3127" spans="1:7">
      <c r="A3127" s="1" t="s">
        <v>8998</v>
      </c>
      <c r="B3127" s="1" t="s">
        <v>8999</v>
      </c>
      <c r="C3127">
        <f>(1-(B7/100))*429.5</f>
        <v>429.5</v>
      </c>
      <c r="D3127" s="1">
        <v>0</v>
      </c>
      <c r="E3127">
        <f>D3127*C3127</f>
        <v>0</v>
      </c>
      <c r="F3127" s="1" t="s">
        <v>9000</v>
      </c>
      <c r="G3127" s="17">
        <v>87460</v>
      </c>
    </row>
    <row r="3128" spans="1:7">
      <c r="A3128" s="16"/>
      <c r="B3128" s="16" t="s">
        <v>9001</v>
      </c>
      <c r="C3128" s="16"/>
      <c r="D3128" s="16"/>
      <c r="E3128" s="16"/>
      <c r="F3128" s="16"/>
    </row>
    <row r="3129" spans="1:7">
      <c r="A3129" s="1" t="s">
        <v>9002</v>
      </c>
      <c r="B3129" s="1" t="s">
        <v>9003</v>
      </c>
      <c r="C3129">
        <f>(1-(B7/100))*159.57</f>
        <v>159.57</v>
      </c>
      <c r="D3129" s="1">
        <v>0</v>
      </c>
      <c r="E3129">
        <f>D3129*C3129</f>
        <v>0</v>
      </c>
      <c r="F3129" s="1" t="s">
        <v>9004</v>
      </c>
      <c r="G3129" s="17">
        <v>62904</v>
      </c>
    </row>
    <row r="3130" spans="1:7">
      <c r="A3130" s="1" t="s">
        <v>9005</v>
      </c>
      <c r="B3130" s="1" t="s">
        <v>9006</v>
      </c>
      <c r="C3130">
        <f>(1-(B7/100))*803.9</f>
        <v>803.9</v>
      </c>
      <c r="D3130" s="1">
        <v>0</v>
      </c>
      <c r="E3130">
        <f>D3130*C3130</f>
        <v>0</v>
      </c>
      <c r="F3130" s="1" t="s">
        <v>9007</v>
      </c>
      <c r="G3130" s="17">
        <v>62920</v>
      </c>
    </row>
    <row r="3131" spans="1:7">
      <c r="A3131" s="1" t="s">
        <v>9008</v>
      </c>
      <c r="B3131" s="1" t="s">
        <v>9009</v>
      </c>
      <c r="C3131">
        <f>(1-(B7/100))*144.74</f>
        <v>144.74</v>
      </c>
      <c r="D3131" s="1">
        <v>0</v>
      </c>
      <c r="E3131">
        <f>D3131*C3131</f>
        <v>0</v>
      </c>
      <c r="F3131" s="1" t="s">
        <v>9010</v>
      </c>
      <c r="G3131" s="17">
        <v>62983</v>
      </c>
    </row>
    <row r="3132" spans="1:7">
      <c r="A3132" s="1" t="s">
        <v>9011</v>
      </c>
      <c r="B3132" s="1" t="s">
        <v>9012</v>
      </c>
      <c r="C3132">
        <f>(1-(B7/100))*167.98</f>
        <v>167.98</v>
      </c>
      <c r="D3132" s="1">
        <v>0</v>
      </c>
      <c r="E3132">
        <f>D3132*C3132</f>
        <v>0</v>
      </c>
      <c r="F3132" s="1" t="s">
        <v>9013</v>
      </c>
      <c r="G3132" s="17">
        <v>63057</v>
      </c>
    </row>
    <row r="3133" spans="1:7">
      <c r="A3133" s="1" t="s">
        <v>9014</v>
      </c>
      <c r="B3133" s="1" t="s">
        <v>9015</v>
      </c>
      <c r="C3133">
        <f>(1-(B7/100))*302.44</f>
        <v>302.44</v>
      </c>
      <c r="D3133" s="1">
        <v>0</v>
      </c>
      <c r="E3133">
        <f>D3133*C3133</f>
        <v>0</v>
      </c>
      <c r="F3133" s="1" t="s">
        <v>9016</v>
      </c>
      <c r="G3133" s="17">
        <v>63217</v>
      </c>
    </row>
    <row r="3134" spans="1:7">
      <c r="A3134" s="1" t="s">
        <v>9017</v>
      </c>
      <c r="B3134" s="1" t="s">
        <v>9018</v>
      </c>
      <c r="C3134">
        <f>(1-(B7/100))*202.1</f>
        <v>202.1</v>
      </c>
      <c r="D3134" s="1">
        <v>0</v>
      </c>
      <c r="E3134">
        <f>D3134*C3134</f>
        <v>0</v>
      </c>
      <c r="F3134" s="1" t="s">
        <v>9019</v>
      </c>
      <c r="G3134" s="17">
        <v>63465</v>
      </c>
    </row>
    <row r="3135" spans="1:7">
      <c r="A3135" s="1" t="s">
        <v>9020</v>
      </c>
      <c r="B3135" s="1" t="s">
        <v>9021</v>
      </c>
      <c r="C3135">
        <f>(1-(B7/100))*1015.89</f>
        <v>1015.89</v>
      </c>
      <c r="D3135" s="1">
        <v>0</v>
      </c>
      <c r="E3135">
        <f>D3135*C3135</f>
        <v>0</v>
      </c>
      <c r="F3135" s="1" t="s">
        <v>9022</v>
      </c>
      <c r="G3135" s="17">
        <v>63510</v>
      </c>
    </row>
    <row r="3136" spans="1:7">
      <c r="A3136" s="1" t="s">
        <v>9023</v>
      </c>
      <c r="B3136" s="1" t="s">
        <v>9024</v>
      </c>
      <c r="C3136">
        <f>(1-(B7/100))*1398.84</f>
        <v>1398.84</v>
      </c>
      <c r="D3136" s="1">
        <v>0</v>
      </c>
      <c r="E3136">
        <f>D3136*C3136</f>
        <v>0</v>
      </c>
      <c r="F3136" s="1" t="s">
        <v>9025</v>
      </c>
      <c r="G3136" s="17">
        <v>63523</v>
      </c>
    </row>
    <row r="3137" spans="1:7">
      <c r="A3137" s="1" t="s">
        <v>9026</v>
      </c>
      <c r="B3137" s="1" t="s">
        <v>9027</v>
      </c>
      <c r="C3137">
        <f>(1-(B7/100))*2968.72</f>
        <v>2968.72</v>
      </c>
      <c r="D3137" s="1">
        <v>0</v>
      </c>
      <c r="E3137">
        <f>D3137*C3137</f>
        <v>0</v>
      </c>
      <c r="F3137" s="1" t="s">
        <v>9028</v>
      </c>
      <c r="G3137" s="17">
        <v>63549</v>
      </c>
    </row>
    <row r="3138" spans="1:7">
      <c r="A3138" s="1" t="s">
        <v>9029</v>
      </c>
      <c r="B3138" s="1" t="s">
        <v>9030</v>
      </c>
      <c r="C3138">
        <f>(1-(B7/100))*606.91</f>
        <v>606.91</v>
      </c>
      <c r="D3138" s="1">
        <v>0</v>
      </c>
      <c r="E3138">
        <f>D3138*C3138</f>
        <v>0</v>
      </c>
      <c r="F3138" s="1" t="s">
        <v>9031</v>
      </c>
      <c r="G3138" s="17">
        <v>63550</v>
      </c>
    </row>
    <row r="3139" spans="1:7">
      <c r="A3139" s="1" t="s">
        <v>9032</v>
      </c>
      <c r="B3139" s="1" t="s">
        <v>9033</v>
      </c>
      <c r="C3139">
        <f>(1-(B7/100))*1394.31</f>
        <v>1394.31</v>
      </c>
      <c r="D3139" s="1">
        <v>0</v>
      </c>
      <c r="E3139">
        <f>D3139*C3139</f>
        <v>0</v>
      </c>
      <c r="F3139" s="1" t="s">
        <v>9034</v>
      </c>
      <c r="G3139" s="17">
        <v>63752</v>
      </c>
    </row>
    <row r="3140" spans="1:7">
      <c r="A3140" s="1" t="s">
        <v>9035</v>
      </c>
      <c r="B3140" s="1" t="s">
        <v>9036</v>
      </c>
      <c r="C3140">
        <f>(1-(B7/100))*3000</f>
        <v>3000</v>
      </c>
      <c r="D3140" s="1">
        <v>0</v>
      </c>
      <c r="E3140">
        <f>D3140*C3140</f>
        <v>0</v>
      </c>
      <c r="F3140" s="1" t="s">
        <v>9037</v>
      </c>
      <c r="G3140" s="17">
        <v>63753</v>
      </c>
    </row>
    <row r="3141" spans="1:7">
      <c r="A3141" s="1" t="s">
        <v>9038</v>
      </c>
      <c r="B3141" s="1" t="s">
        <v>9039</v>
      </c>
      <c r="C3141">
        <f>(1-(B7/100))*3505.99</f>
        <v>3505.99</v>
      </c>
      <c r="D3141" s="1">
        <v>0</v>
      </c>
      <c r="E3141">
        <f>D3141*C3141</f>
        <v>0</v>
      </c>
      <c r="F3141" s="1" t="s">
        <v>9040</v>
      </c>
      <c r="G3141" s="17">
        <v>63754</v>
      </c>
    </row>
    <row r="3142" spans="1:7">
      <c r="A3142" s="1" t="s">
        <v>9041</v>
      </c>
      <c r="B3142" s="1" t="s">
        <v>9042</v>
      </c>
      <c r="C3142">
        <f>(1-(B7/100))*1086.56</f>
        <v>1086.56</v>
      </c>
      <c r="D3142" s="1">
        <v>0</v>
      </c>
      <c r="E3142">
        <f>D3142*C3142</f>
        <v>0</v>
      </c>
      <c r="F3142" s="1" t="s">
        <v>9043</v>
      </c>
      <c r="G3142" s="17">
        <v>63756</v>
      </c>
    </row>
    <row r="3143" spans="1:7">
      <c r="A3143" s="1" t="s">
        <v>9044</v>
      </c>
      <c r="B3143" s="1" t="s">
        <v>9045</v>
      </c>
      <c r="C3143">
        <f>(1-(B7/100))*224.72</f>
        <v>224.72</v>
      </c>
      <c r="D3143" s="1">
        <v>0</v>
      </c>
      <c r="E3143">
        <f>D3143*C3143</f>
        <v>0</v>
      </c>
      <c r="F3143" s="1" t="s">
        <v>9046</v>
      </c>
      <c r="G3143" s="17">
        <v>63757</v>
      </c>
    </row>
    <row r="3144" spans="1:7">
      <c r="A3144" s="1" t="s">
        <v>9047</v>
      </c>
      <c r="B3144" s="1" t="s">
        <v>9048</v>
      </c>
      <c r="C3144">
        <f>(1-(B7/100))*628.19</f>
        <v>628.19</v>
      </c>
      <c r="D3144" s="1">
        <v>0</v>
      </c>
      <c r="E3144">
        <f>D3144*C3144</f>
        <v>0</v>
      </c>
      <c r="F3144" s="1" t="s">
        <v>9049</v>
      </c>
      <c r="G3144" s="17">
        <v>63758</v>
      </c>
    </row>
    <row r="3145" spans="1:7">
      <c r="A3145" s="1" t="s">
        <v>9050</v>
      </c>
      <c r="B3145" s="1" t="s">
        <v>9051</v>
      </c>
      <c r="C3145">
        <f>(1-(B7/100))*956.75</f>
        <v>956.75</v>
      </c>
      <c r="D3145" s="1">
        <v>0</v>
      </c>
      <c r="E3145">
        <f>D3145*C3145</f>
        <v>0</v>
      </c>
      <c r="F3145" s="1" t="s">
        <v>9052</v>
      </c>
      <c r="G3145" s="17">
        <v>63760</v>
      </c>
    </row>
    <row r="3146" spans="1:7">
      <c r="A3146" s="1">
        <v>19110346</v>
      </c>
      <c r="B3146" s="1" t="s">
        <v>9053</v>
      </c>
      <c r="C3146">
        <f>(1-(B7/100))*1013.52</f>
        <v>1013.52</v>
      </c>
      <c r="D3146" s="1">
        <v>0</v>
      </c>
      <c r="E3146">
        <f>D3146*C3146</f>
        <v>0</v>
      </c>
      <c r="F3146" s="1" t="s">
        <v>9054</v>
      </c>
      <c r="G3146" s="17">
        <v>64185</v>
      </c>
    </row>
    <row r="3147" spans="1:7">
      <c r="A3147" s="1" t="s">
        <v>9055</v>
      </c>
      <c r="B3147" s="1" t="s">
        <v>9056</v>
      </c>
      <c r="C3147">
        <f>(1-(B7/100))*27324.48</f>
        <v>27324.48</v>
      </c>
      <c r="D3147" s="1">
        <v>0</v>
      </c>
      <c r="E3147">
        <f>D3147*C3147</f>
        <v>0</v>
      </c>
      <c r="F3147" s="1" t="s">
        <v>9057</v>
      </c>
      <c r="G3147" s="17">
        <v>64193</v>
      </c>
    </row>
    <row r="3148" spans="1:7">
      <c r="A3148" s="1">
        <v>10217854</v>
      </c>
      <c r="B3148" s="1" t="s">
        <v>9058</v>
      </c>
      <c r="C3148">
        <f>(1-(B7/100))*2128.34</f>
        <v>2128.34</v>
      </c>
      <c r="D3148" s="1">
        <v>0</v>
      </c>
      <c r="E3148">
        <f>D3148*C3148</f>
        <v>0</v>
      </c>
      <c r="F3148" s="1" t="s">
        <v>9059</v>
      </c>
      <c r="G3148" s="17">
        <v>64199</v>
      </c>
    </row>
    <row r="3149" spans="1:7">
      <c r="A3149" s="1" t="s">
        <v>9060</v>
      </c>
      <c r="B3149" s="1" t="s">
        <v>9061</v>
      </c>
      <c r="C3149">
        <f>(1-(B7/100))*535.58</f>
        <v>535.58</v>
      </c>
      <c r="D3149" s="1">
        <v>0</v>
      </c>
      <c r="E3149">
        <f>D3149*C3149</f>
        <v>0</v>
      </c>
      <c r="F3149" s="1" t="s">
        <v>9062</v>
      </c>
      <c r="G3149" s="17">
        <v>64278</v>
      </c>
    </row>
    <row r="3150" spans="1:7">
      <c r="A3150" s="1" t="s">
        <v>9063</v>
      </c>
      <c r="B3150" s="1" t="s">
        <v>9064</v>
      </c>
      <c r="C3150">
        <f>(1-(B7/100))*969.99</f>
        <v>969.99</v>
      </c>
      <c r="D3150" s="1">
        <v>0</v>
      </c>
      <c r="E3150">
        <f>D3150*C3150</f>
        <v>0</v>
      </c>
      <c r="F3150" s="1" t="s">
        <v>9065</v>
      </c>
      <c r="G3150" s="17">
        <v>64350</v>
      </c>
    </row>
    <row r="3151" spans="1:7">
      <c r="A3151" s="1" t="s">
        <v>9066</v>
      </c>
      <c r="B3151" s="1" t="s">
        <v>9067</v>
      </c>
      <c r="C3151">
        <f>(1-(B7/100))*298.28</f>
        <v>298.28</v>
      </c>
      <c r="D3151" s="1">
        <v>0</v>
      </c>
      <c r="E3151">
        <f>D3151*C3151</f>
        <v>0</v>
      </c>
      <c r="F3151" s="1" t="s">
        <v>9068</v>
      </c>
      <c r="G3151" s="17">
        <v>64351</v>
      </c>
    </row>
    <row r="3152" spans="1:7">
      <c r="A3152" s="1" t="s">
        <v>9069</v>
      </c>
      <c r="B3152" s="1" t="s">
        <v>9070</v>
      </c>
      <c r="C3152">
        <f>(1-(B7/100))*255.53</f>
        <v>255.53</v>
      </c>
      <c r="D3152" s="1">
        <v>0</v>
      </c>
      <c r="E3152">
        <f>D3152*C3152</f>
        <v>0</v>
      </c>
      <c r="F3152" s="1" t="s">
        <v>9071</v>
      </c>
      <c r="G3152" s="17">
        <v>64352</v>
      </c>
    </row>
    <row r="3153" spans="1:7">
      <c r="A3153" s="1" t="s">
        <v>9072</v>
      </c>
      <c r="B3153" s="1" t="s">
        <v>9073</v>
      </c>
      <c r="C3153">
        <f>(1-(B7/100))*73.29</f>
        <v>73.29</v>
      </c>
      <c r="D3153" s="1">
        <v>0</v>
      </c>
      <c r="E3153">
        <f>D3153*C3153</f>
        <v>0</v>
      </c>
      <c r="F3153" s="1" t="s">
        <v>9074</v>
      </c>
      <c r="G3153" s="17">
        <v>64371</v>
      </c>
    </row>
    <row r="3154" spans="1:7">
      <c r="A3154" s="1" t="s">
        <v>9075</v>
      </c>
      <c r="B3154" s="1" t="s">
        <v>9076</v>
      </c>
      <c r="C3154">
        <f>(1-(B7/100))*1055.15</f>
        <v>1055.15</v>
      </c>
      <c r="D3154" s="1">
        <v>0</v>
      </c>
      <c r="E3154">
        <f>D3154*C3154</f>
        <v>0</v>
      </c>
      <c r="F3154" s="1" t="s">
        <v>9077</v>
      </c>
      <c r="G3154" s="17">
        <v>64433</v>
      </c>
    </row>
    <row r="3155" spans="1:7">
      <c r="A3155" s="1" t="s">
        <v>9078</v>
      </c>
      <c r="B3155" s="1" t="s">
        <v>9079</v>
      </c>
      <c r="C3155">
        <f>(1-(B7/100))*1562.45</f>
        <v>1562.45</v>
      </c>
      <c r="D3155" s="1">
        <v>0</v>
      </c>
      <c r="E3155">
        <f>D3155*C3155</f>
        <v>0</v>
      </c>
      <c r="F3155" s="1" t="s">
        <v>9080</v>
      </c>
      <c r="G3155" s="17">
        <v>64489</v>
      </c>
    </row>
    <row r="3156" spans="1:7">
      <c r="A3156" s="1" t="s">
        <v>9081</v>
      </c>
      <c r="B3156" s="1" t="s">
        <v>9082</v>
      </c>
      <c r="C3156">
        <f>(1-(B7/100))*960.24</f>
        <v>960.24</v>
      </c>
      <c r="D3156" s="1">
        <v>0</v>
      </c>
      <c r="E3156">
        <f>D3156*C3156</f>
        <v>0</v>
      </c>
      <c r="F3156" s="1" t="s">
        <v>9083</v>
      </c>
      <c r="G3156" s="17">
        <v>64490</v>
      </c>
    </row>
    <row r="3157" spans="1:7">
      <c r="A3157" s="1" t="s">
        <v>9084</v>
      </c>
      <c r="B3157" s="1" t="s">
        <v>9085</v>
      </c>
      <c r="C3157">
        <f>(1-(B7/100))*770.19</f>
        <v>770.19</v>
      </c>
      <c r="D3157" s="1">
        <v>0</v>
      </c>
      <c r="E3157">
        <f>D3157*C3157</f>
        <v>0</v>
      </c>
      <c r="F3157" s="1" t="s">
        <v>9086</v>
      </c>
      <c r="G3157" s="17">
        <v>64499</v>
      </c>
    </row>
    <row r="3158" spans="1:7">
      <c r="A3158" s="1" t="s">
        <v>9087</v>
      </c>
      <c r="B3158" s="1" t="s">
        <v>9088</v>
      </c>
      <c r="C3158">
        <f>(1-(B7/100))*1100.59</f>
        <v>1100.59</v>
      </c>
      <c r="D3158" s="1">
        <v>0</v>
      </c>
      <c r="E3158">
        <f>D3158*C3158</f>
        <v>0</v>
      </c>
      <c r="F3158" s="1" t="s">
        <v>9089</v>
      </c>
      <c r="G3158" s="17">
        <v>64527</v>
      </c>
    </row>
    <row r="3159" spans="1:7">
      <c r="A3159" s="1" t="s">
        <v>9090</v>
      </c>
      <c r="B3159" s="1" t="s">
        <v>9091</v>
      </c>
      <c r="C3159">
        <f>(1-(B7/100))*2626.01</f>
        <v>2626.01</v>
      </c>
      <c r="D3159" s="1">
        <v>0</v>
      </c>
      <c r="E3159">
        <f>D3159*C3159</f>
        <v>0</v>
      </c>
      <c r="F3159" s="1" t="s">
        <v>9092</v>
      </c>
      <c r="G3159" s="17">
        <v>64541</v>
      </c>
    </row>
    <row r="3160" spans="1:7">
      <c r="A3160" s="1" t="s">
        <v>9093</v>
      </c>
      <c r="B3160" s="1" t="s">
        <v>9094</v>
      </c>
      <c r="C3160">
        <f>(1-(B7/100))*398.17</f>
        <v>398.17</v>
      </c>
      <c r="D3160" s="1">
        <v>0</v>
      </c>
      <c r="E3160">
        <f>D3160*C3160</f>
        <v>0</v>
      </c>
      <c r="F3160" s="1" t="s">
        <v>9095</v>
      </c>
      <c r="G3160" s="17">
        <v>64740</v>
      </c>
    </row>
    <row r="3161" spans="1:7">
      <c r="A3161" s="1" t="s">
        <v>9096</v>
      </c>
      <c r="B3161" s="1" t="s">
        <v>9097</v>
      </c>
      <c r="C3161">
        <f>(1-(B7/100))*107.23</f>
        <v>107.23</v>
      </c>
      <c r="D3161" s="1">
        <v>0</v>
      </c>
      <c r="E3161">
        <f>D3161*C3161</f>
        <v>0</v>
      </c>
      <c r="F3161" s="1" t="s">
        <v>9098</v>
      </c>
      <c r="G3161" s="17">
        <v>64755</v>
      </c>
    </row>
    <row r="3162" spans="1:7">
      <c r="A3162" s="1" t="s">
        <v>9099</v>
      </c>
      <c r="B3162" s="1" t="s">
        <v>9100</v>
      </c>
      <c r="C3162">
        <f>(1-(B7/100))*536.68</f>
        <v>536.68</v>
      </c>
      <c r="D3162" s="1">
        <v>0</v>
      </c>
      <c r="E3162">
        <f>D3162*C3162</f>
        <v>0</v>
      </c>
      <c r="F3162" s="1" t="s">
        <v>9101</v>
      </c>
      <c r="G3162" s="17">
        <v>64958</v>
      </c>
    </row>
    <row r="3163" spans="1:7">
      <c r="A3163" s="1" t="s">
        <v>9102</v>
      </c>
      <c r="B3163" s="1" t="s">
        <v>9103</v>
      </c>
      <c r="C3163">
        <f>(1-(B7/100))*2593.37</f>
        <v>2593.37</v>
      </c>
      <c r="D3163" s="1">
        <v>0</v>
      </c>
      <c r="E3163">
        <f>D3163*C3163</f>
        <v>0</v>
      </c>
      <c r="F3163" s="1" t="s">
        <v>9104</v>
      </c>
      <c r="G3163" s="17">
        <v>64983</v>
      </c>
    </row>
    <row r="3164" spans="1:7">
      <c r="A3164" s="1" t="s">
        <v>9105</v>
      </c>
      <c r="B3164" s="1" t="s">
        <v>9106</v>
      </c>
      <c r="C3164">
        <f>(1-(B7/100))*2593.37</f>
        <v>2593.37</v>
      </c>
      <c r="D3164" s="1">
        <v>0</v>
      </c>
      <c r="E3164">
        <f>D3164*C3164</f>
        <v>0</v>
      </c>
      <c r="F3164" s="1" t="s">
        <v>9107</v>
      </c>
      <c r="G3164" s="17">
        <v>64984</v>
      </c>
    </row>
    <row r="3165" spans="1:7">
      <c r="A3165" s="1" t="s">
        <v>9108</v>
      </c>
      <c r="B3165" s="1" t="s">
        <v>9109</v>
      </c>
      <c r="C3165">
        <f>(1-(B7/100))*1040.93</f>
        <v>1040.93</v>
      </c>
      <c r="D3165" s="1">
        <v>0</v>
      </c>
      <c r="E3165">
        <f>D3165*C3165</f>
        <v>0</v>
      </c>
      <c r="F3165" s="1" t="s">
        <v>9110</v>
      </c>
      <c r="G3165" s="17">
        <v>66186</v>
      </c>
    </row>
    <row r="3166" spans="1:7">
      <c r="A3166" s="1" t="s">
        <v>9111</v>
      </c>
      <c r="B3166" s="1" t="s">
        <v>9112</v>
      </c>
      <c r="C3166">
        <f>(1-(B7/100))*202.5</f>
        <v>202.5</v>
      </c>
      <c r="D3166" s="1">
        <v>0</v>
      </c>
      <c r="E3166">
        <f>D3166*C3166</f>
        <v>0</v>
      </c>
      <c r="F3166" s="1" t="s">
        <v>9113</v>
      </c>
      <c r="G3166" s="17">
        <v>66259</v>
      </c>
    </row>
    <row r="3167" spans="1:7">
      <c r="A3167" s="1" t="s">
        <v>9114</v>
      </c>
      <c r="B3167" s="1" t="s">
        <v>9115</v>
      </c>
      <c r="C3167">
        <f>(1-(B7/100))*163.46</f>
        <v>163.46</v>
      </c>
      <c r="D3167" s="1">
        <v>0</v>
      </c>
      <c r="E3167">
        <f>D3167*C3167</f>
        <v>0</v>
      </c>
      <c r="F3167" s="1" t="s">
        <v>9116</v>
      </c>
      <c r="G3167" s="17">
        <v>66550</v>
      </c>
    </row>
    <row r="3168" spans="1:7">
      <c r="A3168" s="1" t="s">
        <v>9117</v>
      </c>
      <c r="B3168" s="1" t="s">
        <v>9118</v>
      </c>
      <c r="C3168">
        <f>(1-(B7/100))*291.46</f>
        <v>291.46</v>
      </c>
      <c r="D3168" s="1">
        <v>0</v>
      </c>
      <c r="E3168">
        <f>D3168*C3168</f>
        <v>0</v>
      </c>
      <c r="F3168" s="1" t="s">
        <v>9119</v>
      </c>
      <c r="G3168" s="17">
        <v>66554</v>
      </c>
    </row>
    <row r="3169" spans="1:7">
      <c r="A3169" s="1" t="s">
        <v>9120</v>
      </c>
      <c r="B3169" s="1" t="s">
        <v>9121</v>
      </c>
      <c r="C3169">
        <f>(1-(B7/100))*3444.45</f>
        <v>3444.45</v>
      </c>
      <c r="D3169" s="1">
        <v>0</v>
      </c>
      <c r="E3169">
        <f>D3169*C3169</f>
        <v>0</v>
      </c>
      <c r="F3169" s="1" t="s">
        <v>9122</v>
      </c>
      <c r="G3169" s="17">
        <v>66558</v>
      </c>
    </row>
    <row r="3170" spans="1:7">
      <c r="A3170" s="1" t="s">
        <v>9123</v>
      </c>
      <c r="B3170" s="1" t="s">
        <v>9124</v>
      </c>
      <c r="C3170">
        <f>(1-(B7/100))*218.25</f>
        <v>218.25</v>
      </c>
      <c r="D3170" s="1">
        <v>0</v>
      </c>
      <c r="E3170">
        <f>D3170*C3170</f>
        <v>0</v>
      </c>
      <c r="F3170" s="1" t="s">
        <v>9125</v>
      </c>
      <c r="G3170" s="17">
        <v>66565</v>
      </c>
    </row>
    <row r="3171" spans="1:7">
      <c r="A3171" s="1" t="s">
        <v>9126</v>
      </c>
      <c r="B3171" s="1" t="s">
        <v>9127</v>
      </c>
      <c r="C3171">
        <f>(1-(B7/100))*731.99</f>
        <v>731.99</v>
      </c>
      <c r="D3171" s="1">
        <v>0</v>
      </c>
      <c r="E3171">
        <f>D3171*C3171</f>
        <v>0</v>
      </c>
      <c r="F3171" s="1" t="s">
        <v>9128</v>
      </c>
      <c r="G3171" s="17">
        <v>66583</v>
      </c>
    </row>
    <row r="3172" spans="1:7">
      <c r="A3172" s="1" t="s">
        <v>9129</v>
      </c>
      <c r="B3172" s="1" t="s">
        <v>9130</v>
      </c>
      <c r="C3172">
        <f>(1-(B7/100))*563.78</f>
        <v>563.78</v>
      </c>
      <c r="D3172" s="1">
        <v>0</v>
      </c>
      <c r="E3172">
        <f>D3172*C3172</f>
        <v>0</v>
      </c>
      <c r="F3172" s="1" t="s">
        <v>9131</v>
      </c>
      <c r="G3172" s="17">
        <v>66590</v>
      </c>
    </row>
    <row r="3173" spans="1:7">
      <c r="A3173" s="1" t="s">
        <v>9132</v>
      </c>
      <c r="B3173" s="1" t="s">
        <v>9133</v>
      </c>
      <c r="C3173">
        <f>(1-(B7/100))*788.31</f>
        <v>788.31</v>
      </c>
      <c r="D3173" s="1">
        <v>0</v>
      </c>
      <c r="E3173">
        <f>D3173*C3173</f>
        <v>0</v>
      </c>
      <c r="F3173" s="1" t="s">
        <v>9134</v>
      </c>
      <c r="G3173" s="17">
        <v>66604</v>
      </c>
    </row>
    <row r="3174" spans="1:7">
      <c r="A3174" s="1" t="s">
        <v>9135</v>
      </c>
      <c r="B3174" s="1" t="s">
        <v>9136</v>
      </c>
      <c r="C3174">
        <f>(1-(B7/100))*1595.79</f>
        <v>1595.79</v>
      </c>
      <c r="D3174" s="1">
        <v>0</v>
      </c>
      <c r="E3174">
        <f>D3174*C3174</f>
        <v>0</v>
      </c>
      <c r="F3174" s="1" t="s">
        <v>9137</v>
      </c>
      <c r="G3174" s="17">
        <v>66616</v>
      </c>
    </row>
    <row r="3175" spans="1:7">
      <c r="A3175" s="1" t="s">
        <v>9138</v>
      </c>
      <c r="B3175" s="1" t="s">
        <v>9139</v>
      </c>
      <c r="C3175">
        <f>(1-(B7/100))*2526.19</f>
        <v>2526.19</v>
      </c>
      <c r="D3175" s="1">
        <v>0</v>
      </c>
      <c r="E3175">
        <f>D3175*C3175</f>
        <v>0</v>
      </c>
      <c r="F3175" s="1" t="s">
        <v>9140</v>
      </c>
      <c r="G3175" s="17">
        <v>66628</v>
      </c>
    </row>
    <row r="3176" spans="1:7">
      <c r="A3176" s="1" t="s">
        <v>9141</v>
      </c>
      <c r="B3176" s="1" t="s">
        <v>9142</v>
      </c>
      <c r="C3176">
        <f>(1-(B7/100))*67.95</f>
        <v>67.95</v>
      </c>
      <c r="D3176" s="1">
        <v>0</v>
      </c>
      <c r="E3176">
        <f>D3176*C3176</f>
        <v>0</v>
      </c>
      <c r="F3176" s="1" t="s">
        <v>9143</v>
      </c>
      <c r="G3176" s="17">
        <v>66639</v>
      </c>
    </row>
    <row r="3177" spans="1:7">
      <c r="A3177" s="1" t="s">
        <v>9144</v>
      </c>
      <c r="B3177" s="1" t="s">
        <v>9145</v>
      </c>
      <c r="C3177">
        <f>(1-(B7/100))*49.44</f>
        <v>49.44</v>
      </c>
      <c r="D3177" s="1">
        <v>0</v>
      </c>
      <c r="E3177">
        <f>D3177*C3177</f>
        <v>0</v>
      </c>
      <c r="F3177" s="1" t="s">
        <v>9146</v>
      </c>
      <c r="G3177" s="17">
        <v>66662</v>
      </c>
    </row>
    <row r="3178" spans="1:7">
      <c r="A3178" s="1" t="s">
        <v>9147</v>
      </c>
      <c r="B3178" s="1" t="s">
        <v>9148</v>
      </c>
      <c r="C3178">
        <f>(1-(B7/100))*1130.55</f>
        <v>1130.55</v>
      </c>
      <c r="D3178" s="1">
        <v>0</v>
      </c>
      <c r="E3178">
        <f>D3178*C3178</f>
        <v>0</v>
      </c>
      <c r="F3178" s="1" t="s">
        <v>9149</v>
      </c>
      <c r="G3178" s="17">
        <v>66668</v>
      </c>
    </row>
    <row r="3179" spans="1:7">
      <c r="A3179" s="1" t="s">
        <v>9150</v>
      </c>
      <c r="B3179" s="1" t="s">
        <v>9151</v>
      </c>
      <c r="C3179">
        <f>(1-(B7/100))*336.37</f>
        <v>336.37</v>
      </c>
      <c r="D3179" s="1">
        <v>0</v>
      </c>
      <c r="E3179">
        <f>D3179*C3179</f>
        <v>0</v>
      </c>
      <c r="F3179" s="1" t="s">
        <v>9152</v>
      </c>
      <c r="G3179" s="17">
        <v>66672</v>
      </c>
    </row>
    <row r="3180" spans="1:7">
      <c r="A3180" s="1" t="s">
        <v>9153</v>
      </c>
      <c r="B3180" s="1" t="s">
        <v>9154</v>
      </c>
      <c r="C3180">
        <f>(1-(B7/100))*184.31</f>
        <v>184.31</v>
      </c>
      <c r="D3180" s="1">
        <v>0</v>
      </c>
      <c r="E3180">
        <f>D3180*C3180</f>
        <v>0</v>
      </c>
      <c r="F3180" s="1" t="s">
        <v>9155</v>
      </c>
      <c r="G3180" s="17">
        <v>66688</v>
      </c>
    </row>
    <row r="3181" spans="1:7">
      <c r="A3181" s="1">
        <v>10095360</v>
      </c>
      <c r="B3181" s="1" t="s">
        <v>9156</v>
      </c>
      <c r="C3181">
        <f>(1-(B7/100))*229.2</f>
        <v>229.2</v>
      </c>
      <c r="D3181" s="1">
        <v>0</v>
      </c>
      <c r="E3181">
        <f>D3181*C3181</f>
        <v>0</v>
      </c>
      <c r="F3181" s="1" t="s">
        <v>9157</v>
      </c>
      <c r="G3181" s="17">
        <v>66695</v>
      </c>
    </row>
    <row r="3182" spans="1:7">
      <c r="A3182" s="1" t="s">
        <v>9158</v>
      </c>
      <c r="B3182" s="1" t="s">
        <v>9159</v>
      </c>
      <c r="C3182">
        <f>(1-(B7/100))*322.08</f>
        <v>322.08</v>
      </c>
      <c r="D3182" s="1">
        <v>0</v>
      </c>
      <c r="E3182">
        <f>D3182*C3182</f>
        <v>0</v>
      </c>
      <c r="F3182" s="1" t="s">
        <v>9160</v>
      </c>
      <c r="G3182" s="17">
        <v>66717</v>
      </c>
    </row>
    <row r="3183" spans="1:7">
      <c r="A3183" s="1" t="s">
        <v>9161</v>
      </c>
      <c r="B3183" s="1" t="s">
        <v>9162</v>
      </c>
      <c r="C3183">
        <f>(1-(B7/100))*367.43</f>
        <v>367.43</v>
      </c>
      <c r="D3183" s="1">
        <v>0</v>
      </c>
      <c r="E3183">
        <f>D3183*C3183</f>
        <v>0</v>
      </c>
      <c r="F3183" s="1" t="s">
        <v>9163</v>
      </c>
      <c r="G3183" s="17">
        <v>66722</v>
      </c>
    </row>
    <row r="3184" spans="1:7">
      <c r="A3184" s="1" t="s">
        <v>9164</v>
      </c>
      <c r="B3184" s="1" t="s">
        <v>9165</v>
      </c>
      <c r="C3184">
        <f>(1-(B7/100))*477.06</f>
        <v>477.06</v>
      </c>
      <c r="D3184" s="1">
        <v>0</v>
      </c>
      <c r="E3184">
        <f>D3184*C3184</f>
        <v>0</v>
      </c>
      <c r="F3184" s="1" t="s">
        <v>9166</v>
      </c>
      <c r="G3184" s="17">
        <v>66728</v>
      </c>
    </row>
    <row r="3185" spans="1:7">
      <c r="A3185" s="1" t="s">
        <v>9167</v>
      </c>
      <c r="B3185" s="1" t="s">
        <v>9168</v>
      </c>
      <c r="C3185">
        <f>(1-(B7/100))*2029.59</f>
        <v>2029.59</v>
      </c>
      <c r="D3185" s="1">
        <v>0</v>
      </c>
      <c r="E3185">
        <f>D3185*C3185</f>
        <v>0</v>
      </c>
      <c r="F3185" s="1" t="s">
        <v>9169</v>
      </c>
      <c r="G3185" s="17">
        <v>66735</v>
      </c>
    </row>
    <row r="3186" spans="1:7">
      <c r="A3186" s="1" t="s">
        <v>9170</v>
      </c>
      <c r="B3186" s="1" t="s">
        <v>9171</v>
      </c>
      <c r="C3186">
        <f>(1-(B7/100))*2312.79</f>
        <v>2312.79</v>
      </c>
      <c r="D3186" s="1">
        <v>0</v>
      </c>
      <c r="E3186">
        <f>D3186*C3186</f>
        <v>0</v>
      </c>
      <c r="F3186" s="1" t="s">
        <v>9172</v>
      </c>
      <c r="G3186" s="17">
        <v>66743</v>
      </c>
    </row>
    <row r="3187" spans="1:7">
      <c r="A3187" s="1" t="s">
        <v>9173</v>
      </c>
      <c r="B3187" s="1" t="s">
        <v>9174</v>
      </c>
      <c r="C3187">
        <f>(1-(B7/100))*1757.64</f>
        <v>1757.64</v>
      </c>
      <c r="D3187" s="1">
        <v>0</v>
      </c>
      <c r="E3187">
        <f>D3187*C3187</f>
        <v>0</v>
      </c>
      <c r="F3187" s="1" t="s">
        <v>9175</v>
      </c>
      <c r="G3187" s="17">
        <v>66744</v>
      </c>
    </row>
    <row r="3188" spans="1:7">
      <c r="A3188" s="1" t="s">
        <v>9176</v>
      </c>
      <c r="B3188" s="1" t="s">
        <v>9177</v>
      </c>
      <c r="C3188">
        <f>(1-(B7/100))*27.91</f>
        <v>27.91</v>
      </c>
      <c r="D3188" s="1">
        <v>0</v>
      </c>
      <c r="E3188">
        <f>D3188*C3188</f>
        <v>0</v>
      </c>
      <c r="F3188" s="1" t="s">
        <v>9178</v>
      </c>
      <c r="G3188" s="17">
        <v>66748</v>
      </c>
    </row>
    <row r="3189" spans="1:7">
      <c r="A3189" s="1" t="s">
        <v>9179</v>
      </c>
      <c r="B3189" s="1" t="s">
        <v>9180</v>
      </c>
      <c r="C3189">
        <f>(1-(B7/100))*27.52</f>
        <v>27.52</v>
      </c>
      <c r="D3189" s="1">
        <v>0</v>
      </c>
      <c r="E3189">
        <f>D3189*C3189</f>
        <v>0</v>
      </c>
      <c r="F3189" s="1" t="s">
        <v>9181</v>
      </c>
      <c r="G3189" s="17">
        <v>66750</v>
      </c>
    </row>
    <row r="3190" spans="1:7">
      <c r="A3190" s="1" t="s">
        <v>9182</v>
      </c>
      <c r="B3190" s="1" t="s">
        <v>9183</v>
      </c>
      <c r="C3190">
        <f>(1-(B7/100))*27.91</f>
        <v>27.91</v>
      </c>
      <c r="D3190" s="1">
        <v>0</v>
      </c>
      <c r="E3190">
        <f>D3190*C3190</f>
        <v>0</v>
      </c>
      <c r="F3190" s="1" t="s">
        <v>9184</v>
      </c>
      <c r="G3190" s="17">
        <v>66752</v>
      </c>
    </row>
    <row r="3191" spans="1:7">
      <c r="A3191" s="1" t="s">
        <v>9185</v>
      </c>
      <c r="B3191" s="1" t="s">
        <v>9186</v>
      </c>
      <c r="C3191">
        <f>(1-(B7/100))*71.89</f>
        <v>71.89</v>
      </c>
      <c r="D3191" s="1">
        <v>0</v>
      </c>
      <c r="E3191">
        <f>D3191*C3191</f>
        <v>0</v>
      </c>
      <c r="F3191" s="1" t="s">
        <v>9187</v>
      </c>
      <c r="G3191" s="17">
        <v>66768</v>
      </c>
    </row>
    <row r="3192" spans="1:7">
      <c r="A3192" s="1" t="s">
        <v>9188</v>
      </c>
      <c r="B3192" s="1" t="s">
        <v>9189</v>
      </c>
      <c r="C3192">
        <f>(1-(B7/100))*61.63</f>
        <v>61.63</v>
      </c>
      <c r="D3192" s="1">
        <v>0</v>
      </c>
      <c r="E3192">
        <f>D3192*C3192</f>
        <v>0</v>
      </c>
      <c r="F3192" s="1" t="s">
        <v>9190</v>
      </c>
      <c r="G3192" s="17">
        <v>66769</v>
      </c>
    </row>
    <row r="3193" spans="1:7">
      <c r="A3193" s="1" t="s">
        <v>9191</v>
      </c>
      <c r="B3193" s="1" t="s">
        <v>9192</v>
      </c>
      <c r="C3193">
        <f>(1-(B7/100))*110.64</f>
        <v>110.64</v>
      </c>
      <c r="D3193" s="1">
        <v>0</v>
      </c>
      <c r="E3193">
        <f>D3193*C3193</f>
        <v>0</v>
      </c>
      <c r="F3193" s="1" t="s">
        <v>9193</v>
      </c>
      <c r="G3193" s="17">
        <v>66771</v>
      </c>
    </row>
    <row r="3194" spans="1:7">
      <c r="A3194" s="1" t="s">
        <v>9194</v>
      </c>
      <c r="B3194" s="1" t="s">
        <v>9195</v>
      </c>
      <c r="C3194">
        <f>(1-(B7/100))*237.38</f>
        <v>237.38</v>
      </c>
      <c r="D3194" s="1">
        <v>0</v>
      </c>
      <c r="E3194">
        <f>D3194*C3194</f>
        <v>0</v>
      </c>
      <c r="F3194" s="1" t="s">
        <v>9196</v>
      </c>
      <c r="G3194" s="17">
        <v>66772</v>
      </c>
    </row>
    <row r="3195" spans="1:7">
      <c r="A3195" s="1" t="s">
        <v>9197</v>
      </c>
      <c r="B3195" s="1" t="s">
        <v>9198</v>
      </c>
      <c r="C3195">
        <f>(1-(B7/100))*483.13</f>
        <v>483.13</v>
      </c>
      <c r="D3195" s="1">
        <v>0</v>
      </c>
      <c r="E3195">
        <f>D3195*C3195</f>
        <v>0</v>
      </c>
      <c r="F3195" s="1" t="s">
        <v>9199</v>
      </c>
      <c r="G3195" s="17">
        <v>66789</v>
      </c>
    </row>
    <row r="3196" spans="1:7">
      <c r="A3196" s="1" t="s">
        <v>9200</v>
      </c>
      <c r="B3196" s="1" t="s">
        <v>9201</v>
      </c>
      <c r="C3196">
        <f>(1-(B7/100))*863.01</f>
        <v>863.01</v>
      </c>
      <c r="D3196" s="1">
        <v>0</v>
      </c>
      <c r="E3196">
        <f>D3196*C3196</f>
        <v>0</v>
      </c>
      <c r="F3196" s="1" t="s">
        <v>9202</v>
      </c>
      <c r="G3196" s="17">
        <v>66794</v>
      </c>
    </row>
    <row r="3197" spans="1:7">
      <c r="A3197" s="1" t="s">
        <v>9203</v>
      </c>
      <c r="B3197" s="1" t="s">
        <v>9204</v>
      </c>
      <c r="C3197">
        <f>(1-(B7/100))*147.35</f>
        <v>147.35</v>
      </c>
      <c r="D3197" s="1">
        <v>0</v>
      </c>
      <c r="E3197">
        <f>D3197*C3197</f>
        <v>0</v>
      </c>
      <c r="F3197" s="1" t="s">
        <v>9205</v>
      </c>
      <c r="G3197" s="17">
        <v>66800</v>
      </c>
    </row>
    <row r="3198" spans="1:7">
      <c r="A3198" s="1" t="s">
        <v>9206</v>
      </c>
      <c r="B3198" s="1" t="s">
        <v>9207</v>
      </c>
      <c r="C3198">
        <f>(1-(B7/100))*77.43</f>
        <v>77.43</v>
      </c>
      <c r="D3198" s="1">
        <v>0</v>
      </c>
      <c r="E3198">
        <f>D3198*C3198</f>
        <v>0</v>
      </c>
      <c r="F3198" s="1" t="s">
        <v>9208</v>
      </c>
      <c r="G3198" s="17">
        <v>66803</v>
      </c>
    </row>
    <row r="3199" spans="1:7">
      <c r="A3199" s="1" t="s">
        <v>9209</v>
      </c>
      <c r="B3199" s="1" t="s">
        <v>9210</v>
      </c>
      <c r="C3199">
        <f>(1-(B7/100))*132.22</f>
        <v>132.22</v>
      </c>
      <c r="D3199" s="1">
        <v>0</v>
      </c>
      <c r="E3199">
        <f>D3199*C3199</f>
        <v>0</v>
      </c>
      <c r="F3199" s="1" t="s">
        <v>9211</v>
      </c>
      <c r="G3199" s="17">
        <v>66805</v>
      </c>
    </row>
    <row r="3200" spans="1:7">
      <c r="A3200" s="1" t="s">
        <v>9212</v>
      </c>
      <c r="B3200" s="1" t="s">
        <v>9213</v>
      </c>
      <c r="C3200">
        <f>(1-(B7/100))*196.6</f>
        <v>196.6</v>
      </c>
      <c r="D3200" s="1">
        <v>0</v>
      </c>
      <c r="E3200">
        <f>D3200*C3200</f>
        <v>0</v>
      </c>
      <c r="F3200" s="1" t="s">
        <v>9214</v>
      </c>
      <c r="G3200" s="17">
        <v>66819</v>
      </c>
    </row>
    <row r="3201" spans="1:7">
      <c r="A3201" s="1" t="s">
        <v>9215</v>
      </c>
      <c r="B3201" s="1" t="s">
        <v>9216</v>
      </c>
      <c r="C3201">
        <f>(1-(B7/100))*136.51</f>
        <v>136.51</v>
      </c>
      <c r="D3201" s="1">
        <v>0</v>
      </c>
      <c r="E3201">
        <f>D3201*C3201</f>
        <v>0</v>
      </c>
      <c r="F3201" s="1" t="s">
        <v>9217</v>
      </c>
      <c r="G3201" s="17">
        <v>66821</v>
      </c>
    </row>
    <row r="3202" spans="1:7">
      <c r="A3202" s="1" t="s">
        <v>9218</v>
      </c>
      <c r="B3202" s="1" t="s">
        <v>9219</v>
      </c>
      <c r="C3202">
        <f>(1-(B7/100))*302.02</f>
        <v>302.02</v>
      </c>
      <c r="D3202" s="1">
        <v>0</v>
      </c>
      <c r="E3202">
        <f>D3202*C3202</f>
        <v>0</v>
      </c>
      <c r="F3202" s="1" t="s">
        <v>9220</v>
      </c>
      <c r="G3202" s="17">
        <v>66833</v>
      </c>
    </row>
    <row r="3203" spans="1:7">
      <c r="A3203" s="1" t="s">
        <v>9221</v>
      </c>
      <c r="B3203" s="1" t="s">
        <v>9222</v>
      </c>
      <c r="C3203">
        <f>(1-(B7/100))*1570.6</f>
        <v>1570.6</v>
      </c>
      <c r="D3203" s="1">
        <v>0</v>
      </c>
      <c r="E3203">
        <f>D3203*C3203</f>
        <v>0</v>
      </c>
      <c r="F3203" s="1" t="s">
        <v>9223</v>
      </c>
      <c r="G3203" s="17">
        <v>66836</v>
      </c>
    </row>
    <row r="3204" spans="1:7">
      <c r="A3204" s="1" t="s">
        <v>9224</v>
      </c>
      <c r="B3204" s="1" t="s">
        <v>9225</v>
      </c>
      <c r="C3204">
        <f>(1-(B7/100))*1621.46</f>
        <v>1621.46</v>
      </c>
      <c r="D3204" s="1">
        <v>0</v>
      </c>
      <c r="E3204">
        <f>D3204*C3204</f>
        <v>0</v>
      </c>
      <c r="F3204" s="1" t="s">
        <v>9226</v>
      </c>
      <c r="G3204" s="17">
        <v>66837</v>
      </c>
    </row>
    <row r="3205" spans="1:7">
      <c r="A3205" s="1" t="s">
        <v>9227</v>
      </c>
      <c r="B3205" s="1" t="s">
        <v>9228</v>
      </c>
      <c r="C3205">
        <f>(1-(B7/100))*1382.17</f>
        <v>1382.17</v>
      </c>
      <c r="D3205" s="1">
        <v>0</v>
      </c>
      <c r="E3205">
        <f>D3205*C3205</f>
        <v>0</v>
      </c>
      <c r="F3205" s="1" t="s">
        <v>9229</v>
      </c>
      <c r="G3205" s="17">
        <v>67443</v>
      </c>
    </row>
    <row r="3206" spans="1:7">
      <c r="A3206" s="1" t="s">
        <v>9230</v>
      </c>
      <c r="B3206" s="1" t="s">
        <v>9231</v>
      </c>
      <c r="C3206">
        <f>(1-(B7/100))*586.45</f>
        <v>586.45</v>
      </c>
      <c r="D3206" s="1">
        <v>0</v>
      </c>
      <c r="E3206">
        <f>D3206*C3206</f>
        <v>0</v>
      </c>
      <c r="F3206" s="1" t="s">
        <v>9232</v>
      </c>
      <c r="G3206" s="17">
        <v>67572</v>
      </c>
    </row>
    <row r="3207" spans="1:7">
      <c r="A3207" s="1" t="s">
        <v>9233</v>
      </c>
      <c r="B3207" s="1" t="s">
        <v>9234</v>
      </c>
      <c r="C3207">
        <f>(1-(B7/100))*961.11</f>
        <v>961.11</v>
      </c>
      <c r="D3207" s="1">
        <v>0</v>
      </c>
      <c r="E3207">
        <f>D3207*C3207</f>
        <v>0</v>
      </c>
      <c r="F3207" s="1" t="s">
        <v>9235</v>
      </c>
      <c r="G3207" s="17">
        <v>67672</v>
      </c>
    </row>
    <row r="3208" spans="1:7">
      <c r="A3208" s="1" t="s">
        <v>9236</v>
      </c>
      <c r="B3208" s="1" t="s">
        <v>9237</v>
      </c>
      <c r="C3208">
        <f>(1-(B7/100))*1703.12</f>
        <v>1703.12</v>
      </c>
      <c r="D3208" s="1">
        <v>0</v>
      </c>
      <c r="E3208">
        <f>D3208*C3208</f>
        <v>0</v>
      </c>
      <c r="F3208" s="1" t="s">
        <v>9238</v>
      </c>
      <c r="G3208" s="17">
        <v>67676</v>
      </c>
    </row>
    <row r="3209" spans="1:7">
      <c r="A3209" s="1" t="s">
        <v>9239</v>
      </c>
      <c r="B3209" s="1" t="s">
        <v>9240</v>
      </c>
      <c r="C3209">
        <f>(1-(B7/100))*329.36</f>
        <v>329.36</v>
      </c>
      <c r="D3209" s="1">
        <v>0</v>
      </c>
      <c r="E3209">
        <f>D3209*C3209</f>
        <v>0</v>
      </c>
      <c r="F3209" s="1" t="s">
        <v>9241</v>
      </c>
      <c r="G3209" s="17">
        <v>67773</v>
      </c>
    </row>
    <row r="3210" spans="1:7">
      <c r="A3210" s="1" t="s">
        <v>9242</v>
      </c>
      <c r="B3210" s="1" t="s">
        <v>9243</v>
      </c>
      <c r="C3210">
        <f>(1-(B7/100))*251.55</f>
        <v>251.55</v>
      </c>
      <c r="D3210" s="1">
        <v>0</v>
      </c>
      <c r="E3210">
        <f>D3210*C3210</f>
        <v>0</v>
      </c>
      <c r="F3210" s="1" t="s">
        <v>9244</v>
      </c>
      <c r="G3210" s="17">
        <v>67776</v>
      </c>
    </row>
    <row r="3211" spans="1:7">
      <c r="A3211" s="1" t="s">
        <v>9245</v>
      </c>
      <c r="B3211" s="1" t="s">
        <v>9246</v>
      </c>
      <c r="C3211">
        <f>(1-(B7/100))*190.1</f>
        <v>190.1</v>
      </c>
      <c r="D3211" s="1">
        <v>0</v>
      </c>
      <c r="E3211">
        <f>D3211*C3211</f>
        <v>0</v>
      </c>
      <c r="F3211" s="1" t="s">
        <v>9247</v>
      </c>
      <c r="G3211" s="17">
        <v>67779</v>
      </c>
    </row>
    <row r="3212" spans="1:7">
      <c r="A3212" s="1" t="s">
        <v>9248</v>
      </c>
      <c r="B3212" s="1" t="s">
        <v>9249</v>
      </c>
      <c r="C3212">
        <f>(1-(B7/100))*428.92</f>
        <v>428.92</v>
      </c>
      <c r="D3212" s="1">
        <v>0</v>
      </c>
      <c r="E3212">
        <f>D3212*C3212</f>
        <v>0</v>
      </c>
      <c r="F3212" s="1" t="s">
        <v>9250</v>
      </c>
      <c r="G3212" s="17">
        <v>67781</v>
      </c>
    </row>
    <row r="3213" spans="1:7">
      <c r="A3213" s="1" t="s">
        <v>9251</v>
      </c>
      <c r="B3213" s="1" t="s">
        <v>9252</v>
      </c>
      <c r="C3213">
        <f>(1-(B7/100))*2290.05</f>
        <v>2290.05</v>
      </c>
      <c r="D3213" s="1">
        <v>0</v>
      </c>
      <c r="E3213">
        <f>D3213*C3213</f>
        <v>0</v>
      </c>
      <c r="F3213" s="1" t="s">
        <v>9253</v>
      </c>
      <c r="G3213" s="17">
        <v>68308</v>
      </c>
    </row>
    <row r="3214" spans="1:7">
      <c r="A3214" s="1" t="s">
        <v>9254</v>
      </c>
      <c r="B3214" s="1" t="s">
        <v>9255</v>
      </c>
      <c r="C3214">
        <f>(1-(B7/100))*112.89</f>
        <v>112.89</v>
      </c>
      <c r="D3214" s="1">
        <v>0</v>
      </c>
      <c r="E3214">
        <f>D3214*C3214</f>
        <v>0</v>
      </c>
      <c r="F3214" s="1" t="s">
        <v>9256</v>
      </c>
      <c r="G3214" s="17">
        <v>68769</v>
      </c>
    </row>
    <row r="3215" spans="1:7">
      <c r="A3215" s="1" t="s">
        <v>9257</v>
      </c>
      <c r="B3215" s="1" t="s">
        <v>9258</v>
      </c>
      <c r="C3215">
        <f>(1-(B7/100))*1576.02</f>
        <v>1576.02</v>
      </c>
      <c r="D3215" s="1">
        <v>0</v>
      </c>
      <c r="E3215">
        <f>D3215*C3215</f>
        <v>0</v>
      </c>
      <c r="F3215" s="1" t="s">
        <v>9259</v>
      </c>
      <c r="G3215" s="17">
        <v>68914</v>
      </c>
    </row>
    <row r="3216" spans="1:7">
      <c r="A3216" s="1" t="s">
        <v>9260</v>
      </c>
      <c r="B3216" s="1" t="s">
        <v>9261</v>
      </c>
      <c r="C3216">
        <f>(1-(B7/100))*174.78</f>
        <v>174.78</v>
      </c>
      <c r="D3216" s="1">
        <v>0</v>
      </c>
      <c r="E3216">
        <f>D3216*C3216</f>
        <v>0</v>
      </c>
      <c r="F3216" s="1" t="s">
        <v>9262</v>
      </c>
      <c r="G3216" s="17">
        <v>70463</v>
      </c>
    </row>
    <row r="3217" spans="1:7">
      <c r="A3217" s="1" t="s">
        <v>9263</v>
      </c>
      <c r="B3217" s="1" t="s">
        <v>9264</v>
      </c>
      <c r="C3217">
        <f>(1-(B7/100))*1665.49</f>
        <v>1665.49</v>
      </c>
      <c r="D3217" s="1">
        <v>0</v>
      </c>
      <c r="E3217">
        <f>D3217*C3217</f>
        <v>0</v>
      </c>
      <c r="F3217" s="1" t="s">
        <v>9265</v>
      </c>
      <c r="G3217" s="17">
        <v>70677</v>
      </c>
    </row>
    <row r="3218" spans="1:7">
      <c r="A3218" s="1" t="s">
        <v>9266</v>
      </c>
      <c r="B3218" s="1" t="s">
        <v>9267</v>
      </c>
      <c r="C3218">
        <f>(1-(B7/100))*1850.23</f>
        <v>1850.23</v>
      </c>
      <c r="D3218" s="1">
        <v>0</v>
      </c>
      <c r="E3218">
        <f>D3218*C3218</f>
        <v>0</v>
      </c>
      <c r="F3218" s="1" t="s">
        <v>16</v>
      </c>
      <c r="G3218" s="17">
        <v>70747</v>
      </c>
    </row>
    <row r="3219" spans="1:7">
      <c r="A3219" s="1" t="s">
        <v>9268</v>
      </c>
      <c r="B3219" s="1" t="s">
        <v>9269</v>
      </c>
      <c r="C3219">
        <f>(1-(B7/100))*387.27</f>
        <v>387.27</v>
      </c>
      <c r="D3219" s="1">
        <v>0</v>
      </c>
      <c r="E3219">
        <f>D3219*C3219</f>
        <v>0</v>
      </c>
      <c r="F3219" s="1" t="s">
        <v>9270</v>
      </c>
      <c r="G3219" s="17">
        <v>71087</v>
      </c>
    </row>
    <row r="3220" spans="1:7">
      <c r="A3220" s="1" t="s">
        <v>9271</v>
      </c>
      <c r="B3220" s="1" t="s">
        <v>9272</v>
      </c>
      <c r="C3220">
        <f>(1-(B7/100))*815.21</f>
        <v>815.21</v>
      </c>
      <c r="D3220" s="1">
        <v>0</v>
      </c>
      <c r="E3220">
        <f>D3220*C3220</f>
        <v>0</v>
      </c>
      <c r="F3220" s="1" t="s">
        <v>9273</v>
      </c>
      <c r="G3220" s="17">
        <v>71177</v>
      </c>
    </row>
    <row r="3221" spans="1:7">
      <c r="A3221" s="1" t="s">
        <v>9274</v>
      </c>
      <c r="B3221" s="1" t="s">
        <v>9275</v>
      </c>
      <c r="C3221">
        <f>(1-(B7/100))*1040.08</f>
        <v>1040.08</v>
      </c>
      <c r="D3221" s="1">
        <v>0</v>
      </c>
      <c r="E3221">
        <f>D3221*C3221</f>
        <v>0</v>
      </c>
      <c r="F3221" s="1" t="s">
        <v>9276</v>
      </c>
      <c r="G3221" s="17">
        <v>71178</v>
      </c>
    </row>
    <row r="3222" spans="1:7">
      <c r="A3222" s="1" t="s">
        <v>9277</v>
      </c>
      <c r="B3222" s="1" t="s">
        <v>9278</v>
      </c>
      <c r="C3222">
        <f>(1-(B7/100))*1207.77</f>
        <v>1207.77</v>
      </c>
      <c r="D3222" s="1">
        <v>0</v>
      </c>
      <c r="E3222">
        <f>D3222*C3222</f>
        <v>0</v>
      </c>
      <c r="F3222" s="1" t="s">
        <v>9279</v>
      </c>
      <c r="G3222" s="17">
        <v>71189</v>
      </c>
    </row>
    <row r="3223" spans="1:7">
      <c r="A3223" s="1" t="s">
        <v>9280</v>
      </c>
      <c r="B3223" s="1" t="s">
        <v>9281</v>
      </c>
      <c r="C3223">
        <f>(1-(B7/100))*1101.67</f>
        <v>1101.67</v>
      </c>
      <c r="D3223" s="1">
        <v>0</v>
      </c>
      <c r="E3223">
        <f>D3223*C3223</f>
        <v>0</v>
      </c>
      <c r="F3223" s="1" t="s">
        <v>9282</v>
      </c>
      <c r="G3223" s="17">
        <v>71237</v>
      </c>
    </row>
    <row r="3224" spans="1:7">
      <c r="A3224" s="1" t="s">
        <v>9283</v>
      </c>
      <c r="B3224" s="1" t="s">
        <v>9284</v>
      </c>
      <c r="C3224">
        <f>(1-(B7/100))*364.33</f>
        <v>364.33</v>
      </c>
      <c r="D3224" s="1">
        <v>0</v>
      </c>
      <c r="E3224">
        <f>D3224*C3224</f>
        <v>0</v>
      </c>
      <c r="F3224" s="1" t="s">
        <v>16</v>
      </c>
      <c r="G3224" s="17">
        <v>71361</v>
      </c>
    </row>
    <row r="3225" spans="1:7">
      <c r="A3225" s="1" t="s">
        <v>9285</v>
      </c>
      <c r="B3225" s="1" t="s">
        <v>9286</v>
      </c>
      <c r="C3225">
        <f>(1-(B7/100))*4600.37</f>
        <v>4600.37</v>
      </c>
      <c r="D3225" s="1">
        <v>0</v>
      </c>
      <c r="E3225">
        <f>D3225*C3225</f>
        <v>0</v>
      </c>
      <c r="F3225" s="1" t="s">
        <v>9287</v>
      </c>
      <c r="G3225" s="17">
        <v>71456</v>
      </c>
    </row>
    <row r="3226" spans="1:7">
      <c r="A3226" s="1" t="s">
        <v>9288</v>
      </c>
      <c r="B3226" s="1" t="s">
        <v>9289</v>
      </c>
      <c r="C3226">
        <f>(1-(B7/100))*1040.93</f>
        <v>1040.93</v>
      </c>
      <c r="D3226" s="1">
        <v>0</v>
      </c>
      <c r="E3226">
        <f>D3226*C3226</f>
        <v>0</v>
      </c>
      <c r="F3226" s="1" t="s">
        <v>16</v>
      </c>
      <c r="G3226" s="17">
        <v>71460</v>
      </c>
    </row>
    <row r="3227" spans="1:7">
      <c r="A3227" s="1" t="s">
        <v>9290</v>
      </c>
      <c r="B3227" s="1" t="s">
        <v>9291</v>
      </c>
      <c r="C3227">
        <f>(1-(B7/100))*1107.2</f>
        <v>1107.2</v>
      </c>
      <c r="D3227" s="1">
        <v>0</v>
      </c>
      <c r="E3227">
        <f>D3227*C3227</f>
        <v>0</v>
      </c>
      <c r="F3227" s="1" t="s">
        <v>9292</v>
      </c>
      <c r="G3227" s="17">
        <v>71472</v>
      </c>
    </row>
    <row r="3228" spans="1:7">
      <c r="A3228" s="1" t="s">
        <v>9293</v>
      </c>
      <c r="B3228" s="1" t="s">
        <v>9294</v>
      </c>
      <c r="C3228">
        <f>(1-(B7/100))*491.4</f>
        <v>491.4</v>
      </c>
      <c r="D3228" s="1">
        <v>0</v>
      </c>
      <c r="E3228">
        <f>D3228*C3228</f>
        <v>0</v>
      </c>
      <c r="F3228" s="1" t="s">
        <v>9295</v>
      </c>
      <c r="G3228" s="17">
        <v>71588</v>
      </c>
    </row>
    <row r="3229" spans="1:7">
      <c r="A3229" s="1" t="s">
        <v>9296</v>
      </c>
      <c r="B3229" s="1" t="s">
        <v>9297</v>
      </c>
      <c r="C3229">
        <f>(1-(B7/100))*297.67</f>
        <v>297.67</v>
      </c>
      <c r="D3229" s="1">
        <v>0</v>
      </c>
      <c r="E3229">
        <f>D3229*C3229</f>
        <v>0</v>
      </c>
      <c r="F3229" s="1" t="s">
        <v>9298</v>
      </c>
      <c r="G3229" s="17">
        <v>71611</v>
      </c>
    </row>
    <row r="3230" spans="1:7">
      <c r="A3230" s="1" t="s">
        <v>9299</v>
      </c>
      <c r="B3230" s="1" t="s">
        <v>9300</v>
      </c>
      <c r="C3230">
        <f>(1-(B7/100))*844.6</f>
        <v>844.6</v>
      </c>
      <c r="D3230" s="1">
        <v>0</v>
      </c>
      <c r="E3230">
        <f>D3230*C3230</f>
        <v>0</v>
      </c>
      <c r="F3230" s="1" t="s">
        <v>9301</v>
      </c>
      <c r="G3230" s="17">
        <v>71804</v>
      </c>
    </row>
    <row r="3231" spans="1:7">
      <c r="A3231" s="1" t="s">
        <v>9302</v>
      </c>
      <c r="B3231" s="1" t="s">
        <v>9303</v>
      </c>
      <c r="C3231">
        <f>(1-(B7/100))*728.65</f>
        <v>728.65</v>
      </c>
      <c r="D3231" s="1">
        <v>0</v>
      </c>
      <c r="E3231">
        <f>D3231*C3231</f>
        <v>0</v>
      </c>
      <c r="F3231" s="1" t="s">
        <v>16</v>
      </c>
      <c r="G3231" s="17">
        <v>71832</v>
      </c>
    </row>
    <row r="3232" spans="1:7">
      <c r="A3232" s="1" t="s">
        <v>9304</v>
      </c>
      <c r="B3232" s="1" t="s">
        <v>9305</v>
      </c>
      <c r="C3232">
        <f>(1-(B7/100))*270.27</f>
        <v>270.27</v>
      </c>
      <c r="D3232" s="1">
        <v>0</v>
      </c>
      <c r="E3232">
        <f>D3232*C3232</f>
        <v>0</v>
      </c>
      <c r="F3232" s="1" t="s">
        <v>16</v>
      </c>
      <c r="G3232" s="17">
        <v>71842</v>
      </c>
    </row>
    <row r="3233" spans="1:7">
      <c r="A3233" s="1" t="s">
        <v>9306</v>
      </c>
      <c r="B3233" s="1" t="s">
        <v>9307</v>
      </c>
      <c r="C3233">
        <f>(1-(B7/100))*2394.15</f>
        <v>2394.15</v>
      </c>
      <c r="D3233" s="1">
        <v>0</v>
      </c>
      <c r="E3233">
        <f>D3233*C3233</f>
        <v>0</v>
      </c>
      <c r="F3233" s="1" t="s">
        <v>16</v>
      </c>
      <c r="G3233" s="17">
        <v>72069</v>
      </c>
    </row>
    <row r="3234" spans="1:7">
      <c r="A3234" s="1" t="s">
        <v>9308</v>
      </c>
      <c r="B3234" s="1" t="s">
        <v>9309</v>
      </c>
      <c r="C3234">
        <f>(1-(B7/100))*512.12</f>
        <v>512.12</v>
      </c>
      <c r="D3234" s="1">
        <v>0</v>
      </c>
      <c r="E3234">
        <f>D3234*C3234</f>
        <v>0</v>
      </c>
      <c r="F3234" s="1" t="s">
        <v>9310</v>
      </c>
      <c r="G3234" s="17">
        <v>72147</v>
      </c>
    </row>
    <row r="3235" spans="1:7">
      <c r="A3235" s="1" t="s">
        <v>9311</v>
      </c>
      <c r="B3235" s="1" t="s">
        <v>9312</v>
      </c>
      <c r="C3235">
        <f>(1-(B7/100))*622.39</f>
        <v>622.39</v>
      </c>
      <c r="D3235" s="1">
        <v>0</v>
      </c>
      <c r="E3235">
        <f>D3235*C3235</f>
        <v>0</v>
      </c>
      <c r="F3235" s="1" t="s">
        <v>9313</v>
      </c>
      <c r="G3235" s="17">
        <v>72602</v>
      </c>
    </row>
    <row r="3236" spans="1:7">
      <c r="A3236" s="1" t="s">
        <v>9314</v>
      </c>
      <c r="B3236" s="1" t="s">
        <v>9315</v>
      </c>
      <c r="C3236">
        <f>(1-(B7/100))*468.73</f>
        <v>468.73</v>
      </c>
      <c r="D3236" s="1">
        <v>0</v>
      </c>
      <c r="E3236">
        <f>D3236*C3236</f>
        <v>0</v>
      </c>
      <c r="F3236" s="1" t="s">
        <v>9316</v>
      </c>
      <c r="G3236" s="17">
        <v>72789</v>
      </c>
    </row>
    <row r="3237" spans="1:7">
      <c r="A3237" s="1" t="s">
        <v>9317</v>
      </c>
      <c r="B3237" s="1" t="s">
        <v>9318</v>
      </c>
      <c r="C3237">
        <f>(1-(B7/100))*191.69</f>
        <v>191.69</v>
      </c>
      <c r="D3237" s="1">
        <v>0</v>
      </c>
      <c r="E3237">
        <f>D3237*C3237</f>
        <v>0</v>
      </c>
      <c r="F3237" s="1" t="s">
        <v>9319</v>
      </c>
      <c r="G3237" s="17">
        <v>72830</v>
      </c>
    </row>
    <row r="3238" spans="1:7">
      <c r="A3238" s="1" t="s">
        <v>9320</v>
      </c>
      <c r="B3238" s="1" t="s">
        <v>9321</v>
      </c>
      <c r="C3238">
        <f>(1-(B7/100))*41.51</f>
        <v>41.51</v>
      </c>
      <c r="D3238" s="1">
        <v>0</v>
      </c>
      <c r="E3238">
        <f>D3238*C3238</f>
        <v>0</v>
      </c>
      <c r="F3238" s="1" t="s">
        <v>9322</v>
      </c>
      <c r="G3238" s="17">
        <v>72948</v>
      </c>
    </row>
    <row r="3239" spans="1:7">
      <c r="A3239" s="1" t="s">
        <v>9323</v>
      </c>
      <c r="B3239" s="1" t="s">
        <v>9324</v>
      </c>
      <c r="C3239">
        <f>(1-(B7/100))*2433.71</f>
        <v>2433.71</v>
      </c>
      <c r="D3239" s="1">
        <v>0</v>
      </c>
      <c r="E3239">
        <f>D3239*C3239</f>
        <v>0</v>
      </c>
      <c r="F3239" s="1" t="s">
        <v>9325</v>
      </c>
      <c r="G3239" s="17">
        <v>73669</v>
      </c>
    </row>
    <row r="3240" spans="1:7">
      <c r="A3240" s="1" t="s">
        <v>9326</v>
      </c>
      <c r="B3240" s="1" t="s">
        <v>9327</v>
      </c>
      <c r="C3240">
        <f>(1-(B7/100))*2654.38</f>
        <v>2654.38</v>
      </c>
      <c r="D3240" s="1">
        <v>0</v>
      </c>
      <c r="E3240">
        <f>D3240*C3240</f>
        <v>0</v>
      </c>
      <c r="F3240" s="1" t="s">
        <v>9328</v>
      </c>
      <c r="G3240" s="17">
        <v>73672</v>
      </c>
    </row>
    <row r="3241" spans="1:7">
      <c r="A3241" s="1" t="s">
        <v>9329</v>
      </c>
      <c r="B3241" s="1" t="s">
        <v>9330</v>
      </c>
      <c r="C3241">
        <f>(1-(B7/100))*38.95</f>
        <v>38.95</v>
      </c>
      <c r="D3241" s="1">
        <v>0</v>
      </c>
      <c r="E3241">
        <f>D3241*C3241</f>
        <v>0</v>
      </c>
      <c r="F3241" s="1" t="s">
        <v>9331</v>
      </c>
      <c r="G3241" s="17">
        <v>73677</v>
      </c>
    </row>
    <row r="3242" spans="1:7">
      <c r="A3242" s="1" t="s">
        <v>9332</v>
      </c>
      <c r="B3242" s="1" t="s">
        <v>9333</v>
      </c>
      <c r="C3242">
        <f>(1-(B7/100))*162.97</f>
        <v>162.97</v>
      </c>
      <c r="D3242" s="1">
        <v>0</v>
      </c>
      <c r="E3242">
        <f>D3242*C3242</f>
        <v>0</v>
      </c>
      <c r="F3242" s="1" t="s">
        <v>9334</v>
      </c>
      <c r="G3242" s="17">
        <v>73695</v>
      </c>
    </row>
    <row r="3243" spans="1:7">
      <c r="A3243" s="1" t="s">
        <v>9335</v>
      </c>
      <c r="B3243" s="1" t="s">
        <v>9336</v>
      </c>
      <c r="C3243">
        <f>(1-(B7/100))*1849.8</f>
        <v>1849.8</v>
      </c>
      <c r="D3243" s="1">
        <v>0</v>
      </c>
      <c r="E3243">
        <f>D3243*C3243</f>
        <v>0</v>
      </c>
      <c r="F3243" s="1" t="s">
        <v>9337</v>
      </c>
      <c r="G3243" s="17">
        <v>73696</v>
      </c>
    </row>
    <row r="3244" spans="1:7">
      <c r="A3244" s="1" t="s">
        <v>9338</v>
      </c>
      <c r="B3244" s="1" t="s">
        <v>9339</v>
      </c>
      <c r="C3244">
        <f>(1-(B7/100))*1228.82</f>
        <v>1228.82</v>
      </c>
      <c r="D3244" s="1">
        <v>0</v>
      </c>
      <c r="E3244">
        <f>D3244*C3244</f>
        <v>0</v>
      </c>
      <c r="F3244" s="1" t="s">
        <v>9340</v>
      </c>
      <c r="G3244" s="17">
        <v>73698</v>
      </c>
    </row>
    <row r="3245" spans="1:7">
      <c r="A3245" s="1" t="s">
        <v>9341</v>
      </c>
      <c r="B3245" s="1" t="s">
        <v>9342</v>
      </c>
      <c r="C3245">
        <f>(1-(B7/100))*557.42</f>
        <v>557.42</v>
      </c>
      <c r="D3245" s="1">
        <v>0</v>
      </c>
      <c r="E3245">
        <f>D3245*C3245</f>
        <v>0</v>
      </c>
      <c r="F3245" s="1" t="s">
        <v>9343</v>
      </c>
      <c r="G3245" s="17">
        <v>74113</v>
      </c>
    </row>
    <row r="3246" spans="1:7">
      <c r="A3246" s="1" t="s">
        <v>9344</v>
      </c>
      <c r="B3246" s="1" t="s">
        <v>9345</v>
      </c>
      <c r="C3246">
        <f>(1-(B7/100))*268.18</f>
        <v>268.18</v>
      </c>
      <c r="D3246" s="1">
        <v>0</v>
      </c>
      <c r="E3246">
        <f>D3246*C3246</f>
        <v>0</v>
      </c>
      <c r="F3246" s="1" t="s">
        <v>9346</v>
      </c>
      <c r="G3246" s="17">
        <v>74123</v>
      </c>
    </row>
    <row r="3247" spans="1:7">
      <c r="A3247" s="1" t="s">
        <v>9347</v>
      </c>
      <c r="B3247" s="1" t="s">
        <v>9348</v>
      </c>
      <c r="C3247">
        <f>(1-(B7/100))*81.38</f>
        <v>81.38</v>
      </c>
      <c r="D3247" s="1">
        <v>0</v>
      </c>
      <c r="E3247">
        <f>D3247*C3247</f>
        <v>0</v>
      </c>
      <c r="F3247" s="1" t="s">
        <v>9349</v>
      </c>
      <c r="G3247" s="17">
        <v>78773</v>
      </c>
    </row>
    <row r="3248" spans="1:7">
      <c r="A3248" s="1" t="s">
        <v>9350</v>
      </c>
      <c r="B3248" s="1" t="s">
        <v>9351</v>
      </c>
      <c r="C3248">
        <f>(1-(B7/100))*101.69</f>
        <v>101.69</v>
      </c>
      <c r="D3248" s="1">
        <v>0</v>
      </c>
      <c r="E3248">
        <f>D3248*C3248</f>
        <v>0</v>
      </c>
      <c r="F3248" s="1" t="s">
        <v>9352</v>
      </c>
      <c r="G3248" s="17">
        <v>78775</v>
      </c>
    </row>
    <row r="3249" spans="1:7">
      <c r="A3249" s="1" t="s">
        <v>9353</v>
      </c>
      <c r="B3249" s="1" t="s">
        <v>9354</v>
      </c>
      <c r="C3249">
        <f>(1-(B7/100))*71.64</f>
        <v>71.64</v>
      </c>
      <c r="D3249" s="1">
        <v>0</v>
      </c>
      <c r="E3249">
        <f>D3249*C3249</f>
        <v>0</v>
      </c>
      <c r="F3249" s="1" t="s">
        <v>9355</v>
      </c>
      <c r="G3249" s="17">
        <v>78776</v>
      </c>
    </row>
    <row r="3250" spans="1:7">
      <c r="A3250" s="1" t="s">
        <v>9356</v>
      </c>
      <c r="B3250" s="1" t="s">
        <v>9357</v>
      </c>
      <c r="C3250">
        <f>(1-(B7/100))*121.47</f>
        <v>121.47</v>
      </c>
      <c r="D3250" s="1">
        <v>0</v>
      </c>
      <c r="E3250">
        <f>D3250*C3250</f>
        <v>0</v>
      </c>
      <c r="F3250" s="1" t="s">
        <v>9358</v>
      </c>
      <c r="G3250" s="17">
        <v>78777</v>
      </c>
    </row>
    <row r="3251" spans="1:7">
      <c r="A3251" s="1" t="s">
        <v>9359</v>
      </c>
      <c r="B3251" s="1" t="s">
        <v>9360</v>
      </c>
      <c r="C3251">
        <f>(1-(B7/100))*64.93</f>
        <v>64.93</v>
      </c>
      <c r="D3251" s="1">
        <v>0</v>
      </c>
      <c r="E3251">
        <f>D3251*C3251</f>
        <v>0</v>
      </c>
      <c r="F3251" s="1" t="s">
        <v>9361</v>
      </c>
      <c r="G3251" s="17">
        <v>78778</v>
      </c>
    </row>
    <row r="3252" spans="1:7">
      <c r="A3252" s="1" t="s">
        <v>9362</v>
      </c>
      <c r="B3252" s="1" t="s">
        <v>9363</v>
      </c>
      <c r="C3252">
        <f>(1-(B7/100))*345.65</f>
        <v>345.65</v>
      </c>
      <c r="D3252" s="1">
        <v>0</v>
      </c>
      <c r="E3252">
        <f>D3252*C3252</f>
        <v>0</v>
      </c>
      <c r="F3252" s="1" t="s">
        <v>9364</v>
      </c>
      <c r="G3252" s="17">
        <v>78793</v>
      </c>
    </row>
    <row r="3253" spans="1:7">
      <c r="A3253" s="1" t="s">
        <v>9365</v>
      </c>
      <c r="B3253" s="1" t="s">
        <v>9366</v>
      </c>
      <c r="C3253">
        <f>(1-(B7/100))*490.02</f>
        <v>490.02</v>
      </c>
      <c r="D3253" s="1">
        <v>0</v>
      </c>
      <c r="E3253">
        <f>D3253*C3253</f>
        <v>0</v>
      </c>
      <c r="F3253" s="1" t="s">
        <v>9367</v>
      </c>
      <c r="G3253" s="17">
        <v>78901</v>
      </c>
    </row>
    <row r="3254" spans="1:7">
      <c r="A3254" s="1" t="s">
        <v>9368</v>
      </c>
      <c r="B3254" s="1" t="s">
        <v>9369</v>
      </c>
      <c r="C3254">
        <f>(1-(B7/100))*1980.55</f>
        <v>1980.55</v>
      </c>
      <c r="D3254" s="1">
        <v>0</v>
      </c>
      <c r="E3254">
        <f>D3254*C3254</f>
        <v>0</v>
      </c>
      <c r="F3254" s="1" t="s">
        <v>9370</v>
      </c>
      <c r="G3254" s="17">
        <v>78934</v>
      </c>
    </row>
    <row r="3255" spans="1:7">
      <c r="A3255" s="1" t="s">
        <v>9371</v>
      </c>
      <c r="B3255" s="1" t="s">
        <v>9372</v>
      </c>
      <c r="C3255">
        <f>(1-(B7/100))*96.85</f>
        <v>96.85</v>
      </c>
      <c r="D3255" s="1">
        <v>0</v>
      </c>
      <c r="E3255">
        <f>D3255*C3255</f>
        <v>0</v>
      </c>
      <c r="F3255" s="1" t="s">
        <v>9373</v>
      </c>
      <c r="G3255" s="17">
        <v>79308</v>
      </c>
    </row>
    <row r="3256" spans="1:7">
      <c r="A3256" s="1" t="s">
        <v>9374</v>
      </c>
      <c r="B3256" s="1" t="s">
        <v>9375</v>
      </c>
      <c r="C3256">
        <f>(1-(B7/100))*116.7</f>
        <v>116.7</v>
      </c>
      <c r="D3256" s="1">
        <v>0</v>
      </c>
      <c r="E3256">
        <f>D3256*C3256</f>
        <v>0</v>
      </c>
      <c r="F3256" s="1" t="s">
        <v>9376</v>
      </c>
      <c r="G3256" s="17">
        <v>79403</v>
      </c>
    </row>
    <row r="3257" spans="1:7">
      <c r="A3257" s="1" t="s">
        <v>9377</v>
      </c>
      <c r="B3257" s="1" t="s">
        <v>9378</v>
      </c>
      <c r="C3257">
        <f>(1-(B7/100))*753.08</f>
        <v>753.08</v>
      </c>
      <c r="D3257" s="1">
        <v>0</v>
      </c>
      <c r="E3257">
        <f>D3257*C3257</f>
        <v>0</v>
      </c>
      <c r="F3257" s="1" t="s">
        <v>9379</v>
      </c>
      <c r="G3257" s="17">
        <v>80577</v>
      </c>
    </row>
    <row r="3258" spans="1:7">
      <c r="A3258" s="1" t="s">
        <v>9380</v>
      </c>
      <c r="B3258" s="1" t="s">
        <v>9381</v>
      </c>
      <c r="C3258">
        <f>(1-(B7/100))*640.89</f>
        <v>640.89</v>
      </c>
      <c r="D3258" s="1">
        <v>0</v>
      </c>
      <c r="E3258">
        <f>D3258*C3258</f>
        <v>0</v>
      </c>
      <c r="F3258" s="1" t="s">
        <v>9382</v>
      </c>
      <c r="G3258" s="17">
        <v>80580</v>
      </c>
    </row>
    <row r="3259" spans="1:7">
      <c r="A3259" s="1" t="s">
        <v>9383</v>
      </c>
      <c r="B3259" s="1" t="s">
        <v>9384</v>
      </c>
      <c r="C3259">
        <f>(1-(B7/100))*4687.36</f>
        <v>4687.36</v>
      </c>
      <c r="D3259" s="1">
        <v>0</v>
      </c>
      <c r="E3259">
        <f>D3259*C3259</f>
        <v>0</v>
      </c>
      <c r="F3259" s="1" t="s">
        <v>9385</v>
      </c>
      <c r="G3259" s="17">
        <v>80581</v>
      </c>
    </row>
    <row r="3260" spans="1:7">
      <c r="A3260" s="1" t="s">
        <v>9386</v>
      </c>
      <c r="B3260" s="1" t="s">
        <v>9387</v>
      </c>
      <c r="C3260">
        <f>(1-(B7/100))*222.85</f>
        <v>222.85</v>
      </c>
      <c r="D3260" s="1">
        <v>0</v>
      </c>
      <c r="E3260">
        <f>D3260*C3260</f>
        <v>0</v>
      </c>
      <c r="F3260" s="1" t="s">
        <v>9388</v>
      </c>
      <c r="G3260" s="17">
        <v>80586</v>
      </c>
    </row>
    <row r="3261" spans="1:7">
      <c r="A3261" s="1" t="s">
        <v>9389</v>
      </c>
      <c r="B3261" s="1" t="s">
        <v>9390</v>
      </c>
      <c r="C3261">
        <f>(1-(B7/100))*104.78</f>
        <v>104.78</v>
      </c>
      <c r="D3261" s="1">
        <v>0</v>
      </c>
      <c r="E3261">
        <f>D3261*C3261</f>
        <v>0</v>
      </c>
      <c r="F3261" s="1" t="s">
        <v>9391</v>
      </c>
      <c r="G3261" s="17">
        <v>80604</v>
      </c>
    </row>
    <row r="3262" spans="1:7">
      <c r="A3262" s="1" t="s">
        <v>9392</v>
      </c>
      <c r="B3262" s="1" t="s">
        <v>9393</v>
      </c>
      <c r="C3262">
        <f>(1-(B7/100))*490.18</f>
        <v>490.18</v>
      </c>
      <c r="D3262" s="1">
        <v>0</v>
      </c>
      <c r="E3262">
        <f>D3262*C3262</f>
        <v>0</v>
      </c>
      <c r="F3262" s="1" t="s">
        <v>9394</v>
      </c>
      <c r="G3262" s="17">
        <v>80606</v>
      </c>
    </row>
    <row r="3263" spans="1:7">
      <c r="A3263" s="1" t="s">
        <v>9395</v>
      </c>
      <c r="B3263" s="1" t="s">
        <v>9396</v>
      </c>
      <c r="C3263">
        <f>(1-(B7/100))*72.65</f>
        <v>72.65</v>
      </c>
      <c r="D3263" s="1">
        <v>0</v>
      </c>
      <c r="E3263">
        <f>D3263*C3263</f>
        <v>0</v>
      </c>
      <c r="F3263" s="1" t="s">
        <v>9397</v>
      </c>
      <c r="G3263" s="17">
        <v>80608</v>
      </c>
    </row>
    <row r="3264" spans="1:7">
      <c r="A3264" s="1" t="s">
        <v>9398</v>
      </c>
      <c r="B3264" s="1" t="s">
        <v>9399</v>
      </c>
      <c r="C3264">
        <f>(1-(B7/100))*2050.41</f>
        <v>2050.41</v>
      </c>
      <c r="D3264" s="1">
        <v>0</v>
      </c>
      <c r="E3264">
        <f>D3264*C3264</f>
        <v>0</v>
      </c>
      <c r="F3264" s="1" t="s">
        <v>9400</v>
      </c>
      <c r="G3264" s="17">
        <v>80610</v>
      </c>
    </row>
    <row r="3265" spans="1:7">
      <c r="A3265" s="1" t="s">
        <v>9401</v>
      </c>
      <c r="B3265" s="1" t="s">
        <v>9402</v>
      </c>
      <c r="C3265">
        <f>(1-(B7/100))*2050.41</f>
        <v>2050.41</v>
      </c>
      <c r="D3265" s="1">
        <v>0</v>
      </c>
      <c r="E3265">
        <f>D3265*C3265</f>
        <v>0</v>
      </c>
      <c r="F3265" s="1" t="s">
        <v>9403</v>
      </c>
      <c r="G3265" s="17">
        <v>80611</v>
      </c>
    </row>
    <row r="3266" spans="1:7">
      <c r="A3266" s="1" t="s">
        <v>9404</v>
      </c>
      <c r="B3266" s="1" t="s">
        <v>9405</v>
      </c>
      <c r="C3266">
        <f>(1-(B7/100))*526.11</f>
        <v>526.11</v>
      </c>
      <c r="D3266" s="1">
        <v>0</v>
      </c>
      <c r="E3266">
        <f>D3266*C3266</f>
        <v>0</v>
      </c>
      <c r="F3266" s="1" t="s">
        <v>9406</v>
      </c>
      <c r="G3266" s="17">
        <v>80615</v>
      </c>
    </row>
    <row r="3267" spans="1:7">
      <c r="A3267" s="1" t="s">
        <v>9407</v>
      </c>
      <c r="B3267" s="1" t="s">
        <v>9408</v>
      </c>
      <c r="C3267">
        <f>(1-(B7/100))*148.19</f>
        <v>148.19</v>
      </c>
      <c r="D3267" s="1">
        <v>0</v>
      </c>
      <c r="E3267">
        <f>D3267*C3267</f>
        <v>0</v>
      </c>
      <c r="F3267" s="1" t="s">
        <v>9409</v>
      </c>
      <c r="G3267" s="17">
        <v>80616</v>
      </c>
    </row>
    <row r="3268" spans="1:7">
      <c r="A3268" s="1" t="s">
        <v>9410</v>
      </c>
      <c r="B3268" s="1" t="s">
        <v>9411</v>
      </c>
      <c r="C3268">
        <f>(1-(B7/100))*91.78</f>
        <v>91.78</v>
      </c>
      <c r="D3268" s="1">
        <v>0</v>
      </c>
      <c r="E3268">
        <f>D3268*C3268</f>
        <v>0</v>
      </c>
      <c r="F3268" s="1" t="s">
        <v>9412</v>
      </c>
      <c r="G3268" s="17">
        <v>80617</v>
      </c>
    </row>
    <row r="3269" spans="1:7">
      <c r="A3269" s="1" t="s">
        <v>9413</v>
      </c>
      <c r="B3269" s="1" t="s">
        <v>9414</v>
      </c>
      <c r="C3269">
        <f>(1-(B7/100))*721.31</f>
        <v>721.31</v>
      </c>
      <c r="D3269" s="1">
        <v>0</v>
      </c>
      <c r="E3269">
        <f>D3269*C3269</f>
        <v>0</v>
      </c>
      <c r="F3269" s="1" t="s">
        <v>9415</v>
      </c>
      <c r="G3269" s="17">
        <v>80622</v>
      </c>
    </row>
    <row r="3270" spans="1:7">
      <c r="A3270" s="1" t="s">
        <v>9416</v>
      </c>
      <c r="B3270" s="1" t="s">
        <v>9417</v>
      </c>
      <c r="C3270">
        <f>(1-(B7/100))*101.69</f>
        <v>101.69</v>
      </c>
      <c r="D3270" s="1">
        <v>0</v>
      </c>
      <c r="E3270">
        <f>D3270*C3270</f>
        <v>0</v>
      </c>
      <c r="F3270" s="1" t="s">
        <v>9418</v>
      </c>
      <c r="G3270" s="17">
        <v>80624</v>
      </c>
    </row>
    <row r="3271" spans="1:7">
      <c r="A3271" s="1" t="s">
        <v>9419</v>
      </c>
      <c r="B3271" s="1" t="s">
        <v>9420</v>
      </c>
      <c r="C3271">
        <f>(1-(B7/100))*99.21</f>
        <v>99.21</v>
      </c>
      <c r="D3271" s="1">
        <v>0</v>
      </c>
      <c r="E3271">
        <f>D3271*C3271</f>
        <v>0</v>
      </c>
      <c r="F3271" s="1" t="s">
        <v>9421</v>
      </c>
      <c r="G3271" s="17">
        <v>80625</v>
      </c>
    </row>
    <row r="3272" spans="1:7">
      <c r="A3272" s="1" t="s">
        <v>9422</v>
      </c>
      <c r="B3272" s="1" t="s">
        <v>9423</v>
      </c>
      <c r="C3272">
        <f>(1-(B7/100))*49.07</f>
        <v>49.07</v>
      </c>
      <c r="D3272" s="1">
        <v>0</v>
      </c>
      <c r="E3272">
        <f>D3272*C3272</f>
        <v>0</v>
      </c>
      <c r="F3272" s="1" t="s">
        <v>9424</v>
      </c>
      <c r="G3272" s="17">
        <v>80628</v>
      </c>
    </row>
    <row r="3273" spans="1:7">
      <c r="A3273" s="1" t="s">
        <v>9425</v>
      </c>
      <c r="B3273" s="1" t="s">
        <v>9426</v>
      </c>
      <c r="C3273">
        <f>(1-(B7/100))*80.75</f>
        <v>80.75</v>
      </c>
      <c r="D3273" s="1">
        <v>0</v>
      </c>
      <c r="E3273">
        <f>D3273*C3273</f>
        <v>0</v>
      </c>
      <c r="F3273" s="1" t="s">
        <v>9427</v>
      </c>
      <c r="G3273" s="17">
        <v>80634</v>
      </c>
    </row>
    <row r="3274" spans="1:7">
      <c r="A3274" s="1" t="s">
        <v>9428</v>
      </c>
      <c r="B3274" s="1" t="s">
        <v>9429</v>
      </c>
      <c r="C3274">
        <f>(1-(B7/100))*97.01</f>
        <v>97.01</v>
      </c>
      <c r="D3274" s="1">
        <v>0</v>
      </c>
      <c r="E3274">
        <f>D3274*C3274</f>
        <v>0</v>
      </c>
      <c r="F3274" s="1" t="s">
        <v>9430</v>
      </c>
      <c r="G3274" s="17">
        <v>80637</v>
      </c>
    </row>
    <row r="3275" spans="1:7">
      <c r="A3275" s="1" t="s">
        <v>9431</v>
      </c>
      <c r="B3275" s="1" t="s">
        <v>9432</v>
      </c>
      <c r="C3275">
        <f>(1-(B7/100))*92.11</f>
        <v>92.11</v>
      </c>
      <c r="D3275" s="1">
        <v>0</v>
      </c>
      <c r="E3275">
        <f>D3275*C3275</f>
        <v>0</v>
      </c>
      <c r="F3275" s="1" t="s">
        <v>9433</v>
      </c>
      <c r="G3275" s="17">
        <v>80639</v>
      </c>
    </row>
    <row r="3276" spans="1:7">
      <c r="A3276" s="1" t="s">
        <v>9434</v>
      </c>
      <c r="B3276" s="1" t="s">
        <v>9435</v>
      </c>
      <c r="C3276">
        <f>(1-(B7/100))*92.11</f>
        <v>92.11</v>
      </c>
      <c r="D3276" s="1">
        <v>0</v>
      </c>
      <c r="E3276">
        <f>D3276*C3276</f>
        <v>0</v>
      </c>
      <c r="F3276" s="1" t="s">
        <v>9436</v>
      </c>
      <c r="G3276" s="17">
        <v>80640</v>
      </c>
    </row>
    <row r="3277" spans="1:7">
      <c r="A3277" s="1" t="s">
        <v>9437</v>
      </c>
      <c r="B3277" s="1" t="s">
        <v>9438</v>
      </c>
      <c r="C3277">
        <f>(1-(B7/100))*92.11</f>
        <v>92.11</v>
      </c>
      <c r="D3277" s="1">
        <v>0</v>
      </c>
      <c r="E3277">
        <f>D3277*C3277</f>
        <v>0</v>
      </c>
      <c r="F3277" s="1" t="s">
        <v>9439</v>
      </c>
      <c r="G3277" s="17">
        <v>80641</v>
      </c>
    </row>
    <row r="3278" spans="1:7">
      <c r="A3278" s="1" t="s">
        <v>9440</v>
      </c>
      <c r="B3278" s="1" t="s">
        <v>9441</v>
      </c>
      <c r="C3278">
        <f>(1-(B7/100))*92.11</f>
        <v>92.11</v>
      </c>
      <c r="D3278" s="1">
        <v>0</v>
      </c>
      <c r="E3278">
        <f>D3278*C3278</f>
        <v>0</v>
      </c>
      <c r="F3278" s="1" t="s">
        <v>9442</v>
      </c>
      <c r="G3278" s="17">
        <v>80644</v>
      </c>
    </row>
    <row r="3279" spans="1:7">
      <c r="A3279" s="1" t="s">
        <v>9443</v>
      </c>
      <c r="B3279" s="1" t="s">
        <v>9444</v>
      </c>
      <c r="C3279">
        <f>(1-(B7/100))*92.11</f>
        <v>92.11</v>
      </c>
      <c r="D3279" s="1">
        <v>0</v>
      </c>
      <c r="E3279">
        <f>D3279*C3279</f>
        <v>0</v>
      </c>
      <c r="F3279" s="1" t="s">
        <v>9445</v>
      </c>
      <c r="G3279" s="17">
        <v>80646</v>
      </c>
    </row>
    <row r="3280" spans="1:7">
      <c r="A3280" s="1" t="s">
        <v>9446</v>
      </c>
      <c r="B3280" s="1" t="s">
        <v>9447</v>
      </c>
      <c r="C3280">
        <f>(1-(B7/100))*92.11</f>
        <v>92.11</v>
      </c>
      <c r="D3280" s="1">
        <v>0</v>
      </c>
      <c r="E3280">
        <f>D3280*C3280</f>
        <v>0</v>
      </c>
      <c r="F3280" s="1" t="s">
        <v>9448</v>
      </c>
      <c r="G3280" s="17">
        <v>80647</v>
      </c>
    </row>
    <row r="3281" spans="1:7">
      <c r="A3281" s="1" t="s">
        <v>9449</v>
      </c>
      <c r="B3281" s="1" t="s">
        <v>9450</v>
      </c>
      <c r="C3281">
        <f>(1-(B7/100))*60.43</f>
        <v>60.43</v>
      </c>
      <c r="D3281" s="1">
        <v>0</v>
      </c>
      <c r="E3281">
        <f>D3281*C3281</f>
        <v>0</v>
      </c>
      <c r="F3281" s="1" t="s">
        <v>9451</v>
      </c>
      <c r="G3281" s="17">
        <v>80650</v>
      </c>
    </row>
    <row r="3282" spans="1:7">
      <c r="A3282" s="1" t="s">
        <v>9452</v>
      </c>
      <c r="B3282" s="1" t="s">
        <v>9453</v>
      </c>
      <c r="C3282">
        <f>(1-(B7/100))*328.96</f>
        <v>328.96</v>
      </c>
      <c r="D3282" s="1">
        <v>0</v>
      </c>
      <c r="E3282">
        <f>D3282*C3282</f>
        <v>0</v>
      </c>
      <c r="F3282" s="1" t="s">
        <v>9454</v>
      </c>
      <c r="G3282" s="17">
        <v>80673</v>
      </c>
    </row>
    <row r="3283" spans="1:7">
      <c r="A3283" s="1" t="s">
        <v>9455</v>
      </c>
      <c r="B3283" s="1" t="s">
        <v>9456</v>
      </c>
      <c r="C3283">
        <f>(1-(B7/100))*180.45</f>
        <v>180.45</v>
      </c>
      <c r="D3283" s="1">
        <v>0</v>
      </c>
      <c r="E3283">
        <f>D3283*C3283</f>
        <v>0</v>
      </c>
      <c r="F3283" s="1" t="s">
        <v>9457</v>
      </c>
      <c r="G3283" s="17">
        <v>80675</v>
      </c>
    </row>
    <row r="3284" spans="1:7">
      <c r="A3284" s="1" t="s">
        <v>9458</v>
      </c>
      <c r="B3284" s="1" t="s">
        <v>9459</v>
      </c>
      <c r="C3284">
        <f>(1-(B7/100))*4525.44</f>
        <v>4525.44</v>
      </c>
      <c r="D3284" s="1">
        <v>0</v>
      </c>
      <c r="E3284">
        <f>D3284*C3284</f>
        <v>0</v>
      </c>
      <c r="F3284" s="1" t="s">
        <v>9460</v>
      </c>
      <c r="G3284" s="17">
        <v>80679</v>
      </c>
    </row>
    <row r="3285" spans="1:7">
      <c r="A3285" s="1" t="s">
        <v>9461</v>
      </c>
      <c r="B3285" s="1" t="s">
        <v>9462</v>
      </c>
      <c r="C3285">
        <f>(1-(B7/100))*103.38</f>
        <v>103.38</v>
      </c>
      <c r="D3285" s="1">
        <v>0</v>
      </c>
      <c r="E3285">
        <f>D3285*C3285</f>
        <v>0</v>
      </c>
      <c r="F3285" s="1" t="s">
        <v>9463</v>
      </c>
      <c r="G3285" s="17">
        <v>80685</v>
      </c>
    </row>
    <row r="3286" spans="1:7">
      <c r="A3286" s="1" t="s">
        <v>9464</v>
      </c>
      <c r="B3286" s="1" t="s">
        <v>9465</v>
      </c>
      <c r="C3286">
        <f>(1-(B7/100))*207.21</f>
        <v>207.21</v>
      </c>
      <c r="D3286" s="1">
        <v>0</v>
      </c>
      <c r="E3286">
        <f>D3286*C3286</f>
        <v>0</v>
      </c>
      <c r="F3286" s="1" t="s">
        <v>9466</v>
      </c>
      <c r="G3286" s="17">
        <v>80701</v>
      </c>
    </row>
    <row r="3287" spans="1:7">
      <c r="A3287" s="1" t="s">
        <v>9467</v>
      </c>
      <c r="B3287" s="1" t="s">
        <v>9468</v>
      </c>
      <c r="C3287">
        <f>(1-(B7/100))*251.16</f>
        <v>251.16</v>
      </c>
      <c r="D3287" s="1">
        <v>0</v>
      </c>
      <c r="E3287">
        <f>D3287*C3287</f>
        <v>0</v>
      </c>
      <c r="F3287" s="1" t="s">
        <v>9469</v>
      </c>
      <c r="G3287" s="17">
        <v>80702</v>
      </c>
    </row>
    <row r="3288" spans="1:7">
      <c r="A3288" s="1" t="s">
        <v>9470</v>
      </c>
      <c r="B3288" s="1" t="s">
        <v>9471</v>
      </c>
      <c r="C3288">
        <f>(1-(B7/100))*159.57</f>
        <v>159.57</v>
      </c>
      <c r="D3288" s="1">
        <v>0</v>
      </c>
      <c r="E3288">
        <f>D3288*C3288</f>
        <v>0</v>
      </c>
      <c r="F3288" s="1" t="s">
        <v>9472</v>
      </c>
      <c r="G3288" s="17">
        <v>80703</v>
      </c>
    </row>
    <row r="3289" spans="1:7">
      <c r="A3289" s="1" t="s">
        <v>9473</v>
      </c>
      <c r="B3289" s="1" t="s">
        <v>9474</v>
      </c>
      <c r="C3289">
        <f>(1-(B7/100))*267.37</f>
        <v>267.37</v>
      </c>
      <c r="D3289" s="1">
        <v>0</v>
      </c>
      <c r="E3289">
        <f>D3289*C3289</f>
        <v>0</v>
      </c>
      <c r="F3289" s="1" t="s">
        <v>9475</v>
      </c>
      <c r="G3289" s="17">
        <v>80704</v>
      </c>
    </row>
    <row r="3290" spans="1:7">
      <c r="A3290" s="1" t="s">
        <v>9476</v>
      </c>
      <c r="B3290" s="1" t="s">
        <v>9477</v>
      </c>
      <c r="C3290">
        <f>(1-(B7/100))*494.67</f>
        <v>494.67</v>
      </c>
      <c r="D3290" s="1">
        <v>0</v>
      </c>
      <c r="E3290">
        <f>D3290*C3290</f>
        <v>0</v>
      </c>
      <c r="F3290" s="1" t="s">
        <v>9478</v>
      </c>
      <c r="G3290" s="17">
        <v>80705</v>
      </c>
    </row>
    <row r="3291" spans="1:7">
      <c r="A3291" s="1" t="s">
        <v>9479</v>
      </c>
      <c r="B3291" s="1" t="s">
        <v>9480</v>
      </c>
      <c r="C3291">
        <f>(1-(B7/100))*646.29</f>
        <v>646.29</v>
      </c>
      <c r="D3291" s="1">
        <v>0</v>
      </c>
      <c r="E3291">
        <f>D3291*C3291</f>
        <v>0</v>
      </c>
      <c r="F3291" s="1" t="s">
        <v>9481</v>
      </c>
      <c r="G3291" s="17">
        <v>80712</v>
      </c>
    </row>
    <row r="3292" spans="1:7">
      <c r="A3292" s="1" t="s">
        <v>9482</v>
      </c>
      <c r="B3292" s="1" t="s">
        <v>9483</v>
      </c>
      <c r="C3292">
        <f>(1-(B7/100))*897.88</f>
        <v>897.88</v>
      </c>
      <c r="D3292" s="1">
        <v>0</v>
      </c>
      <c r="E3292">
        <f>D3292*C3292</f>
        <v>0</v>
      </c>
      <c r="F3292" s="1" t="s">
        <v>9484</v>
      </c>
      <c r="G3292" s="17">
        <v>80713</v>
      </c>
    </row>
    <row r="3293" spans="1:7">
      <c r="A3293" s="1" t="s">
        <v>9485</v>
      </c>
      <c r="B3293" s="1" t="s">
        <v>9486</v>
      </c>
      <c r="C3293">
        <f>(1-(B7/100))*711.5</f>
        <v>711.5</v>
      </c>
      <c r="D3293" s="1">
        <v>0</v>
      </c>
      <c r="E3293">
        <f>D3293*C3293</f>
        <v>0</v>
      </c>
      <c r="F3293" s="1" t="s">
        <v>9487</v>
      </c>
      <c r="G3293" s="17">
        <v>80715</v>
      </c>
    </row>
    <row r="3294" spans="1:7">
      <c r="A3294" s="1" t="s">
        <v>9488</v>
      </c>
      <c r="B3294" s="1" t="s">
        <v>9489</v>
      </c>
      <c r="C3294">
        <f>(1-(B7/100))*279.57</f>
        <v>279.57</v>
      </c>
      <c r="D3294" s="1">
        <v>0</v>
      </c>
      <c r="E3294">
        <f>D3294*C3294</f>
        <v>0</v>
      </c>
      <c r="F3294" s="1" t="s">
        <v>9490</v>
      </c>
      <c r="G3294" s="17">
        <v>80716</v>
      </c>
    </row>
    <row r="3295" spans="1:7">
      <c r="A3295" s="1" t="s">
        <v>9491</v>
      </c>
      <c r="B3295" s="1" t="s">
        <v>9492</v>
      </c>
      <c r="C3295">
        <f>(1-(B7/100))*106.71</f>
        <v>106.71</v>
      </c>
      <c r="D3295" s="1">
        <v>0</v>
      </c>
      <c r="E3295">
        <f>D3295*C3295</f>
        <v>0</v>
      </c>
      <c r="F3295" s="1" t="s">
        <v>9493</v>
      </c>
      <c r="G3295" s="17">
        <v>80717</v>
      </c>
    </row>
    <row r="3296" spans="1:7">
      <c r="A3296" s="1" t="s">
        <v>9494</v>
      </c>
      <c r="B3296" s="1" t="s">
        <v>9495</v>
      </c>
      <c r="C3296">
        <f>(1-(B7/100))*102.99</f>
        <v>102.99</v>
      </c>
      <c r="D3296" s="1">
        <v>0</v>
      </c>
      <c r="E3296">
        <f>D3296*C3296</f>
        <v>0</v>
      </c>
      <c r="F3296" s="1" t="s">
        <v>9496</v>
      </c>
      <c r="G3296" s="17">
        <v>80718</v>
      </c>
    </row>
    <row r="3297" spans="1:7">
      <c r="A3297" s="1" t="s">
        <v>9497</v>
      </c>
      <c r="B3297" s="1" t="s">
        <v>9498</v>
      </c>
      <c r="C3297">
        <f>(1-(B7/100))*169.87</f>
        <v>169.87</v>
      </c>
      <c r="D3297" s="1">
        <v>0</v>
      </c>
      <c r="E3297">
        <f>D3297*C3297</f>
        <v>0</v>
      </c>
      <c r="F3297" s="1" t="s">
        <v>9499</v>
      </c>
      <c r="G3297" s="17">
        <v>80719</v>
      </c>
    </row>
    <row r="3298" spans="1:7">
      <c r="A3298" s="1" t="s">
        <v>9500</v>
      </c>
      <c r="B3298" s="1" t="s">
        <v>9501</v>
      </c>
      <c r="C3298">
        <f>(1-(B7/100))*159.63</f>
        <v>159.63</v>
      </c>
      <c r="D3298" s="1">
        <v>0</v>
      </c>
      <c r="E3298">
        <f>D3298*C3298</f>
        <v>0</v>
      </c>
      <c r="F3298" s="1" t="s">
        <v>9502</v>
      </c>
      <c r="G3298" s="17">
        <v>80720</v>
      </c>
    </row>
    <row r="3299" spans="1:7">
      <c r="A3299" s="1" t="s">
        <v>9503</v>
      </c>
      <c r="B3299" s="1" t="s">
        <v>9504</v>
      </c>
      <c r="C3299">
        <f>(1-(B7/100))*197.58</f>
        <v>197.58</v>
      </c>
      <c r="D3299" s="1">
        <v>0</v>
      </c>
      <c r="E3299">
        <f>D3299*C3299</f>
        <v>0</v>
      </c>
      <c r="F3299" s="1" t="s">
        <v>9505</v>
      </c>
      <c r="G3299" s="17">
        <v>80730</v>
      </c>
    </row>
    <row r="3300" spans="1:7">
      <c r="A3300" s="1" t="s">
        <v>9506</v>
      </c>
      <c r="B3300" s="1" t="s">
        <v>9507</v>
      </c>
      <c r="C3300">
        <f>(1-(B7/100))*221.85</f>
        <v>221.85</v>
      </c>
      <c r="D3300" s="1">
        <v>0</v>
      </c>
      <c r="E3300">
        <f>D3300*C3300</f>
        <v>0</v>
      </c>
      <c r="F3300" s="1" t="s">
        <v>9508</v>
      </c>
      <c r="G3300" s="17">
        <v>80731</v>
      </c>
    </row>
    <row r="3301" spans="1:7">
      <c r="A3301" s="1" t="s">
        <v>9509</v>
      </c>
      <c r="B3301" s="1" t="s">
        <v>9510</v>
      </c>
      <c r="C3301">
        <f>(1-(B7/100))*32.47</f>
        <v>32.47</v>
      </c>
      <c r="D3301" s="1">
        <v>0</v>
      </c>
      <c r="E3301">
        <f>D3301*C3301</f>
        <v>0</v>
      </c>
      <c r="F3301" s="1" t="s">
        <v>9511</v>
      </c>
      <c r="G3301" s="17">
        <v>80732</v>
      </c>
    </row>
    <row r="3302" spans="1:7">
      <c r="A3302" s="1" t="s">
        <v>9512</v>
      </c>
      <c r="B3302" s="1" t="s">
        <v>9513</v>
      </c>
      <c r="C3302">
        <f>(1-(B7/100))*128</f>
        <v>128</v>
      </c>
      <c r="D3302" s="1">
        <v>0</v>
      </c>
      <c r="E3302">
        <f>D3302*C3302</f>
        <v>0</v>
      </c>
      <c r="F3302" s="1" t="s">
        <v>9514</v>
      </c>
      <c r="G3302" s="17">
        <v>80741</v>
      </c>
    </row>
    <row r="3303" spans="1:7">
      <c r="A3303" s="1" t="s">
        <v>9515</v>
      </c>
      <c r="B3303" s="1" t="s">
        <v>9516</v>
      </c>
      <c r="C3303">
        <f>(1-(B7/100))*115.52</f>
        <v>115.52</v>
      </c>
      <c r="D3303" s="1">
        <v>0</v>
      </c>
      <c r="E3303">
        <f>D3303*C3303</f>
        <v>0</v>
      </c>
      <c r="F3303" s="1" t="s">
        <v>9517</v>
      </c>
      <c r="G3303" s="17">
        <v>80744</v>
      </c>
    </row>
    <row r="3304" spans="1:7">
      <c r="A3304" s="1" t="s">
        <v>9518</v>
      </c>
      <c r="B3304" s="1" t="s">
        <v>9519</v>
      </c>
      <c r="C3304">
        <f>(1-(B7/100))*53.07</f>
        <v>53.07</v>
      </c>
      <c r="D3304" s="1">
        <v>0</v>
      </c>
      <c r="E3304">
        <f>D3304*C3304</f>
        <v>0</v>
      </c>
      <c r="F3304" s="1" t="s">
        <v>9520</v>
      </c>
      <c r="G3304" s="17">
        <v>80745</v>
      </c>
    </row>
    <row r="3305" spans="1:7">
      <c r="A3305" s="1" t="s">
        <v>9521</v>
      </c>
      <c r="B3305" s="1" t="s">
        <v>9522</v>
      </c>
      <c r="C3305">
        <f>(1-(B7/100))*67.87</f>
        <v>67.87</v>
      </c>
      <c r="D3305" s="1">
        <v>0</v>
      </c>
      <c r="E3305">
        <f>D3305*C3305</f>
        <v>0</v>
      </c>
      <c r="F3305" s="1" t="s">
        <v>9523</v>
      </c>
      <c r="G3305" s="17">
        <v>80746</v>
      </c>
    </row>
    <row r="3306" spans="1:7">
      <c r="A3306" s="1" t="s">
        <v>9524</v>
      </c>
      <c r="B3306" s="1" t="s">
        <v>9525</v>
      </c>
      <c r="C3306">
        <f>(1-(B7/100))*115.69</f>
        <v>115.69</v>
      </c>
      <c r="D3306" s="1">
        <v>0</v>
      </c>
      <c r="E3306">
        <f>D3306*C3306</f>
        <v>0</v>
      </c>
      <c r="F3306" s="1" t="s">
        <v>9526</v>
      </c>
      <c r="G3306" s="17">
        <v>80747</v>
      </c>
    </row>
    <row r="3307" spans="1:7">
      <c r="A3307" s="1" t="s">
        <v>9527</v>
      </c>
      <c r="B3307" s="1" t="s">
        <v>9528</v>
      </c>
      <c r="C3307">
        <f>(1-(B7/100))*109.65</f>
        <v>109.65</v>
      </c>
      <c r="D3307" s="1">
        <v>0</v>
      </c>
      <c r="E3307">
        <f>D3307*C3307</f>
        <v>0</v>
      </c>
      <c r="F3307" s="1" t="s">
        <v>9529</v>
      </c>
      <c r="G3307" s="17">
        <v>80748</v>
      </c>
    </row>
    <row r="3308" spans="1:7">
      <c r="A3308" s="1" t="s">
        <v>9530</v>
      </c>
      <c r="B3308" s="1" t="s">
        <v>9531</v>
      </c>
      <c r="C3308">
        <f>(1-(B7/100))*79.33</f>
        <v>79.33</v>
      </c>
      <c r="D3308" s="1">
        <v>0</v>
      </c>
      <c r="E3308">
        <f>D3308*C3308</f>
        <v>0</v>
      </c>
      <c r="F3308" s="1" t="s">
        <v>9532</v>
      </c>
      <c r="G3308" s="17">
        <v>80750</v>
      </c>
    </row>
    <row r="3309" spans="1:7">
      <c r="A3309" s="1" t="s">
        <v>9533</v>
      </c>
      <c r="B3309" s="1" t="s">
        <v>9534</v>
      </c>
      <c r="C3309">
        <f>(1-(B7/100))*69.98</f>
        <v>69.98</v>
      </c>
      <c r="D3309" s="1">
        <v>0</v>
      </c>
      <c r="E3309">
        <f>D3309*C3309</f>
        <v>0</v>
      </c>
      <c r="F3309" s="1" t="s">
        <v>9535</v>
      </c>
      <c r="G3309" s="17">
        <v>80751</v>
      </c>
    </row>
    <row r="3310" spans="1:7">
      <c r="A3310" s="1" t="s">
        <v>9536</v>
      </c>
      <c r="B3310" s="1" t="s">
        <v>9537</v>
      </c>
      <c r="C3310">
        <f>(1-(B7/100))*112.8</f>
        <v>112.8</v>
      </c>
      <c r="D3310" s="1">
        <v>0</v>
      </c>
      <c r="E3310">
        <f>D3310*C3310</f>
        <v>0</v>
      </c>
      <c r="F3310" s="1" t="s">
        <v>9538</v>
      </c>
      <c r="G3310" s="17">
        <v>80752</v>
      </c>
    </row>
    <row r="3311" spans="1:7">
      <c r="A3311" s="1" t="s">
        <v>9539</v>
      </c>
      <c r="B3311" s="1" t="s">
        <v>9540</v>
      </c>
      <c r="C3311">
        <f>(1-(B7/100))*1151.45</f>
        <v>1151.45</v>
      </c>
      <c r="D3311" s="1">
        <v>0</v>
      </c>
      <c r="E3311">
        <f>D3311*C3311</f>
        <v>0</v>
      </c>
      <c r="F3311" s="1" t="s">
        <v>9541</v>
      </c>
      <c r="G3311" s="17">
        <v>80760</v>
      </c>
    </row>
    <row r="3312" spans="1:7">
      <c r="A3312" s="1" t="s">
        <v>9542</v>
      </c>
      <c r="B3312" s="1" t="s">
        <v>9543</v>
      </c>
      <c r="C3312">
        <f>(1-(B7/100))*208.79</f>
        <v>208.79</v>
      </c>
      <c r="D3312" s="1">
        <v>0</v>
      </c>
      <c r="E3312">
        <f>D3312*C3312</f>
        <v>0</v>
      </c>
      <c r="F3312" s="1" t="s">
        <v>9544</v>
      </c>
      <c r="G3312" s="17">
        <v>80762</v>
      </c>
    </row>
    <row r="3313" spans="1:7">
      <c r="A3313" s="1" t="s">
        <v>9545</v>
      </c>
      <c r="B3313" s="1" t="s">
        <v>9546</v>
      </c>
      <c r="C3313">
        <f>(1-(B7/100))*98.24</f>
        <v>98.24</v>
      </c>
      <c r="D3313" s="1">
        <v>0</v>
      </c>
      <c r="E3313">
        <f>D3313*C3313</f>
        <v>0</v>
      </c>
      <c r="F3313" s="1" t="s">
        <v>9547</v>
      </c>
      <c r="G3313" s="17">
        <v>80765</v>
      </c>
    </row>
    <row r="3314" spans="1:7">
      <c r="A3314" s="1" t="s">
        <v>9548</v>
      </c>
      <c r="B3314" s="1" t="s">
        <v>9549</v>
      </c>
      <c r="C3314">
        <f>(1-(B7/100))*76.45</f>
        <v>76.45</v>
      </c>
      <c r="D3314" s="1">
        <v>0</v>
      </c>
      <c r="E3314">
        <f>D3314*C3314</f>
        <v>0</v>
      </c>
      <c r="F3314" s="1" t="s">
        <v>9550</v>
      </c>
      <c r="G3314" s="17">
        <v>80766</v>
      </c>
    </row>
    <row r="3315" spans="1:7">
      <c r="A3315" s="1" t="s">
        <v>9551</v>
      </c>
      <c r="B3315" s="1" t="s">
        <v>9552</v>
      </c>
      <c r="C3315">
        <f>(1-(B7/100))*76.45</f>
        <v>76.45</v>
      </c>
      <c r="D3315" s="1">
        <v>0</v>
      </c>
      <c r="E3315">
        <f>D3315*C3315</f>
        <v>0</v>
      </c>
      <c r="F3315" s="1" t="s">
        <v>9553</v>
      </c>
      <c r="G3315" s="17">
        <v>80767</v>
      </c>
    </row>
    <row r="3316" spans="1:7">
      <c r="A3316" s="1" t="s">
        <v>9554</v>
      </c>
      <c r="B3316" s="1" t="s">
        <v>9555</v>
      </c>
      <c r="C3316">
        <f>(1-(B7/100))*72.23</f>
        <v>72.23</v>
      </c>
      <c r="D3316" s="1">
        <v>0</v>
      </c>
      <c r="E3316">
        <f>D3316*C3316</f>
        <v>0</v>
      </c>
      <c r="F3316" s="1" t="s">
        <v>9556</v>
      </c>
      <c r="G3316" s="17">
        <v>80768</v>
      </c>
    </row>
    <row r="3317" spans="1:7">
      <c r="A3317" s="1" t="s">
        <v>9557</v>
      </c>
      <c r="B3317" s="1" t="s">
        <v>9558</v>
      </c>
      <c r="C3317">
        <f>(1-(B7/100))*92.78</f>
        <v>92.78</v>
      </c>
      <c r="D3317" s="1">
        <v>0</v>
      </c>
      <c r="E3317">
        <f>D3317*C3317</f>
        <v>0</v>
      </c>
      <c r="F3317" s="1" t="s">
        <v>9559</v>
      </c>
      <c r="G3317" s="17">
        <v>80769</v>
      </c>
    </row>
    <row r="3318" spans="1:7">
      <c r="A3318" s="1" t="s">
        <v>9560</v>
      </c>
      <c r="B3318" s="1" t="s">
        <v>9561</v>
      </c>
      <c r="C3318">
        <f>(1-(B7/100))*72.23</f>
        <v>72.23</v>
      </c>
      <c r="D3318" s="1">
        <v>0</v>
      </c>
      <c r="E3318">
        <f>D3318*C3318</f>
        <v>0</v>
      </c>
      <c r="F3318" s="1" t="s">
        <v>9562</v>
      </c>
      <c r="G3318" s="17">
        <v>80771</v>
      </c>
    </row>
    <row r="3319" spans="1:7">
      <c r="A3319" s="1" t="s">
        <v>9563</v>
      </c>
      <c r="B3319" s="1" t="s">
        <v>9564</v>
      </c>
      <c r="C3319">
        <f>(1-(B7/100))*1329.59</f>
        <v>1329.59</v>
      </c>
      <c r="D3319" s="1">
        <v>0</v>
      </c>
      <c r="E3319">
        <f>D3319*C3319</f>
        <v>0</v>
      </c>
      <c r="F3319" s="1" t="s">
        <v>9565</v>
      </c>
      <c r="G3319" s="17">
        <v>80775</v>
      </c>
    </row>
    <row r="3320" spans="1:7">
      <c r="A3320" s="1" t="s">
        <v>9566</v>
      </c>
      <c r="B3320" s="1" t="s">
        <v>9567</v>
      </c>
      <c r="C3320">
        <f>(1-(B7/100))*95.57</f>
        <v>95.57</v>
      </c>
      <c r="D3320" s="1">
        <v>0</v>
      </c>
      <c r="E3320">
        <f>D3320*C3320</f>
        <v>0</v>
      </c>
      <c r="F3320" s="1" t="s">
        <v>9568</v>
      </c>
      <c r="G3320" s="17">
        <v>80781</v>
      </c>
    </row>
    <row r="3321" spans="1:7">
      <c r="A3321" s="1" t="s">
        <v>9569</v>
      </c>
      <c r="B3321" s="1" t="s">
        <v>9570</v>
      </c>
      <c r="C3321">
        <f>(1-(B7/100))*86.45</f>
        <v>86.45</v>
      </c>
      <c r="D3321" s="1">
        <v>0</v>
      </c>
      <c r="E3321">
        <f>D3321*C3321</f>
        <v>0</v>
      </c>
      <c r="F3321" s="1" t="s">
        <v>9571</v>
      </c>
      <c r="G3321" s="17">
        <v>80782</v>
      </c>
    </row>
    <row r="3322" spans="1:7">
      <c r="A3322" s="1" t="s">
        <v>9572</v>
      </c>
      <c r="B3322" s="1" t="s">
        <v>9573</v>
      </c>
      <c r="C3322">
        <f>(1-(B7/100))*217.62</f>
        <v>217.62</v>
      </c>
      <c r="D3322" s="1">
        <v>0</v>
      </c>
      <c r="E3322">
        <f>D3322*C3322</f>
        <v>0</v>
      </c>
      <c r="F3322" s="1" t="s">
        <v>9574</v>
      </c>
      <c r="G3322" s="17">
        <v>80783</v>
      </c>
    </row>
    <row r="3323" spans="1:7">
      <c r="A3323" s="1" t="s">
        <v>9575</v>
      </c>
      <c r="B3323" s="1" t="s">
        <v>9576</v>
      </c>
      <c r="C3323">
        <f>(1-(B7/100))*102.51</f>
        <v>102.51</v>
      </c>
      <c r="D3323" s="1">
        <v>0</v>
      </c>
      <c r="E3323">
        <f>D3323*C3323</f>
        <v>0</v>
      </c>
      <c r="F3323" s="1" t="s">
        <v>9577</v>
      </c>
      <c r="G3323" s="17">
        <v>80784</v>
      </c>
    </row>
    <row r="3324" spans="1:7">
      <c r="A3324" s="1" t="s">
        <v>9578</v>
      </c>
      <c r="B3324" s="1" t="s">
        <v>9579</v>
      </c>
      <c r="C3324">
        <f>(1-(B7/100))*197.06</f>
        <v>197.06</v>
      </c>
      <c r="D3324" s="1">
        <v>0</v>
      </c>
      <c r="E3324">
        <f>D3324*C3324</f>
        <v>0</v>
      </c>
      <c r="F3324" s="1" t="s">
        <v>9580</v>
      </c>
      <c r="G3324" s="17">
        <v>80785</v>
      </c>
    </row>
    <row r="3325" spans="1:7">
      <c r="A3325" s="1" t="s">
        <v>9581</v>
      </c>
      <c r="B3325" s="1" t="s">
        <v>9582</v>
      </c>
      <c r="C3325">
        <f>(1-(B7/100))*260.95</f>
        <v>260.95</v>
      </c>
      <c r="D3325" s="1">
        <v>0</v>
      </c>
      <c r="E3325">
        <f>D3325*C3325</f>
        <v>0</v>
      </c>
      <c r="F3325" s="1" t="s">
        <v>9583</v>
      </c>
      <c r="G3325" s="17">
        <v>80786</v>
      </c>
    </row>
    <row r="3326" spans="1:7">
      <c r="A3326" s="1" t="s">
        <v>9584</v>
      </c>
      <c r="B3326" s="1" t="s">
        <v>9585</v>
      </c>
      <c r="C3326">
        <f>(1-(B7/100))*256.59</f>
        <v>256.59</v>
      </c>
      <c r="D3326" s="1">
        <v>0</v>
      </c>
      <c r="E3326">
        <f>D3326*C3326</f>
        <v>0</v>
      </c>
      <c r="F3326" s="1" t="s">
        <v>9586</v>
      </c>
      <c r="G3326" s="17">
        <v>80787</v>
      </c>
    </row>
    <row r="3327" spans="1:7">
      <c r="A3327" s="1" t="s">
        <v>9587</v>
      </c>
      <c r="B3327" s="1" t="s">
        <v>9588</v>
      </c>
      <c r="C3327">
        <f>(1-(B7/100))*273.45</f>
        <v>273.45</v>
      </c>
      <c r="D3327" s="1">
        <v>0</v>
      </c>
      <c r="E3327">
        <f>D3327*C3327</f>
        <v>0</v>
      </c>
      <c r="F3327" s="1" t="s">
        <v>9589</v>
      </c>
      <c r="G3327" s="17">
        <v>80788</v>
      </c>
    </row>
    <row r="3328" spans="1:7">
      <c r="A3328" s="1" t="s">
        <v>9590</v>
      </c>
      <c r="B3328" s="1" t="s">
        <v>9591</v>
      </c>
      <c r="C3328">
        <f>(1-(B7/100))*197.06</f>
        <v>197.06</v>
      </c>
      <c r="D3328" s="1">
        <v>0</v>
      </c>
      <c r="E3328">
        <f>D3328*C3328</f>
        <v>0</v>
      </c>
      <c r="F3328" s="1" t="s">
        <v>9592</v>
      </c>
      <c r="G3328" s="17">
        <v>80789</v>
      </c>
    </row>
    <row r="3329" spans="1:7">
      <c r="A3329" s="1" t="s">
        <v>9593</v>
      </c>
      <c r="B3329" s="1" t="s">
        <v>9594</v>
      </c>
      <c r="C3329">
        <f>(1-(B7/100))*197.06</f>
        <v>197.06</v>
      </c>
      <c r="D3329" s="1">
        <v>0</v>
      </c>
      <c r="E3329">
        <f>D3329*C3329</f>
        <v>0</v>
      </c>
      <c r="F3329" s="1" t="s">
        <v>9595</v>
      </c>
      <c r="G3329" s="17">
        <v>80790</v>
      </c>
    </row>
    <row r="3330" spans="1:7">
      <c r="A3330" s="1" t="s">
        <v>9596</v>
      </c>
      <c r="B3330" s="1" t="s">
        <v>9597</v>
      </c>
      <c r="C3330">
        <f>(1-(B7/100))*102.51</f>
        <v>102.51</v>
      </c>
      <c r="D3330" s="1">
        <v>0</v>
      </c>
      <c r="E3330">
        <f>D3330*C3330</f>
        <v>0</v>
      </c>
      <c r="F3330" s="1" t="s">
        <v>9598</v>
      </c>
      <c r="G3330" s="17">
        <v>80791</v>
      </c>
    </row>
    <row r="3331" spans="1:7">
      <c r="A3331" s="1" t="s">
        <v>9599</v>
      </c>
      <c r="B3331" s="1" t="s">
        <v>9600</v>
      </c>
      <c r="C3331">
        <f>(1-(B7/100))*239.65</f>
        <v>239.65</v>
      </c>
      <c r="D3331" s="1">
        <v>0</v>
      </c>
      <c r="E3331">
        <f>D3331*C3331</f>
        <v>0</v>
      </c>
      <c r="F3331" s="1" t="s">
        <v>9601</v>
      </c>
      <c r="G3331" s="17">
        <v>80792</v>
      </c>
    </row>
    <row r="3332" spans="1:7">
      <c r="A3332" s="1" t="s">
        <v>9602</v>
      </c>
      <c r="B3332" s="1" t="s">
        <v>9603</v>
      </c>
      <c r="C3332">
        <f>(1-(B7/100))*102.51</f>
        <v>102.51</v>
      </c>
      <c r="D3332" s="1">
        <v>0</v>
      </c>
      <c r="E3332">
        <f>D3332*C3332</f>
        <v>0</v>
      </c>
      <c r="F3332" s="1" t="s">
        <v>9604</v>
      </c>
      <c r="G3332" s="17">
        <v>80793</v>
      </c>
    </row>
    <row r="3333" spans="1:7">
      <c r="A3333" s="1" t="s">
        <v>9605</v>
      </c>
      <c r="B3333" s="1" t="s">
        <v>9606</v>
      </c>
      <c r="C3333">
        <f>(1-(B7/100))*273.45</f>
        <v>273.45</v>
      </c>
      <c r="D3333" s="1">
        <v>0</v>
      </c>
      <c r="E3333">
        <f>D3333*C3333</f>
        <v>0</v>
      </c>
      <c r="F3333" s="1" t="s">
        <v>9607</v>
      </c>
      <c r="G3333" s="17">
        <v>80795</v>
      </c>
    </row>
    <row r="3334" spans="1:7">
      <c r="A3334" s="1" t="s">
        <v>9608</v>
      </c>
      <c r="B3334" s="1" t="s">
        <v>9609</v>
      </c>
      <c r="C3334">
        <f>(1-(B7/100))*102.51</f>
        <v>102.51</v>
      </c>
      <c r="D3334" s="1">
        <v>0</v>
      </c>
      <c r="E3334">
        <f>D3334*C3334</f>
        <v>0</v>
      </c>
      <c r="F3334" s="1" t="s">
        <v>9610</v>
      </c>
      <c r="G3334" s="17">
        <v>80796</v>
      </c>
    </row>
    <row r="3335" spans="1:7">
      <c r="A3335" s="1" t="s">
        <v>9611</v>
      </c>
      <c r="B3335" s="1" t="s">
        <v>9612</v>
      </c>
      <c r="C3335">
        <f>(1-(B7/100))*1249.12</f>
        <v>1249.12</v>
      </c>
      <c r="D3335" s="1">
        <v>0</v>
      </c>
      <c r="E3335">
        <f>D3335*C3335</f>
        <v>0</v>
      </c>
      <c r="F3335" s="1" t="s">
        <v>9613</v>
      </c>
      <c r="G3335" s="17">
        <v>80797</v>
      </c>
    </row>
    <row r="3336" spans="1:7">
      <c r="A3336" s="1" t="s">
        <v>9614</v>
      </c>
      <c r="B3336" s="1" t="s">
        <v>9615</v>
      </c>
      <c r="C3336">
        <f>(1-(B7/100))*162.96</f>
        <v>162.96</v>
      </c>
      <c r="D3336" s="1">
        <v>0</v>
      </c>
      <c r="E3336">
        <f>D3336*C3336</f>
        <v>0</v>
      </c>
      <c r="F3336" s="1" t="s">
        <v>9616</v>
      </c>
      <c r="G3336" s="17">
        <v>80808</v>
      </c>
    </row>
    <row r="3337" spans="1:7">
      <c r="A3337" s="1" t="s">
        <v>9617</v>
      </c>
      <c r="B3337" s="1" t="s">
        <v>9618</v>
      </c>
      <c r="C3337">
        <f>(1-(B7/100))*4693.24</f>
        <v>4693.24</v>
      </c>
      <c r="D3337" s="1">
        <v>0</v>
      </c>
      <c r="E3337">
        <f>D3337*C3337</f>
        <v>0</v>
      </c>
      <c r="F3337" s="1" t="s">
        <v>9619</v>
      </c>
      <c r="G3337" s="17">
        <v>80809</v>
      </c>
    </row>
    <row r="3338" spans="1:7">
      <c r="A3338" s="1" t="s">
        <v>9620</v>
      </c>
      <c r="B3338" s="1" t="s">
        <v>9621</v>
      </c>
      <c r="C3338">
        <f>(1-(B7/100))*686.69</f>
        <v>686.69</v>
      </c>
      <c r="D3338" s="1">
        <v>0</v>
      </c>
      <c r="E3338">
        <f>D3338*C3338</f>
        <v>0</v>
      </c>
      <c r="F3338" s="1" t="s">
        <v>9622</v>
      </c>
      <c r="G3338" s="17">
        <v>80814</v>
      </c>
    </row>
    <row r="3339" spans="1:7">
      <c r="A3339" s="1" t="s">
        <v>9623</v>
      </c>
      <c r="B3339" s="1" t="s">
        <v>9624</v>
      </c>
      <c r="C3339">
        <f>(1-(B7/100))*264.26</f>
        <v>264.26</v>
      </c>
      <c r="D3339" s="1">
        <v>0</v>
      </c>
      <c r="E3339">
        <f>D3339*C3339</f>
        <v>0</v>
      </c>
      <c r="F3339" s="1" t="s">
        <v>9625</v>
      </c>
      <c r="G3339" s="17">
        <v>80816</v>
      </c>
    </row>
    <row r="3340" spans="1:7">
      <c r="A3340" s="1" t="s">
        <v>9626</v>
      </c>
      <c r="B3340" s="1" t="s">
        <v>9627</v>
      </c>
      <c r="C3340">
        <f>(1-(B7/100))*152.49</f>
        <v>152.49</v>
      </c>
      <c r="D3340" s="1">
        <v>0</v>
      </c>
      <c r="E3340">
        <f>D3340*C3340</f>
        <v>0</v>
      </c>
      <c r="F3340" s="1" t="s">
        <v>9628</v>
      </c>
      <c r="G3340" s="17">
        <v>80818</v>
      </c>
    </row>
    <row r="3341" spans="1:7">
      <c r="A3341" s="1" t="s">
        <v>9629</v>
      </c>
      <c r="B3341" s="1" t="s">
        <v>9630</v>
      </c>
      <c r="C3341">
        <f>(1-(B7/100))*35.44</f>
        <v>35.44</v>
      </c>
      <c r="D3341" s="1">
        <v>0</v>
      </c>
      <c r="E3341">
        <f>D3341*C3341</f>
        <v>0</v>
      </c>
      <c r="F3341" s="1" t="s">
        <v>9631</v>
      </c>
      <c r="G3341" s="17">
        <v>80822</v>
      </c>
    </row>
    <row r="3342" spans="1:7">
      <c r="A3342" s="1" t="s">
        <v>9632</v>
      </c>
      <c r="B3342" s="1" t="s">
        <v>9633</v>
      </c>
      <c r="C3342">
        <f>(1-(B7/100))*222.74</f>
        <v>222.74</v>
      </c>
      <c r="D3342" s="1">
        <v>0</v>
      </c>
      <c r="E3342">
        <f>D3342*C3342</f>
        <v>0</v>
      </c>
      <c r="F3342" s="1" t="s">
        <v>9634</v>
      </c>
      <c r="G3342" s="17">
        <v>80824</v>
      </c>
    </row>
    <row r="3343" spans="1:7">
      <c r="A3343" s="1" t="s">
        <v>9635</v>
      </c>
      <c r="B3343" s="1" t="s">
        <v>9636</v>
      </c>
      <c r="C3343">
        <f>(1-(B7/100))*156.77</f>
        <v>156.77</v>
      </c>
      <c r="D3343" s="1">
        <v>0</v>
      </c>
      <c r="E3343">
        <f>D3343*C3343</f>
        <v>0</v>
      </c>
      <c r="F3343" s="1" t="s">
        <v>9637</v>
      </c>
      <c r="G3343" s="17">
        <v>80825</v>
      </c>
    </row>
    <row r="3344" spans="1:7">
      <c r="A3344" s="1" t="s">
        <v>9638</v>
      </c>
      <c r="B3344" s="1" t="s">
        <v>9639</v>
      </c>
      <c r="C3344">
        <f>(1-(B7/100))*299.18</f>
        <v>299.18</v>
      </c>
      <c r="D3344" s="1">
        <v>0</v>
      </c>
      <c r="E3344">
        <f>D3344*C3344</f>
        <v>0</v>
      </c>
      <c r="F3344" s="1" t="s">
        <v>9640</v>
      </c>
      <c r="G3344" s="17">
        <v>80826</v>
      </c>
    </row>
    <row r="3345" spans="1:7">
      <c r="A3345" s="1" t="s">
        <v>9641</v>
      </c>
      <c r="B3345" s="1" t="s">
        <v>9642</v>
      </c>
      <c r="C3345">
        <f>(1-(B7/100))*256.59</f>
        <v>256.59</v>
      </c>
      <c r="D3345" s="1">
        <v>0</v>
      </c>
      <c r="E3345">
        <f>D3345*C3345</f>
        <v>0</v>
      </c>
      <c r="F3345" s="1" t="s">
        <v>9643</v>
      </c>
      <c r="G3345" s="17">
        <v>80827</v>
      </c>
    </row>
    <row r="3346" spans="1:7">
      <c r="A3346" s="1" t="s">
        <v>9644</v>
      </c>
      <c r="B3346" s="1" t="s">
        <v>9645</v>
      </c>
      <c r="C3346">
        <f>(1-(B7/100))*341.75</f>
        <v>341.75</v>
      </c>
      <c r="D3346" s="1">
        <v>0</v>
      </c>
      <c r="E3346">
        <f>D3346*C3346</f>
        <v>0</v>
      </c>
      <c r="F3346" s="1" t="s">
        <v>9646</v>
      </c>
      <c r="G3346" s="17">
        <v>80828</v>
      </c>
    </row>
    <row r="3347" spans="1:7">
      <c r="A3347" s="1" t="s">
        <v>9647</v>
      </c>
      <c r="B3347" s="1" t="s">
        <v>9648</v>
      </c>
      <c r="C3347">
        <f>(1-(B7/100))*341.75</f>
        <v>341.75</v>
      </c>
      <c r="D3347" s="1">
        <v>0</v>
      </c>
      <c r="E3347">
        <f>D3347*C3347</f>
        <v>0</v>
      </c>
      <c r="F3347" s="1" t="s">
        <v>9649</v>
      </c>
      <c r="G3347" s="17">
        <v>80829</v>
      </c>
    </row>
    <row r="3348" spans="1:7">
      <c r="A3348" s="1" t="s">
        <v>9650</v>
      </c>
      <c r="B3348" s="1" t="s">
        <v>9651</v>
      </c>
      <c r="C3348">
        <f>(1-(B7/100))*63.86</f>
        <v>63.86</v>
      </c>
      <c r="D3348" s="1">
        <v>0</v>
      </c>
      <c r="E3348">
        <f>D3348*C3348</f>
        <v>0</v>
      </c>
      <c r="F3348" s="1" t="s">
        <v>9652</v>
      </c>
      <c r="G3348" s="17">
        <v>80832</v>
      </c>
    </row>
    <row r="3349" spans="1:7">
      <c r="A3349" s="1" t="s">
        <v>9653</v>
      </c>
      <c r="B3349" s="1" t="s">
        <v>9654</v>
      </c>
      <c r="C3349">
        <f>(1-(B7/100))*63.86</f>
        <v>63.86</v>
      </c>
      <c r="D3349" s="1">
        <v>0</v>
      </c>
      <c r="E3349">
        <f>D3349*C3349</f>
        <v>0</v>
      </c>
      <c r="F3349" s="1" t="s">
        <v>9655</v>
      </c>
      <c r="G3349" s="17">
        <v>80833</v>
      </c>
    </row>
    <row r="3350" spans="1:7">
      <c r="A3350" s="1" t="s">
        <v>9656</v>
      </c>
      <c r="B3350" s="1" t="s">
        <v>9657</v>
      </c>
      <c r="C3350">
        <f>(1-(B7/100))*63.86</f>
        <v>63.86</v>
      </c>
      <c r="D3350" s="1">
        <v>0</v>
      </c>
      <c r="E3350">
        <f>D3350*C3350</f>
        <v>0</v>
      </c>
      <c r="F3350" s="1" t="s">
        <v>9658</v>
      </c>
      <c r="G3350" s="17">
        <v>80834</v>
      </c>
    </row>
    <row r="3351" spans="1:7">
      <c r="A3351" s="1" t="s">
        <v>9659</v>
      </c>
      <c r="B3351" s="1" t="s">
        <v>9660</v>
      </c>
      <c r="C3351">
        <f>(1-(B7/100))*63.86</f>
        <v>63.86</v>
      </c>
      <c r="D3351" s="1">
        <v>0</v>
      </c>
      <c r="E3351">
        <f>D3351*C3351</f>
        <v>0</v>
      </c>
      <c r="F3351" s="1" t="s">
        <v>9661</v>
      </c>
      <c r="G3351" s="17">
        <v>80836</v>
      </c>
    </row>
    <row r="3352" spans="1:7">
      <c r="A3352" s="1" t="s">
        <v>9662</v>
      </c>
      <c r="B3352" s="1" t="s">
        <v>9663</v>
      </c>
      <c r="C3352">
        <f>(1-(B7/100))*63.86</f>
        <v>63.86</v>
      </c>
      <c r="D3352" s="1">
        <v>0</v>
      </c>
      <c r="E3352">
        <f>D3352*C3352</f>
        <v>0</v>
      </c>
      <c r="F3352" s="1" t="s">
        <v>9664</v>
      </c>
      <c r="G3352" s="17">
        <v>80837</v>
      </c>
    </row>
    <row r="3353" spans="1:7">
      <c r="A3353" s="1" t="s">
        <v>9665</v>
      </c>
      <c r="B3353" s="1" t="s">
        <v>9666</v>
      </c>
      <c r="C3353">
        <f>(1-(B7/100))*63.86</f>
        <v>63.86</v>
      </c>
      <c r="D3353" s="1">
        <v>0</v>
      </c>
      <c r="E3353">
        <f>D3353*C3353</f>
        <v>0</v>
      </c>
      <c r="F3353" s="1" t="s">
        <v>9667</v>
      </c>
      <c r="G3353" s="17">
        <v>80839</v>
      </c>
    </row>
    <row r="3354" spans="1:7">
      <c r="A3354" s="1" t="s">
        <v>9668</v>
      </c>
      <c r="B3354" s="1" t="s">
        <v>9669</v>
      </c>
      <c r="C3354">
        <f>(1-(B7/100))*63.86</f>
        <v>63.86</v>
      </c>
      <c r="D3354" s="1">
        <v>0</v>
      </c>
      <c r="E3354">
        <f>D3354*C3354</f>
        <v>0</v>
      </c>
      <c r="F3354" s="1" t="s">
        <v>9670</v>
      </c>
      <c r="G3354" s="17">
        <v>80841</v>
      </c>
    </row>
    <row r="3355" spans="1:7">
      <c r="A3355" s="1" t="s">
        <v>9671</v>
      </c>
      <c r="B3355" s="1" t="s">
        <v>9672</v>
      </c>
      <c r="C3355">
        <f>(1-(B7/100))*63.86</f>
        <v>63.86</v>
      </c>
      <c r="D3355" s="1">
        <v>0</v>
      </c>
      <c r="E3355">
        <f>D3355*C3355</f>
        <v>0</v>
      </c>
      <c r="F3355" s="1" t="s">
        <v>9673</v>
      </c>
      <c r="G3355" s="17">
        <v>80843</v>
      </c>
    </row>
    <row r="3356" spans="1:7">
      <c r="A3356" s="1" t="s">
        <v>9674</v>
      </c>
      <c r="B3356" s="1" t="s">
        <v>9675</v>
      </c>
      <c r="C3356">
        <f>(1-(B7/100))*92.78</f>
        <v>92.78</v>
      </c>
      <c r="D3356" s="1">
        <v>0</v>
      </c>
      <c r="E3356">
        <f>D3356*C3356</f>
        <v>0</v>
      </c>
      <c r="F3356" s="1" t="s">
        <v>9676</v>
      </c>
      <c r="G3356" s="17">
        <v>80849</v>
      </c>
    </row>
    <row r="3357" spans="1:7">
      <c r="A3357" s="1" t="s">
        <v>9677</v>
      </c>
      <c r="B3357" s="1" t="s">
        <v>9678</v>
      </c>
      <c r="C3357">
        <f>(1-(B7/100))*264.15</f>
        <v>264.15</v>
      </c>
      <c r="D3357" s="1">
        <v>0</v>
      </c>
      <c r="E3357">
        <f>D3357*C3357</f>
        <v>0</v>
      </c>
      <c r="F3357" s="1" t="s">
        <v>9679</v>
      </c>
      <c r="G3357" s="17">
        <v>80851</v>
      </c>
    </row>
    <row r="3358" spans="1:7">
      <c r="A3358" s="1" t="s">
        <v>9680</v>
      </c>
      <c r="B3358" s="1" t="s">
        <v>9681</v>
      </c>
      <c r="C3358">
        <f>(1-(B7/100))*227.9</f>
        <v>227.9</v>
      </c>
      <c r="D3358" s="1">
        <v>0</v>
      </c>
      <c r="E3358">
        <f>D3358*C3358</f>
        <v>0</v>
      </c>
      <c r="F3358" s="1" t="s">
        <v>9682</v>
      </c>
      <c r="G3358" s="17">
        <v>80854</v>
      </c>
    </row>
    <row r="3359" spans="1:7">
      <c r="A3359" s="1" t="s">
        <v>9683</v>
      </c>
      <c r="B3359" s="1" t="s">
        <v>9684</v>
      </c>
      <c r="C3359">
        <f>(1-(B7/100))*227.9</f>
        <v>227.9</v>
      </c>
      <c r="D3359" s="1">
        <v>0</v>
      </c>
      <c r="E3359">
        <f>D3359*C3359</f>
        <v>0</v>
      </c>
      <c r="F3359" s="1" t="s">
        <v>9685</v>
      </c>
      <c r="G3359" s="17">
        <v>80855</v>
      </c>
    </row>
    <row r="3360" spans="1:7">
      <c r="A3360" s="1" t="s">
        <v>9686</v>
      </c>
      <c r="B3360" s="1" t="s">
        <v>9687</v>
      </c>
      <c r="C3360">
        <f>(1-(B7/100))*227.9</f>
        <v>227.9</v>
      </c>
      <c r="D3360" s="1">
        <v>0</v>
      </c>
      <c r="E3360">
        <f>D3360*C3360</f>
        <v>0</v>
      </c>
      <c r="F3360" s="1" t="s">
        <v>9688</v>
      </c>
      <c r="G3360" s="17">
        <v>80856</v>
      </c>
    </row>
    <row r="3361" spans="1:7">
      <c r="A3361" s="1" t="s">
        <v>9689</v>
      </c>
      <c r="B3361" s="1" t="s">
        <v>9690</v>
      </c>
      <c r="C3361">
        <f>(1-(B7/100))*227.9</f>
        <v>227.9</v>
      </c>
      <c r="D3361" s="1">
        <v>0</v>
      </c>
      <c r="E3361">
        <f>D3361*C3361</f>
        <v>0</v>
      </c>
      <c r="F3361" s="1" t="s">
        <v>9691</v>
      </c>
      <c r="G3361" s="17">
        <v>80857</v>
      </c>
    </row>
    <row r="3362" spans="1:7">
      <c r="A3362" s="1" t="s">
        <v>9692</v>
      </c>
      <c r="B3362" s="1" t="s">
        <v>9693</v>
      </c>
      <c r="C3362">
        <f>(1-(B7/100))*342.52</f>
        <v>342.52</v>
      </c>
      <c r="D3362" s="1">
        <v>0</v>
      </c>
      <c r="E3362">
        <f>D3362*C3362</f>
        <v>0</v>
      </c>
      <c r="F3362" s="1" t="s">
        <v>9694</v>
      </c>
      <c r="G3362" s="17">
        <v>80859</v>
      </c>
    </row>
    <row r="3363" spans="1:7">
      <c r="A3363" s="1" t="s">
        <v>9695</v>
      </c>
      <c r="B3363" s="1" t="s">
        <v>9696</v>
      </c>
      <c r="C3363">
        <f>(1-(B7/100))*341.56</f>
        <v>341.56</v>
      </c>
      <c r="D3363" s="1">
        <v>0</v>
      </c>
      <c r="E3363">
        <f>D3363*C3363</f>
        <v>0</v>
      </c>
      <c r="F3363" s="1" t="s">
        <v>9697</v>
      </c>
      <c r="G3363" s="17">
        <v>80860</v>
      </c>
    </row>
    <row r="3364" spans="1:7">
      <c r="A3364" s="1" t="s">
        <v>9698</v>
      </c>
      <c r="B3364" s="1" t="s">
        <v>9699</v>
      </c>
      <c r="C3364">
        <f>(1-(B7/100))*492.96</f>
        <v>492.96</v>
      </c>
      <c r="D3364" s="1">
        <v>0</v>
      </c>
      <c r="E3364">
        <f>D3364*C3364</f>
        <v>0</v>
      </c>
      <c r="F3364" s="1" t="s">
        <v>9700</v>
      </c>
      <c r="G3364" s="17">
        <v>80862</v>
      </c>
    </row>
    <row r="3365" spans="1:7">
      <c r="A3365" s="1" t="s">
        <v>9701</v>
      </c>
      <c r="B3365" s="1" t="s">
        <v>9702</v>
      </c>
      <c r="C3365">
        <f>(1-(B7/100))*800</f>
        <v>800</v>
      </c>
      <c r="D3365" s="1">
        <v>0</v>
      </c>
      <c r="E3365">
        <f>D3365*C3365</f>
        <v>0</v>
      </c>
      <c r="F3365" s="1" t="s">
        <v>9703</v>
      </c>
      <c r="G3365" s="17">
        <v>80866</v>
      </c>
    </row>
    <row r="3366" spans="1:7">
      <c r="A3366" s="1" t="s">
        <v>9704</v>
      </c>
      <c r="B3366" s="1" t="s">
        <v>9705</v>
      </c>
      <c r="C3366">
        <f>(1-(B7/100))*1758.43</f>
        <v>1758.43</v>
      </c>
      <c r="D3366" s="1">
        <v>0</v>
      </c>
      <c r="E3366">
        <f>D3366*C3366</f>
        <v>0</v>
      </c>
      <c r="F3366" s="1" t="s">
        <v>9706</v>
      </c>
      <c r="G3366" s="17">
        <v>80867</v>
      </c>
    </row>
    <row r="3367" spans="1:7">
      <c r="A3367" s="1" t="s">
        <v>9707</v>
      </c>
      <c r="B3367" s="1" t="s">
        <v>9708</v>
      </c>
      <c r="C3367">
        <f>(1-(B7/100))*1760.26</f>
        <v>1760.26</v>
      </c>
      <c r="D3367" s="1">
        <v>0</v>
      </c>
      <c r="E3367">
        <f>D3367*C3367</f>
        <v>0</v>
      </c>
      <c r="F3367" s="1" t="s">
        <v>9709</v>
      </c>
      <c r="G3367" s="17">
        <v>80869</v>
      </c>
    </row>
    <row r="3368" spans="1:7">
      <c r="A3368" s="1" t="s">
        <v>9710</v>
      </c>
      <c r="B3368" s="1" t="s">
        <v>9711</v>
      </c>
      <c r="C3368">
        <f>(1-(B7/100))*212.78</f>
        <v>212.78</v>
      </c>
      <c r="D3368" s="1">
        <v>0</v>
      </c>
      <c r="E3368">
        <f>D3368*C3368</f>
        <v>0</v>
      </c>
      <c r="F3368" s="1" t="s">
        <v>9712</v>
      </c>
      <c r="G3368" s="17">
        <v>80872</v>
      </c>
    </row>
    <row r="3369" spans="1:7">
      <c r="A3369" s="1" t="s">
        <v>9713</v>
      </c>
      <c r="B3369" s="1" t="s">
        <v>9714</v>
      </c>
      <c r="C3369">
        <f>(1-(B7/100))*465.8</f>
        <v>465.8</v>
      </c>
      <c r="D3369" s="1">
        <v>0</v>
      </c>
      <c r="E3369">
        <f>D3369*C3369</f>
        <v>0</v>
      </c>
      <c r="F3369" s="1" t="s">
        <v>9715</v>
      </c>
      <c r="G3369" s="17">
        <v>80875</v>
      </c>
    </row>
    <row r="3370" spans="1:7">
      <c r="A3370" s="1" t="s">
        <v>9716</v>
      </c>
      <c r="B3370" s="1" t="s">
        <v>9717</v>
      </c>
      <c r="C3370">
        <f>(1-(B7/100))*343.41</f>
        <v>343.41</v>
      </c>
      <c r="D3370" s="1">
        <v>0</v>
      </c>
      <c r="E3370">
        <f>D3370*C3370</f>
        <v>0</v>
      </c>
      <c r="F3370" s="1" t="s">
        <v>9718</v>
      </c>
      <c r="G3370" s="17">
        <v>80876</v>
      </c>
    </row>
    <row r="3371" spans="1:7">
      <c r="A3371" s="1" t="s">
        <v>9719</v>
      </c>
      <c r="B3371" s="1" t="s">
        <v>9720</v>
      </c>
      <c r="C3371">
        <f>(1-(B7/100))*759.41</f>
        <v>759.41</v>
      </c>
      <c r="D3371" s="1">
        <v>0</v>
      </c>
      <c r="E3371">
        <f>D3371*C3371</f>
        <v>0</v>
      </c>
      <c r="F3371" s="1" t="s">
        <v>9721</v>
      </c>
      <c r="G3371" s="17">
        <v>80878</v>
      </c>
    </row>
    <row r="3372" spans="1:7">
      <c r="A3372" s="1" t="s">
        <v>9722</v>
      </c>
      <c r="B3372" s="1" t="s">
        <v>9723</v>
      </c>
      <c r="C3372">
        <f>(1-(B7/100))*448.48</f>
        <v>448.48</v>
      </c>
      <c r="D3372" s="1">
        <v>0</v>
      </c>
      <c r="E3372">
        <f>D3372*C3372</f>
        <v>0</v>
      </c>
      <c r="F3372" s="1" t="s">
        <v>9724</v>
      </c>
      <c r="G3372" s="17">
        <v>80882</v>
      </c>
    </row>
    <row r="3373" spans="1:7">
      <c r="A3373" s="1" t="s">
        <v>9725</v>
      </c>
      <c r="B3373" s="1" t="s">
        <v>9726</v>
      </c>
      <c r="C3373">
        <f>(1-(B7/100))*954.08</f>
        <v>954.08</v>
      </c>
      <c r="D3373" s="1">
        <v>0</v>
      </c>
      <c r="E3373">
        <f>D3373*C3373</f>
        <v>0</v>
      </c>
      <c r="F3373" s="1" t="s">
        <v>9727</v>
      </c>
      <c r="G3373" s="17">
        <v>80884</v>
      </c>
    </row>
    <row r="3374" spans="1:7">
      <c r="A3374" s="1" t="s">
        <v>9728</v>
      </c>
      <c r="B3374" s="1" t="s">
        <v>9729</v>
      </c>
      <c r="C3374">
        <f>(1-(B7/100))*473</f>
        <v>473</v>
      </c>
      <c r="D3374" s="1">
        <v>0</v>
      </c>
      <c r="E3374">
        <f>D3374*C3374</f>
        <v>0</v>
      </c>
      <c r="F3374" s="1" t="s">
        <v>9730</v>
      </c>
      <c r="G3374" s="17">
        <v>80889</v>
      </c>
    </row>
    <row r="3375" spans="1:7">
      <c r="A3375" s="1" t="s">
        <v>9731</v>
      </c>
      <c r="B3375" s="1" t="s">
        <v>9732</v>
      </c>
      <c r="C3375">
        <f>(1-(B7/100))*360.88</f>
        <v>360.88</v>
      </c>
      <c r="D3375" s="1">
        <v>0</v>
      </c>
      <c r="E3375">
        <f>D3375*C3375</f>
        <v>0</v>
      </c>
      <c r="F3375" s="1" t="s">
        <v>9733</v>
      </c>
      <c r="G3375" s="17">
        <v>80890</v>
      </c>
    </row>
    <row r="3376" spans="1:7">
      <c r="A3376" s="1" t="s">
        <v>9734</v>
      </c>
      <c r="B3376" s="1" t="s">
        <v>9735</v>
      </c>
      <c r="C3376">
        <f>(1-(B7/100))*384.34</f>
        <v>384.34</v>
      </c>
      <c r="D3376" s="1">
        <v>0</v>
      </c>
      <c r="E3376">
        <f>D3376*C3376</f>
        <v>0</v>
      </c>
      <c r="F3376" s="1" t="s">
        <v>9736</v>
      </c>
      <c r="G3376" s="17">
        <v>80891</v>
      </c>
    </row>
    <row r="3377" spans="1:7">
      <c r="A3377" s="1" t="s">
        <v>9737</v>
      </c>
      <c r="B3377" s="1" t="s">
        <v>9738</v>
      </c>
      <c r="C3377">
        <f>(1-(B7/100))*354.98</f>
        <v>354.98</v>
      </c>
      <c r="D3377" s="1">
        <v>0</v>
      </c>
      <c r="E3377">
        <f>D3377*C3377</f>
        <v>0</v>
      </c>
      <c r="F3377" s="1" t="s">
        <v>9739</v>
      </c>
      <c r="G3377" s="17">
        <v>80892</v>
      </c>
    </row>
    <row r="3378" spans="1:7">
      <c r="A3378" s="1" t="s">
        <v>9740</v>
      </c>
      <c r="B3378" s="1" t="s">
        <v>9741</v>
      </c>
      <c r="C3378">
        <f>(1-(B7/100))*354.06</f>
        <v>354.06</v>
      </c>
      <c r="D3378" s="1">
        <v>0</v>
      </c>
      <c r="E3378">
        <f>D3378*C3378</f>
        <v>0</v>
      </c>
      <c r="F3378" s="1" t="s">
        <v>9742</v>
      </c>
      <c r="G3378" s="17">
        <v>80893</v>
      </c>
    </row>
    <row r="3379" spans="1:7">
      <c r="A3379" s="1" t="s">
        <v>9743</v>
      </c>
      <c r="B3379" s="1" t="s">
        <v>9744</v>
      </c>
      <c r="C3379">
        <f>(1-(B7/100))*373.53</f>
        <v>373.53</v>
      </c>
      <c r="D3379" s="1">
        <v>0</v>
      </c>
      <c r="E3379">
        <f>D3379*C3379</f>
        <v>0</v>
      </c>
      <c r="F3379" s="1" t="s">
        <v>9745</v>
      </c>
      <c r="G3379" s="17">
        <v>80895</v>
      </c>
    </row>
    <row r="3380" spans="1:7">
      <c r="A3380" s="1" t="s">
        <v>9746</v>
      </c>
      <c r="B3380" s="1" t="s">
        <v>9747</v>
      </c>
      <c r="C3380">
        <f>(1-(B7/100))*401.39</f>
        <v>401.39</v>
      </c>
      <c r="D3380" s="1">
        <v>0</v>
      </c>
      <c r="E3380">
        <f>D3380*C3380</f>
        <v>0</v>
      </c>
      <c r="F3380" s="1" t="s">
        <v>9748</v>
      </c>
      <c r="G3380" s="17">
        <v>80896</v>
      </c>
    </row>
    <row r="3381" spans="1:7">
      <c r="A3381" s="1" t="s">
        <v>9749</v>
      </c>
      <c r="B3381" s="1" t="s">
        <v>9750</v>
      </c>
      <c r="C3381">
        <f>(1-(B7/100))*169.14</f>
        <v>169.14</v>
      </c>
      <c r="D3381" s="1">
        <v>0</v>
      </c>
      <c r="E3381">
        <f>D3381*C3381</f>
        <v>0</v>
      </c>
      <c r="F3381" s="1" t="s">
        <v>9751</v>
      </c>
      <c r="G3381" s="17">
        <v>80901</v>
      </c>
    </row>
    <row r="3382" spans="1:7">
      <c r="A3382" s="1" t="s">
        <v>9752</v>
      </c>
      <c r="B3382" s="1" t="s">
        <v>9753</v>
      </c>
      <c r="C3382">
        <f>(1-(B7/100))*63.85</f>
        <v>63.85</v>
      </c>
      <c r="D3382" s="1">
        <v>0</v>
      </c>
      <c r="E3382">
        <f>D3382*C3382</f>
        <v>0</v>
      </c>
      <c r="F3382" s="1" t="s">
        <v>9754</v>
      </c>
      <c r="G3382" s="17">
        <v>80903</v>
      </c>
    </row>
    <row r="3383" spans="1:7">
      <c r="A3383" s="1" t="s">
        <v>9755</v>
      </c>
      <c r="B3383" s="1" t="s">
        <v>9756</v>
      </c>
      <c r="C3383">
        <f>(1-(B7/100))*7.3</f>
        <v>7.3</v>
      </c>
      <c r="D3383" s="1">
        <v>0</v>
      </c>
      <c r="E3383">
        <f>D3383*C3383</f>
        <v>0</v>
      </c>
      <c r="F3383" s="1" t="s">
        <v>9757</v>
      </c>
      <c r="G3383" s="17">
        <v>80905</v>
      </c>
    </row>
    <row r="3384" spans="1:7">
      <c r="A3384" s="1" t="s">
        <v>9758</v>
      </c>
      <c r="B3384" s="1" t="s">
        <v>9759</v>
      </c>
      <c r="C3384">
        <f>(1-(B7/100))*83.27</f>
        <v>83.27</v>
      </c>
      <c r="D3384" s="1">
        <v>0</v>
      </c>
      <c r="E3384">
        <f>D3384*C3384</f>
        <v>0</v>
      </c>
      <c r="F3384" s="1" t="s">
        <v>9760</v>
      </c>
      <c r="G3384" s="17">
        <v>80906</v>
      </c>
    </row>
    <row r="3385" spans="1:7">
      <c r="A3385" s="1" t="s">
        <v>9761</v>
      </c>
      <c r="B3385" s="1" t="s">
        <v>9762</v>
      </c>
      <c r="C3385">
        <f>(1-(B7/100))*875.77</f>
        <v>875.77</v>
      </c>
      <c r="D3385" s="1">
        <v>0</v>
      </c>
      <c r="E3385">
        <f>D3385*C3385</f>
        <v>0</v>
      </c>
      <c r="F3385" s="1" t="s">
        <v>9763</v>
      </c>
      <c r="G3385" s="17">
        <v>80909</v>
      </c>
    </row>
    <row r="3386" spans="1:7">
      <c r="A3386" s="1" t="s">
        <v>9764</v>
      </c>
      <c r="B3386" s="1" t="s">
        <v>9765</v>
      </c>
      <c r="C3386">
        <f>(1-(B7/100))*21.97</f>
        <v>21.97</v>
      </c>
      <c r="D3386" s="1">
        <v>0</v>
      </c>
      <c r="E3386">
        <f>D3386*C3386</f>
        <v>0</v>
      </c>
      <c r="F3386" s="1" t="s">
        <v>9766</v>
      </c>
      <c r="G3386" s="17">
        <v>80910</v>
      </c>
    </row>
    <row r="3387" spans="1:7">
      <c r="A3387" s="1" t="s">
        <v>9767</v>
      </c>
      <c r="B3387" s="1" t="s">
        <v>9768</v>
      </c>
      <c r="C3387">
        <f>(1-(B7/100))*371.69</f>
        <v>371.69</v>
      </c>
      <c r="D3387" s="1">
        <v>0</v>
      </c>
      <c r="E3387">
        <f>D3387*C3387</f>
        <v>0</v>
      </c>
      <c r="F3387" s="1" t="s">
        <v>9769</v>
      </c>
      <c r="G3387" s="17">
        <v>80914</v>
      </c>
    </row>
    <row r="3388" spans="1:7">
      <c r="A3388" s="1" t="s">
        <v>9770</v>
      </c>
      <c r="B3388" s="1" t="s">
        <v>9771</v>
      </c>
      <c r="C3388">
        <f>(1-(B7/100))*158.27</f>
        <v>158.27</v>
      </c>
      <c r="D3388" s="1">
        <v>0</v>
      </c>
      <c r="E3388">
        <f>D3388*C3388</f>
        <v>0</v>
      </c>
      <c r="F3388" s="1" t="s">
        <v>9772</v>
      </c>
      <c r="G3388" s="17">
        <v>80917</v>
      </c>
    </row>
    <row r="3389" spans="1:7">
      <c r="A3389" s="1" t="s">
        <v>9773</v>
      </c>
      <c r="B3389" s="1" t="s">
        <v>9774</v>
      </c>
      <c r="C3389">
        <f>(1-(B7/100))*212.96</f>
        <v>212.96</v>
      </c>
      <c r="D3389" s="1">
        <v>0</v>
      </c>
      <c r="E3389">
        <f>D3389*C3389</f>
        <v>0</v>
      </c>
      <c r="F3389" s="1" t="s">
        <v>9775</v>
      </c>
      <c r="G3389" s="17">
        <v>80918</v>
      </c>
    </row>
    <row r="3390" spans="1:7">
      <c r="A3390" s="1" t="s">
        <v>9776</v>
      </c>
      <c r="B3390" s="1" t="s">
        <v>9777</v>
      </c>
      <c r="C3390">
        <f>(1-(B7/100))*237.1</f>
        <v>237.1</v>
      </c>
      <c r="D3390" s="1">
        <v>0</v>
      </c>
      <c r="E3390">
        <f>D3390*C3390</f>
        <v>0</v>
      </c>
      <c r="F3390" s="1" t="s">
        <v>9778</v>
      </c>
      <c r="G3390" s="17">
        <v>80920</v>
      </c>
    </row>
    <row r="3391" spans="1:7">
      <c r="A3391" s="1" t="s">
        <v>9779</v>
      </c>
      <c r="B3391" s="1" t="s">
        <v>9780</v>
      </c>
      <c r="C3391">
        <f>(1-(B7/100))*412.43</f>
        <v>412.43</v>
      </c>
      <c r="D3391" s="1">
        <v>0</v>
      </c>
      <c r="E3391">
        <f>D3391*C3391</f>
        <v>0</v>
      </c>
      <c r="F3391" s="1" t="s">
        <v>9781</v>
      </c>
      <c r="G3391" s="17">
        <v>80921</v>
      </c>
    </row>
    <row r="3392" spans="1:7">
      <c r="A3392" s="1" t="s">
        <v>9782</v>
      </c>
      <c r="B3392" s="1" t="s">
        <v>9783</v>
      </c>
      <c r="C3392">
        <f>(1-(B7/100))*811.83</f>
        <v>811.83</v>
      </c>
      <c r="D3392" s="1">
        <v>0</v>
      </c>
      <c r="E3392">
        <f>D3392*C3392</f>
        <v>0</v>
      </c>
      <c r="F3392" s="1" t="s">
        <v>9784</v>
      </c>
      <c r="G3392" s="17">
        <v>80923</v>
      </c>
    </row>
    <row r="3393" spans="1:7">
      <c r="A3393" s="1" t="s">
        <v>9785</v>
      </c>
      <c r="B3393" s="1" t="s">
        <v>9786</v>
      </c>
      <c r="C3393">
        <f>(1-(B7/100))*367.43</f>
        <v>367.43</v>
      </c>
      <c r="D3393" s="1">
        <v>0</v>
      </c>
      <c r="E3393">
        <f>D3393*C3393</f>
        <v>0</v>
      </c>
      <c r="F3393" s="1" t="s">
        <v>9787</v>
      </c>
      <c r="G3393" s="17">
        <v>80926</v>
      </c>
    </row>
    <row r="3394" spans="1:7">
      <c r="A3394" s="1" t="s">
        <v>9788</v>
      </c>
      <c r="B3394" s="1" t="s">
        <v>9789</v>
      </c>
      <c r="C3394">
        <f>(1-(B7/100))*295.72</f>
        <v>295.72</v>
      </c>
      <c r="D3394" s="1">
        <v>0</v>
      </c>
      <c r="E3394">
        <f>D3394*C3394</f>
        <v>0</v>
      </c>
      <c r="F3394" s="1" t="s">
        <v>9790</v>
      </c>
      <c r="G3394" s="17">
        <v>80928</v>
      </c>
    </row>
    <row r="3395" spans="1:7">
      <c r="A3395" s="1" t="s">
        <v>9791</v>
      </c>
      <c r="B3395" s="1" t="s">
        <v>9792</v>
      </c>
      <c r="C3395">
        <f>(1-(B7/100))*458.48</f>
        <v>458.48</v>
      </c>
      <c r="D3395" s="1">
        <v>0</v>
      </c>
      <c r="E3395">
        <f>D3395*C3395</f>
        <v>0</v>
      </c>
      <c r="F3395" s="1" t="s">
        <v>9793</v>
      </c>
      <c r="G3395" s="17">
        <v>80931</v>
      </c>
    </row>
    <row r="3396" spans="1:7">
      <c r="A3396" s="1" t="s">
        <v>9794</v>
      </c>
      <c r="B3396" s="1" t="s">
        <v>9795</v>
      </c>
      <c r="C3396">
        <f>(1-(B7/100))*95.79</f>
        <v>95.79</v>
      </c>
      <c r="D3396" s="1">
        <v>0</v>
      </c>
      <c r="E3396">
        <f>D3396*C3396</f>
        <v>0</v>
      </c>
      <c r="F3396" s="1" t="s">
        <v>9796</v>
      </c>
      <c r="G3396" s="17">
        <v>80932</v>
      </c>
    </row>
    <row r="3397" spans="1:7">
      <c r="A3397" s="1" t="s">
        <v>9797</v>
      </c>
      <c r="B3397" s="1" t="s">
        <v>9798</v>
      </c>
      <c r="C3397">
        <f>(1-(B7/100))*103.02</f>
        <v>103.02</v>
      </c>
      <c r="D3397" s="1">
        <v>0</v>
      </c>
      <c r="E3397">
        <f>D3397*C3397</f>
        <v>0</v>
      </c>
      <c r="F3397" s="1" t="s">
        <v>9799</v>
      </c>
      <c r="G3397" s="17">
        <v>80934</v>
      </c>
    </row>
    <row r="3398" spans="1:7">
      <c r="A3398" s="1" t="s">
        <v>9800</v>
      </c>
      <c r="B3398" s="1" t="s">
        <v>9801</v>
      </c>
      <c r="C3398">
        <f>(1-(B7/100))*54.88</f>
        <v>54.88</v>
      </c>
      <c r="D3398" s="1">
        <v>0</v>
      </c>
      <c r="E3398">
        <f>D3398*C3398</f>
        <v>0</v>
      </c>
      <c r="F3398" s="1" t="s">
        <v>9802</v>
      </c>
      <c r="G3398" s="17">
        <v>80938</v>
      </c>
    </row>
    <row r="3399" spans="1:7">
      <c r="A3399" s="1" t="s">
        <v>9803</v>
      </c>
      <c r="B3399" s="1" t="s">
        <v>9804</v>
      </c>
      <c r="C3399">
        <f>(1-(B7/100))*59.3</f>
        <v>59.3</v>
      </c>
      <c r="D3399" s="1">
        <v>0</v>
      </c>
      <c r="E3399">
        <f>D3399*C3399</f>
        <v>0</v>
      </c>
      <c r="F3399" s="1" t="s">
        <v>9805</v>
      </c>
      <c r="G3399" s="17">
        <v>80939</v>
      </c>
    </row>
    <row r="3400" spans="1:7">
      <c r="A3400" s="1" t="s">
        <v>9806</v>
      </c>
      <c r="B3400" s="1" t="s">
        <v>9807</v>
      </c>
      <c r="C3400">
        <f>(1-(B7/100))*420.3</f>
        <v>420.3</v>
      </c>
      <c r="D3400" s="1">
        <v>0</v>
      </c>
      <c r="E3400">
        <f>D3400*C3400</f>
        <v>0</v>
      </c>
      <c r="F3400" s="1" t="s">
        <v>9808</v>
      </c>
      <c r="G3400" s="17">
        <v>80947</v>
      </c>
    </row>
    <row r="3401" spans="1:7">
      <c r="A3401" s="1" t="s">
        <v>9809</v>
      </c>
      <c r="B3401" s="1" t="s">
        <v>9810</v>
      </c>
      <c r="C3401">
        <f>(1-(B7/100))*372.33</f>
        <v>372.33</v>
      </c>
      <c r="D3401" s="1">
        <v>0</v>
      </c>
      <c r="E3401">
        <f>D3401*C3401</f>
        <v>0</v>
      </c>
      <c r="F3401" s="1" t="s">
        <v>9811</v>
      </c>
      <c r="G3401" s="17">
        <v>80948</v>
      </c>
    </row>
    <row r="3402" spans="1:7">
      <c r="A3402" s="1" t="s">
        <v>9812</v>
      </c>
      <c r="B3402" s="1" t="s">
        <v>9813</v>
      </c>
      <c r="C3402">
        <f>(1-(B7/100))*440.87</f>
        <v>440.87</v>
      </c>
      <c r="D3402" s="1">
        <v>0</v>
      </c>
      <c r="E3402">
        <f>D3402*C3402</f>
        <v>0</v>
      </c>
      <c r="F3402" s="1" t="s">
        <v>9814</v>
      </c>
      <c r="G3402" s="17">
        <v>80949</v>
      </c>
    </row>
    <row r="3403" spans="1:7">
      <c r="A3403" s="1" t="s">
        <v>9815</v>
      </c>
      <c r="B3403" s="1" t="s">
        <v>9816</v>
      </c>
      <c r="C3403">
        <f>(1-(B7/100))*372.33</f>
        <v>372.33</v>
      </c>
      <c r="D3403" s="1">
        <v>0</v>
      </c>
      <c r="E3403">
        <f>D3403*C3403</f>
        <v>0</v>
      </c>
      <c r="F3403" s="1" t="s">
        <v>9817</v>
      </c>
      <c r="G3403" s="17">
        <v>80950</v>
      </c>
    </row>
    <row r="3404" spans="1:7">
      <c r="A3404" s="1" t="s">
        <v>9818</v>
      </c>
      <c r="B3404" s="1" t="s">
        <v>9819</v>
      </c>
      <c r="C3404">
        <f>(1-(B7/100))*461.33</f>
        <v>461.33</v>
      </c>
      <c r="D3404" s="1">
        <v>0</v>
      </c>
      <c r="E3404">
        <f>D3404*C3404</f>
        <v>0</v>
      </c>
      <c r="F3404" s="1" t="s">
        <v>9820</v>
      </c>
      <c r="G3404" s="17">
        <v>80952</v>
      </c>
    </row>
    <row r="3405" spans="1:7">
      <c r="A3405" s="1" t="s">
        <v>9821</v>
      </c>
      <c r="B3405" s="1" t="s">
        <v>9822</v>
      </c>
      <c r="C3405">
        <f>(1-(B7/100))*372.33</f>
        <v>372.33</v>
      </c>
      <c r="D3405" s="1">
        <v>0</v>
      </c>
      <c r="E3405">
        <f>D3405*C3405</f>
        <v>0</v>
      </c>
      <c r="F3405" s="1" t="s">
        <v>9823</v>
      </c>
      <c r="G3405" s="17">
        <v>80953</v>
      </c>
    </row>
    <row r="3406" spans="1:7">
      <c r="A3406" s="1" t="s">
        <v>9824</v>
      </c>
      <c r="B3406" s="1" t="s">
        <v>9825</v>
      </c>
      <c r="C3406">
        <f>(1-(B7/100))*451.1</f>
        <v>451.1</v>
      </c>
      <c r="D3406" s="1">
        <v>0</v>
      </c>
      <c r="E3406">
        <f>D3406*C3406</f>
        <v>0</v>
      </c>
      <c r="F3406" s="1" t="s">
        <v>9826</v>
      </c>
      <c r="G3406" s="17">
        <v>80955</v>
      </c>
    </row>
    <row r="3407" spans="1:7">
      <c r="A3407" s="1" t="s">
        <v>9827</v>
      </c>
      <c r="B3407" s="1" t="s">
        <v>9828</v>
      </c>
      <c r="C3407">
        <f>(1-(B7/100))*372.33</f>
        <v>372.33</v>
      </c>
      <c r="D3407" s="1">
        <v>0</v>
      </c>
      <c r="E3407">
        <f>D3407*C3407</f>
        <v>0</v>
      </c>
      <c r="F3407" s="1" t="s">
        <v>9829</v>
      </c>
      <c r="G3407" s="17">
        <v>80956</v>
      </c>
    </row>
    <row r="3408" spans="1:7">
      <c r="A3408" s="1" t="s">
        <v>9830</v>
      </c>
      <c r="B3408" s="1" t="s">
        <v>9831</v>
      </c>
      <c r="C3408">
        <f>(1-(B7/100))*372.33</f>
        <v>372.33</v>
      </c>
      <c r="D3408" s="1">
        <v>0</v>
      </c>
      <c r="E3408">
        <f>D3408*C3408</f>
        <v>0</v>
      </c>
      <c r="F3408" s="1" t="s">
        <v>9832</v>
      </c>
      <c r="G3408" s="17">
        <v>80957</v>
      </c>
    </row>
    <row r="3409" spans="1:7">
      <c r="A3409" s="1" t="s">
        <v>9833</v>
      </c>
      <c r="B3409" s="1" t="s">
        <v>9834</v>
      </c>
      <c r="C3409">
        <f>(1-(B7/100))*372.33</f>
        <v>372.33</v>
      </c>
      <c r="D3409" s="1">
        <v>0</v>
      </c>
      <c r="E3409">
        <f>D3409*C3409</f>
        <v>0</v>
      </c>
      <c r="F3409" s="1" t="s">
        <v>9835</v>
      </c>
      <c r="G3409" s="17">
        <v>80958</v>
      </c>
    </row>
    <row r="3410" spans="1:7">
      <c r="A3410" s="1" t="s">
        <v>9836</v>
      </c>
      <c r="B3410" s="1" t="s">
        <v>9837</v>
      </c>
      <c r="C3410">
        <f>(1-(B7/100))*184.64</f>
        <v>184.64</v>
      </c>
      <c r="D3410" s="1">
        <v>0</v>
      </c>
      <c r="E3410">
        <f>D3410*C3410</f>
        <v>0</v>
      </c>
      <c r="F3410" s="1" t="s">
        <v>9838</v>
      </c>
      <c r="G3410" s="17">
        <v>80966</v>
      </c>
    </row>
    <row r="3411" spans="1:7">
      <c r="A3411" s="1" t="s">
        <v>9839</v>
      </c>
      <c r="B3411" s="1" t="s">
        <v>9840</v>
      </c>
      <c r="C3411">
        <f>(1-(B7/100))*86.97</f>
        <v>86.97</v>
      </c>
      <c r="D3411" s="1">
        <v>0</v>
      </c>
      <c r="E3411">
        <f>D3411*C3411</f>
        <v>0</v>
      </c>
      <c r="F3411" s="1" t="s">
        <v>9841</v>
      </c>
      <c r="G3411" s="17">
        <v>80969</v>
      </c>
    </row>
    <row r="3412" spans="1:7">
      <c r="A3412" s="1" t="s">
        <v>9842</v>
      </c>
      <c r="B3412" s="1" t="s">
        <v>9843</v>
      </c>
      <c r="C3412">
        <f>(1-(B7/100))*43.96</f>
        <v>43.96</v>
      </c>
      <c r="D3412" s="1">
        <v>0</v>
      </c>
      <c r="E3412">
        <f>D3412*C3412</f>
        <v>0</v>
      </c>
      <c r="F3412" s="1" t="s">
        <v>9844</v>
      </c>
      <c r="G3412" s="17">
        <v>80971</v>
      </c>
    </row>
    <row r="3413" spans="1:7">
      <c r="A3413" s="1" t="s">
        <v>9845</v>
      </c>
      <c r="B3413" s="1" t="s">
        <v>9846</v>
      </c>
      <c r="C3413">
        <f>(1-(B7/100))*228.43</f>
        <v>228.43</v>
      </c>
      <c r="D3413" s="1">
        <v>0</v>
      </c>
      <c r="E3413">
        <f>D3413*C3413</f>
        <v>0</v>
      </c>
      <c r="F3413" s="1" t="s">
        <v>9847</v>
      </c>
      <c r="G3413" s="17">
        <v>80973</v>
      </c>
    </row>
    <row r="3414" spans="1:7">
      <c r="A3414" s="1" t="s">
        <v>9848</v>
      </c>
      <c r="B3414" s="1" t="s">
        <v>9849</v>
      </c>
      <c r="C3414">
        <f>(1-(B7/100))*196.12</f>
        <v>196.12</v>
      </c>
      <c r="D3414" s="1">
        <v>0</v>
      </c>
      <c r="E3414">
        <f>D3414*C3414</f>
        <v>0</v>
      </c>
      <c r="F3414" s="1" t="s">
        <v>9850</v>
      </c>
      <c r="G3414" s="17">
        <v>80974</v>
      </c>
    </row>
    <row r="3415" spans="1:7">
      <c r="A3415" s="1" t="s">
        <v>9851</v>
      </c>
      <c r="B3415" s="1" t="s">
        <v>9852</v>
      </c>
      <c r="C3415">
        <f>(1-(B7/100))*198.13</f>
        <v>198.13</v>
      </c>
      <c r="D3415" s="1">
        <v>0</v>
      </c>
      <c r="E3415">
        <f>D3415*C3415</f>
        <v>0</v>
      </c>
      <c r="F3415" s="1" t="s">
        <v>9853</v>
      </c>
      <c r="G3415" s="17">
        <v>80988</v>
      </c>
    </row>
    <row r="3416" spans="1:7">
      <c r="A3416" s="1" t="s">
        <v>9854</v>
      </c>
      <c r="B3416" s="1" t="s">
        <v>9855</v>
      </c>
      <c r="C3416">
        <f>(1-(B7/100))*130.12</f>
        <v>130.12</v>
      </c>
      <c r="D3416" s="1">
        <v>0</v>
      </c>
      <c r="E3416">
        <f>D3416*C3416</f>
        <v>0</v>
      </c>
      <c r="F3416" s="1" t="s">
        <v>9856</v>
      </c>
      <c r="G3416" s="17">
        <v>80992</v>
      </c>
    </row>
    <row r="3417" spans="1:7">
      <c r="A3417" s="1" t="s">
        <v>9857</v>
      </c>
      <c r="B3417" s="1" t="s">
        <v>9858</v>
      </c>
      <c r="C3417">
        <f>(1-(B7/100))*159.66</f>
        <v>159.66</v>
      </c>
      <c r="D3417" s="1">
        <v>0</v>
      </c>
      <c r="E3417">
        <f>D3417*C3417</f>
        <v>0</v>
      </c>
      <c r="F3417" s="1" t="s">
        <v>9859</v>
      </c>
      <c r="G3417" s="17">
        <v>80996</v>
      </c>
    </row>
    <row r="3418" spans="1:7">
      <c r="A3418" s="1" t="s">
        <v>9860</v>
      </c>
      <c r="B3418" s="1" t="s">
        <v>9861</v>
      </c>
      <c r="C3418">
        <f>(1-(B7/100))*1177.06</f>
        <v>1177.06</v>
      </c>
      <c r="D3418" s="1">
        <v>0</v>
      </c>
      <c r="E3418">
        <f>D3418*C3418</f>
        <v>0</v>
      </c>
      <c r="F3418" s="1" t="s">
        <v>9862</v>
      </c>
      <c r="G3418" s="17">
        <v>80999</v>
      </c>
    </row>
    <row r="3419" spans="1:7">
      <c r="A3419" s="1" t="s">
        <v>9863</v>
      </c>
      <c r="B3419" s="1" t="s">
        <v>9864</v>
      </c>
      <c r="C3419">
        <f>(1-(B7/100))*43.63</f>
        <v>43.63</v>
      </c>
      <c r="D3419" s="1">
        <v>0</v>
      </c>
      <c r="E3419">
        <f>D3419*C3419</f>
        <v>0</v>
      </c>
      <c r="F3419" s="1" t="s">
        <v>9865</v>
      </c>
      <c r="G3419" s="17">
        <v>81004</v>
      </c>
    </row>
    <row r="3420" spans="1:7">
      <c r="A3420" s="1" t="s">
        <v>9866</v>
      </c>
      <c r="B3420" s="1" t="s">
        <v>9867</v>
      </c>
      <c r="C3420">
        <f>(1-(B7/100))*704.06</f>
        <v>704.06</v>
      </c>
      <c r="D3420" s="1">
        <v>0</v>
      </c>
      <c r="E3420">
        <f>D3420*C3420</f>
        <v>0</v>
      </c>
      <c r="F3420" s="1" t="s">
        <v>9868</v>
      </c>
      <c r="G3420" s="17">
        <v>81005</v>
      </c>
    </row>
    <row r="3421" spans="1:7">
      <c r="A3421" s="1" t="s">
        <v>9869</v>
      </c>
      <c r="B3421" s="1" t="s">
        <v>9870</v>
      </c>
      <c r="C3421">
        <f>(1-(B7/100))*761.28</f>
        <v>761.28</v>
      </c>
      <c r="D3421" s="1">
        <v>0</v>
      </c>
      <c r="E3421">
        <f>D3421*C3421</f>
        <v>0</v>
      </c>
      <c r="F3421" s="1" t="s">
        <v>9871</v>
      </c>
      <c r="G3421" s="17">
        <v>81006</v>
      </c>
    </row>
    <row r="3422" spans="1:7">
      <c r="A3422" s="1" t="s">
        <v>9872</v>
      </c>
      <c r="B3422" s="1" t="s">
        <v>9873</v>
      </c>
      <c r="C3422">
        <f>(1-(B7/100))*171.28</f>
        <v>171.28</v>
      </c>
      <c r="D3422" s="1">
        <v>0</v>
      </c>
      <c r="E3422">
        <f>D3422*C3422</f>
        <v>0</v>
      </c>
      <c r="F3422" s="1" t="s">
        <v>9874</v>
      </c>
      <c r="G3422" s="17">
        <v>81009</v>
      </c>
    </row>
    <row r="3423" spans="1:7">
      <c r="A3423" s="1" t="s">
        <v>9875</v>
      </c>
      <c r="B3423" s="1" t="s">
        <v>9876</v>
      </c>
      <c r="C3423">
        <f>(1-(B7/100))*44.9</f>
        <v>44.9</v>
      </c>
      <c r="D3423" s="1">
        <v>0</v>
      </c>
      <c r="E3423">
        <f>D3423*C3423</f>
        <v>0</v>
      </c>
      <c r="F3423" s="1" t="s">
        <v>9877</v>
      </c>
      <c r="G3423" s="17">
        <v>81016</v>
      </c>
    </row>
    <row r="3424" spans="1:7">
      <c r="A3424" s="1" t="s">
        <v>9878</v>
      </c>
      <c r="B3424" s="1" t="s">
        <v>9879</v>
      </c>
      <c r="C3424">
        <f>(1-(B7/100))*902.05</f>
        <v>902.05</v>
      </c>
      <c r="D3424" s="1">
        <v>0</v>
      </c>
      <c r="E3424">
        <f>D3424*C3424</f>
        <v>0</v>
      </c>
      <c r="F3424" s="1" t="s">
        <v>9880</v>
      </c>
      <c r="G3424" s="17">
        <v>81021</v>
      </c>
    </row>
    <row r="3425" spans="1:7">
      <c r="A3425" s="1" t="s">
        <v>9881</v>
      </c>
      <c r="B3425" s="1" t="s">
        <v>9882</v>
      </c>
      <c r="C3425">
        <f>(1-(B7/100))*157.57</f>
        <v>157.57</v>
      </c>
      <c r="D3425" s="1">
        <v>0</v>
      </c>
      <c r="E3425">
        <f>D3425*C3425</f>
        <v>0</v>
      </c>
      <c r="F3425" s="1" t="s">
        <v>9883</v>
      </c>
      <c r="G3425" s="17">
        <v>81032</v>
      </c>
    </row>
    <row r="3426" spans="1:7">
      <c r="A3426" s="1" t="s">
        <v>9884</v>
      </c>
      <c r="B3426" s="1" t="s">
        <v>9885</v>
      </c>
      <c r="C3426">
        <f>(1-(B7/100))*2081.87</f>
        <v>2081.87</v>
      </c>
      <c r="D3426" s="1">
        <v>0</v>
      </c>
      <c r="E3426">
        <f>D3426*C3426</f>
        <v>0</v>
      </c>
      <c r="F3426" s="1" t="s">
        <v>9886</v>
      </c>
      <c r="G3426" s="17">
        <v>81042</v>
      </c>
    </row>
    <row r="3427" spans="1:7">
      <c r="A3427" s="1" t="s">
        <v>9887</v>
      </c>
      <c r="B3427" s="1" t="s">
        <v>9888</v>
      </c>
      <c r="C3427">
        <f>(1-(B7/100))*2554.14</f>
        <v>2554.14</v>
      </c>
      <c r="D3427" s="1">
        <v>0</v>
      </c>
      <c r="E3427">
        <f>D3427*C3427</f>
        <v>0</v>
      </c>
      <c r="F3427" s="1" t="s">
        <v>9889</v>
      </c>
      <c r="G3427" s="17">
        <v>81043</v>
      </c>
    </row>
    <row r="3428" spans="1:7">
      <c r="A3428" s="1" t="s">
        <v>9890</v>
      </c>
      <c r="B3428" s="1" t="s">
        <v>9891</v>
      </c>
      <c r="C3428">
        <f>(1-(B7/100))*1973.21</f>
        <v>1973.21</v>
      </c>
      <c r="D3428" s="1">
        <v>0</v>
      </c>
      <c r="E3428">
        <f>D3428*C3428</f>
        <v>0</v>
      </c>
      <c r="F3428" s="1" t="s">
        <v>9892</v>
      </c>
      <c r="G3428" s="17">
        <v>81047</v>
      </c>
    </row>
    <row r="3429" spans="1:7">
      <c r="A3429" s="1" t="s">
        <v>9893</v>
      </c>
      <c r="B3429" s="1" t="s">
        <v>9894</v>
      </c>
      <c r="C3429">
        <f>(1-(B7/100))*1691.62</f>
        <v>1691.62</v>
      </c>
      <c r="D3429" s="1">
        <v>0</v>
      </c>
      <c r="E3429">
        <f>D3429*C3429</f>
        <v>0</v>
      </c>
      <c r="F3429" s="1" t="s">
        <v>9895</v>
      </c>
      <c r="G3429" s="17">
        <v>81054</v>
      </c>
    </row>
    <row r="3430" spans="1:7">
      <c r="A3430" s="1" t="s">
        <v>9896</v>
      </c>
      <c r="B3430" s="1" t="s">
        <v>9897</v>
      </c>
      <c r="C3430">
        <f>(1-(B7/100))*6529.16</f>
        <v>6529.16</v>
      </c>
      <c r="D3430" s="1">
        <v>0</v>
      </c>
      <c r="E3430">
        <f>D3430*C3430</f>
        <v>0</v>
      </c>
      <c r="F3430" s="1" t="s">
        <v>9898</v>
      </c>
      <c r="G3430" s="17">
        <v>81057</v>
      </c>
    </row>
    <row r="3431" spans="1:7">
      <c r="A3431" s="1" t="s">
        <v>9899</v>
      </c>
      <c r="B3431" s="1" t="s">
        <v>9900</v>
      </c>
      <c r="C3431">
        <f>(1-(B7/100))*1845.4</f>
        <v>1845.4</v>
      </c>
      <c r="D3431" s="1">
        <v>0</v>
      </c>
      <c r="E3431">
        <f>D3431*C3431</f>
        <v>0</v>
      </c>
      <c r="F3431" s="1" t="s">
        <v>9901</v>
      </c>
      <c r="G3431" s="17">
        <v>81058</v>
      </c>
    </row>
    <row r="3432" spans="1:7">
      <c r="A3432" s="1" t="s">
        <v>9902</v>
      </c>
      <c r="B3432" s="1" t="s">
        <v>9903</v>
      </c>
      <c r="C3432">
        <f>(1-(B7/100))*2341.82</f>
        <v>2341.82</v>
      </c>
      <c r="D3432" s="1">
        <v>0</v>
      </c>
      <c r="E3432">
        <f>D3432*C3432</f>
        <v>0</v>
      </c>
      <c r="F3432" s="1" t="s">
        <v>9904</v>
      </c>
      <c r="G3432" s="17">
        <v>81062</v>
      </c>
    </row>
    <row r="3433" spans="1:7">
      <c r="A3433" s="1" t="s">
        <v>9905</v>
      </c>
      <c r="B3433" s="1" t="s">
        <v>9906</v>
      </c>
      <c r="C3433">
        <f>(1-(B7/100))*1785.4</f>
        <v>1785.4</v>
      </c>
      <c r="D3433" s="1">
        <v>0</v>
      </c>
      <c r="E3433">
        <f>D3433*C3433</f>
        <v>0</v>
      </c>
      <c r="F3433" s="1" t="s">
        <v>9907</v>
      </c>
      <c r="G3433" s="17">
        <v>81065</v>
      </c>
    </row>
    <row r="3434" spans="1:7">
      <c r="A3434" s="1" t="s">
        <v>9908</v>
      </c>
      <c r="B3434" s="1" t="s">
        <v>9909</v>
      </c>
      <c r="C3434">
        <f>(1-(B7/100))*2027.53</f>
        <v>2027.53</v>
      </c>
      <c r="D3434" s="1">
        <v>0</v>
      </c>
      <c r="E3434">
        <f>D3434*C3434</f>
        <v>0</v>
      </c>
      <c r="F3434" s="1" t="s">
        <v>9910</v>
      </c>
      <c r="G3434" s="17">
        <v>81066</v>
      </c>
    </row>
    <row r="3435" spans="1:7">
      <c r="A3435" s="1" t="s">
        <v>9911</v>
      </c>
      <c r="B3435" s="1" t="s">
        <v>9912</v>
      </c>
      <c r="C3435">
        <f>(1-(B7/100))*1308</f>
        <v>1308</v>
      </c>
      <c r="D3435" s="1">
        <v>0</v>
      </c>
      <c r="E3435">
        <f>D3435*C3435</f>
        <v>0</v>
      </c>
      <c r="F3435" s="1" t="s">
        <v>9913</v>
      </c>
      <c r="G3435" s="17">
        <v>81067</v>
      </c>
    </row>
    <row r="3436" spans="1:7">
      <c r="A3436" s="1" t="s">
        <v>9914</v>
      </c>
      <c r="B3436" s="1" t="s">
        <v>9915</v>
      </c>
      <c r="C3436">
        <f>(1-(B7/100))*585.08</f>
        <v>585.08</v>
      </c>
      <c r="D3436" s="1">
        <v>0</v>
      </c>
      <c r="E3436">
        <f>D3436*C3436</f>
        <v>0</v>
      </c>
      <c r="F3436" s="1" t="s">
        <v>9916</v>
      </c>
      <c r="G3436" s="17">
        <v>81086</v>
      </c>
    </row>
    <row r="3437" spans="1:7">
      <c r="A3437" s="1" t="s">
        <v>9917</v>
      </c>
      <c r="B3437" s="1" t="s">
        <v>9918</v>
      </c>
      <c r="C3437">
        <f>(1-(B7/100))*1794.1</f>
        <v>1794.1</v>
      </c>
      <c r="D3437" s="1">
        <v>0</v>
      </c>
      <c r="E3437">
        <f>D3437*C3437</f>
        <v>0</v>
      </c>
      <c r="F3437" s="1" t="s">
        <v>9919</v>
      </c>
      <c r="G3437" s="17">
        <v>81088</v>
      </c>
    </row>
    <row r="3438" spans="1:7">
      <c r="A3438" s="1" t="s">
        <v>9920</v>
      </c>
      <c r="B3438" s="1" t="s">
        <v>9921</v>
      </c>
      <c r="C3438">
        <f>(1-(B7/100))*2217.78</f>
        <v>2217.78</v>
      </c>
      <c r="D3438" s="1">
        <v>0</v>
      </c>
      <c r="E3438">
        <f>D3438*C3438</f>
        <v>0</v>
      </c>
      <c r="F3438" s="1" t="s">
        <v>9922</v>
      </c>
      <c r="G3438" s="17">
        <v>81089</v>
      </c>
    </row>
    <row r="3439" spans="1:7">
      <c r="A3439" s="1" t="s">
        <v>9923</v>
      </c>
      <c r="B3439" s="1" t="s">
        <v>9924</v>
      </c>
      <c r="C3439">
        <f>(1-(B7/100))*1683.79</f>
        <v>1683.79</v>
      </c>
      <c r="D3439" s="1">
        <v>0</v>
      </c>
      <c r="E3439">
        <f>D3439*C3439</f>
        <v>0</v>
      </c>
      <c r="F3439" s="1" t="s">
        <v>9925</v>
      </c>
      <c r="G3439" s="17">
        <v>81091</v>
      </c>
    </row>
    <row r="3440" spans="1:7">
      <c r="A3440" s="1" t="s">
        <v>9926</v>
      </c>
      <c r="B3440" s="1" t="s">
        <v>9927</v>
      </c>
      <c r="C3440">
        <f>(1-(B7/100))*2132.57</f>
        <v>2132.57</v>
      </c>
      <c r="D3440" s="1">
        <v>0</v>
      </c>
      <c r="E3440">
        <f>D3440*C3440</f>
        <v>0</v>
      </c>
      <c r="F3440" s="1" t="s">
        <v>9928</v>
      </c>
      <c r="G3440" s="17">
        <v>81092</v>
      </c>
    </row>
    <row r="3441" spans="1:7">
      <c r="A3441" s="1" t="s">
        <v>9929</v>
      </c>
      <c r="B3441" s="1" t="s">
        <v>9930</v>
      </c>
      <c r="C3441">
        <f>(1-(B7/100))*2050.41</f>
        <v>2050.41</v>
      </c>
      <c r="D3441" s="1">
        <v>0</v>
      </c>
      <c r="E3441">
        <f>D3441*C3441</f>
        <v>0</v>
      </c>
      <c r="F3441" s="1" t="s">
        <v>9931</v>
      </c>
      <c r="G3441" s="17">
        <v>81095</v>
      </c>
    </row>
    <row r="3442" spans="1:7">
      <c r="A3442" s="1" t="s">
        <v>9932</v>
      </c>
      <c r="B3442" s="1" t="s">
        <v>9933</v>
      </c>
      <c r="C3442">
        <f>(1-(B7/100))*531.91</f>
        <v>531.91</v>
      </c>
      <c r="D3442" s="1">
        <v>0</v>
      </c>
      <c r="E3442">
        <f>D3442*C3442</f>
        <v>0</v>
      </c>
      <c r="F3442" s="1" t="s">
        <v>9934</v>
      </c>
      <c r="G3442" s="17">
        <v>81099</v>
      </c>
    </row>
    <row r="3443" spans="1:7">
      <c r="A3443" s="1" t="s">
        <v>9935</v>
      </c>
      <c r="B3443" s="1" t="s">
        <v>9936</v>
      </c>
      <c r="C3443">
        <f>(1-(B7/100))*425.51</f>
        <v>425.51</v>
      </c>
      <c r="D3443" s="1">
        <v>0</v>
      </c>
      <c r="E3443">
        <f>D3443*C3443</f>
        <v>0</v>
      </c>
      <c r="F3443" s="1" t="s">
        <v>9937</v>
      </c>
      <c r="G3443" s="17">
        <v>81109</v>
      </c>
    </row>
    <row r="3444" spans="1:7">
      <c r="A3444" s="1" t="s">
        <v>9938</v>
      </c>
      <c r="B3444" s="1" t="s">
        <v>9939</v>
      </c>
      <c r="C3444">
        <f>(1-(B7/100))*372.33</f>
        <v>372.33</v>
      </c>
      <c r="D3444" s="1">
        <v>0</v>
      </c>
      <c r="E3444">
        <f>D3444*C3444</f>
        <v>0</v>
      </c>
      <c r="F3444" s="1" t="s">
        <v>9940</v>
      </c>
      <c r="G3444" s="17">
        <v>81111</v>
      </c>
    </row>
    <row r="3445" spans="1:7">
      <c r="A3445" s="1" t="s">
        <v>9941</v>
      </c>
      <c r="B3445" s="1" t="s">
        <v>9942</v>
      </c>
      <c r="C3445">
        <f>(1-(B7/100))*973.16</f>
        <v>973.16</v>
      </c>
      <c r="D3445" s="1">
        <v>0</v>
      </c>
      <c r="E3445">
        <f>D3445*C3445</f>
        <v>0</v>
      </c>
      <c r="F3445" s="1" t="s">
        <v>9943</v>
      </c>
      <c r="G3445" s="17">
        <v>81121</v>
      </c>
    </row>
    <row r="3446" spans="1:7">
      <c r="A3446" s="1" t="s">
        <v>9944</v>
      </c>
      <c r="B3446" s="1" t="s">
        <v>9945</v>
      </c>
      <c r="C3446">
        <f>(1-(B7/100))*46.85</f>
        <v>46.85</v>
      </c>
      <c r="D3446" s="1">
        <v>0</v>
      </c>
      <c r="E3446">
        <f>D3446*C3446</f>
        <v>0</v>
      </c>
      <c r="F3446" s="1" t="s">
        <v>9946</v>
      </c>
      <c r="G3446" s="17">
        <v>81124</v>
      </c>
    </row>
    <row r="3447" spans="1:7">
      <c r="A3447" s="1" t="s">
        <v>9947</v>
      </c>
      <c r="B3447" s="1" t="s">
        <v>9948</v>
      </c>
      <c r="C3447">
        <f>(1-(B7/100))*95.4</f>
        <v>95.4</v>
      </c>
      <c r="D3447" s="1">
        <v>0</v>
      </c>
      <c r="E3447">
        <f>D3447*C3447</f>
        <v>0</v>
      </c>
      <c r="F3447" s="1" t="s">
        <v>9949</v>
      </c>
      <c r="G3447" s="17">
        <v>81126</v>
      </c>
    </row>
    <row r="3448" spans="1:7">
      <c r="A3448" s="1" t="s">
        <v>9950</v>
      </c>
      <c r="B3448" s="1" t="s">
        <v>9951</v>
      </c>
      <c r="C3448">
        <f>(1-(B7/100))*79.33</f>
        <v>79.33</v>
      </c>
      <c r="D3448" s="1">
        <v>0</v>
      </c>
      <c r="E3448">
        <f>D3448*C3448</f>
        <v>0</v>
      </c>
      <c r="F3448" s="1" t="s">
        <v>9952</v>
      </c>
      <c r="G3448" s="17">
        <v>81127</v>
      </c>
    </row>
    <row r="3449" spans="1:7">
      <c r="A3449" s="1" t="s">
        <v>9953</v>
      </c>
      <c r="B3449" s="1" t="s">
        <v>9954</v>
      </c>
      <c r="C3449">
        <f>(1-(B7/100))*154.82</f>
        <v>154.82</v>
      </c>
      <c r="D3449" s="1">
        <v>0</v>
      </c>
      <c r="E3449">
        <f>D3449*C3449</f>
        <v>0</v>
      </c>
      <c r="F3449" s="1" t="s">
        <v>9955</v>
      </c>
      <c r="G3449" s="17">
        <v>81133</v>
      </c>
    </row>
    <row r="3450" spans="1:7">
      <c r="A3450" s="1" t="s">
        <v>9956</v>
      </c>
      <c r="B3450" s="1" t="s">
        <v>9957</v>
      </c>
      <c r="C3450">
        <f>(1-(B7/100))*571.66</f>
        <v>571.66</v>
      </c>
      <c r="D3450" s="1">
        <v>0</v>
      </c>
      <c r="E3450">
        <f>D3450*C3450</f>
        <v>0</v>
      </c>
      <c r="F3450" s="1" t="s">
        <v>9958</v>
      </c>
      <c r="G3450" s="17">
        <v>81134</v>
      </c>
    </row>
    <row r="3451" spans="1:7">
      <c r="A3451" s="1" t="s">
        <v>9959</v>
      </c>
      <c r="B3451" s="1" t="s">
        <v>9960</v>
      </c>
      <c r="C3451">
        <f>(1-(B7/100))*706.52</f>
        <v>706.52</v>
      </c>
      <c r="D3451" s="1">
        <v>0</v>
      </c>
      <c r="E3451">
        <f>D3451*C3451</f>
        <v>0</v>
      </c>
      <c r="F3451" s="1" t="s">
        <v>9961</v>
      </c>
      <c r="G3451" s="17">
        <v>81135</v>
      </c>
    </row>
    <row r="3452" spans="1:7">
      <c r="A3452" s="1" t="s">
        <v>9962</v>
      </c>
      <c r="B3452" s="1" t="s">
        <v>9963</v>
      </c>
      <c r="C3452">
        <f>(1-(B7/100))*389.45</f>
        <v>389.45</v>
      </c>
      <c r="D3452" s="1">
        <v>0</v>
      </c>
      <c r="E3452">
        <f>D3452*C3452</f>
        <v>0</v>
      </c>
      <c r="F3452" s="1" t="s">
        <v>9964</v>
      </c>
      <c r="G3452" s="17">
        <v>81139</v>
      </c>
    </row>
    <row r="3453" spans="1:7">
      <c r="A3453" s="1" t="s">
        <v>9965</v>
      </c>
      <c r="B3453" s="1" t="s">
        <v>9966</v>
      </c>
      <c r="C3453">
        <f>(1-(B7/100))*114.66</f>
        <v>114.66</v>
      </c>
      <c r="D3453" s="1">
        <v>0</v>
      </c>
      <c r="E3453">
        <f>D3453*C3453</f>
        <v>0</v>
      </c>
      <c r="F3453" s="1" t="s">
        <v>9967</v>
      </c>
      <c r="G3453" s="17">
        <v>81140</v>
      </c>
    </row>
    <row r="3454" spans="1:7">
      <c r="A3454" s="1" t="s">
        <v>9968</v>
      </c>
      <c r="B3454" s="1" t="s">
        <v>9969</v>
      </c>
      <c r="C3454">
        <f>(1-(B7/100))*109.7</f>
        <v>109.7</v>
      </c>
      <c r="D3454" s="1">
        <v>0</v>
      </c>
      <c r="E3454">
        <f>D3454*C3454</f>
        <v>0</v>
      </c>
      <c r="F3454" s="1" t="s">
        <v>9970</v>
      </c>
      <c r="G3454" s="17">
        <v>81141</v>
      </c>
    </row>
    <row r="3455" spans="1:7">
      <c r="A3455" s="1" t="s">
        <v>9971</v>
      </c>
      <c r="B3455" s="1" t="s">
        <v>9972</v>
      </c>
      <c r="C3455">
        <f>(1-(B7/100))*189.02</f>
        <v>189.02</v>
      </c>
      <c r="D3455" s="1">
        <v>0</v>
      </c>
      <c r="E3455">
        <f>D3455*C3455</f>
        <v>0</v>
      </c>
      <c r="F3455" s="1" t="s">
        <v>9973</v>
      </c>
      <c r="G3455" s="17">
        <v>81145</v>
      </c>
    </row>
    <row r="3456" spans="1:7">
      <c r="A3456" s="1" t="s">
        <v>9974</v>
      </c>
      <c r="B3456" s="1" t="s">
        <v>9975</v>
      </c>
      <c r="C3456">
        <f>(1-(B7/100))*103.93</f>
        <v>103.93</v>
      </c>
      <c r="D3456" s="1">
        <v>0</v>
      </c>
      <c r="E3456">
        <f>D3456*C3456</f>
        <v>0</v>
      </c>
      <c r="F3456" s="1" t="s">
        <v>9976</v>
      </c>
      <c r="G3456" s="17">
        <v>81147</v>
      </c>
    </row>
    <row r="3457" spans="1:7">
      <c r="A3457" s="1" t="s">
        <v>9977</v>
      </c>
      <c r="B3457" s="1" t="s">
        <v>9978</v>
      </c>
      <c r="C3457">
        <f>(1-(B7/100))*599.36</f>
        <v>599.36</v>
      </c>
      <c r="D3457" s="1">
        <v>0</v>
      </c>
      <c r="E3457">
        <f>D3457*C3457</f>
        <v>0</v>
      </c>
      <c r="F3457" s="1" t="s">
        <v>9979</v>
      </c>
      <c r="G3457" s="17">
        <v>81151</v>
      </c>
    </row>
    <row r="3458" spans="1:7">
      <c r="A3458" s="1" t="s">
        <v>9980</v>
      </c>
      <c r="B3458" s="1" t="s">
        <v>9981</v>
      </c>
      <c r="C3458">
        <f>(1-(B7/100))*71.13</f>
        <v>71.13</v>
      </c>
      <c r="D3458" s="1">
        <v>0</v>
      </c>
      <c r="E3458">
        <f>D3458*C3458</f>
        <v>0</v>
      </c>
      <c r="F3458" s="1" t="s">
        <v>9982</v>
      </c>
      <c r="G3458" s="17">
        <v>81154</v>
      </c>
    </row>
    <row r="3459" spans="1:7">
      <c r="A3459" s="1" t="s">
        <v>9983</v>
      </c>
      <c r="B3459" s="1" t="s">
        <v>9984</v>
      </c>
      <c r="C3459">
        <f>(1-(B7/100))*74.76</f>
        <v>74.76</v>
      </c>
      <c r="D3459" s="1">
        <v>0</v>
      </c>
      <c r="E3459">
        <f>D3459*C3459</f>
        <v>0</v>
      </c>
      <c r="F3459" s="1" t="s">
        <v>9985</v>
      </c>
      <c r="G3459" s="17">
        <v>81155</v>
      </c>
    </row>
    <row r="3460" spans="1:7">
      <c r="A3460" s="1" t="s">
        <v>9986</v>
      </c>
      <c r="B3460" s="1" t="s">
        <v>9987</v>
      </c>
      <c r="C3460">
        <f>(1-(B7/100))*151.19</f>
        <v>151.19</v>
      </c>
      <c r="D3460" s="1">
        <v>0</v>
      </c>
      <c r="E3460">
        <f>D3460*C3460</f>
        <v>0</v>
      </c>
      <c r="F3460" s="1" t="s">
        <v>9988</v>
      </c>
      <c r="G3460" s="17">
        <v>81159</v>
      </c>
    </row>
    <row r="3461" spans="1:7">
      <c r="A3461" s="1" t="s">
        <v>9989</v>
      </c>
      <c r="B3461" s="1" t="s">
        <v>9990</v>
      </c>
      <c r="C3461">
        <f>(1-(B7/100))*27.52</f>
        <v>27.52</v>
      </c>
      <c r="D3461" s="1">
        <v>0</v>
      </c>
      <c r="E3461">
        <f>D3461*C3461</f>
        <v>0</v>
      </c>
      <c r="F3461" s="1" t="s">
        <v>9991</v>
      </c>
      <c r="G3461" s="17">
        <v>81162</v>
      </c>
    </row>
    <row r="3462" spans="1:7">
      <c r="A3462" s="1" t="s">
        <v>9992</v>
      </c>
      <c r="B3462" s="1" t="s">
        <v>9993</v>
      </c>
      <c r="C3462">
        <f>(1-(B7/100))*63.53</f>
        <v>63.53</v>
      </c>
      <c r="D3462" s="1">
        <v>0</v>
      </c>
      <c r="E3462">
        <f>D3462*C3462</f>
        <v>0</v>
      </c>
      <c r="F3462" s="1" t="s">
        <v>9994</v>
      </c>
      <c r="G3462" s="17">
        <v>81170</v>
      </c>
    </row>
    <row r="3463" spans="1:7">
      <c r="A3463" s="1" t="s">
        <v>9995</v>
      </c>
      <c r="B3463" s="1" t="s">
        <v>9996</v>
      </c>
      <c r="C3463">
        <f>(1-(B7/100))*106.71</f>
        <v>106.71</v>
      </c>
      <c r="D3463" s="1">
        <v>0</v>
      </c>
      <c r="E3463">
        <f>D3463*C3463</f>
        <v>0</v>
      </c>
      <c r="F3463" s="1" t="s">
        <v>9997</v>
      </c>
      <c r="G3463" s="17">
        <v>81175</v>
      </c>
    </row>
    <row r="3464" spans="1:7">
      <c r="A3464" s="1" t="s">
        <v>9998</v>
      </c>
      <c r="B3464" s="1" t="s">
        <v>9999</v>
      </c>
      <c r="C3464">
        <f>(1-(B7/100))*106.71</f>
        <v>106.71</v>
      </c>
      <c r="D3464" s="1">
        <v>0</v>
      </c>
      <c r="E3464">
        <f>D3464*C3464</f>
        <v>0</v>
      </c>
      <c r="F3464" s="1" t="s">
        <v>10000</v>
      </c>
      <c r="G3464" s="17">
        <v>81176</v>
      </c>
    </row>
    <row r="3465" spans="1:7">
      <c r="A3465" s="1" t="s">
        <v>10001</v>
      </c>
      <c r="B3465" s="1" t="s">
        <v>10002</v>
      </c>
      <c r="C3465">
        <f>(1-(B7/100))*111.82</f>
        <v>111.82</v>
      </c>
      <c r="D3465" s="1">
        <v>0</v>
      </c>
      <c r="E3465">
        <f>D3465*C3465</f>
        <v>0</v>
      </c>
      <c r="F3465" s="1" t="s">
        <v>10003</v>
      </c>
      <c r="G3465" s="17">
        <v>81177</v>
      </c>
    </row>
    <row r="3466" spans="1:7">
      <c r="A3466" s="1" t="s">
        <v>10004</v>
      </c>
      <c r="B3466" s="1" t="s">
        <v>10005</v>
      </c>
      <c r="C3466">
        <f>(1-(B7/100))*102.99</f>
        <v>102.99</v>
      </c>
      <c r="D3466" s="1">
        <v>0</v>
      </c>
      <c r="E3466">
        <f>D3466*C3466</f>
        <v>0</v>
      </c>
      <c r="F3466" s="1" t="s">
        <v>10006</v>
      </c>
      <c r="G3466" s="17">
        <v>81178</v>
      </c>
    </row>
    <row r="3467" spans="1:7">
      <c r="A3467" s="1" t="s">
        <v>10007</v>
      </c>
      <c r="B3467" s="1" t="s">
        <v>10008</v>
      </c>
      <c r="C3467">
        <f>(1-(B7/100))*102.99</f>
        <v>102.99</v>
      </c>
      <c r="D3467" s="1">
        <v>0</v>
      </c>
      <c r="E3467">
        <f>D3467*C3467</f>
        <v>0</v>
      </c>
      <c r="F3467" s="1" t="s">
        <v>10009</v>
      </c>
      <c r="G3467" s="17">
        <v>81179</v>
      </c>
    </row>
    <row r="3468" spans="1:7">
      <c r="A3468" s="1" t="s">
        <v>10010</v>
      </c>
      <c r="B3468" s="1" t="s">
        <v>10011</v>
      </c>
      <c r="C3468">
        <f>(1-(B7/100))*179.95</f>
        <v>179.95</v>
      </c>
      <c r="D3468" s="1">
        <v>0</v>
      </c>
      <c r="E3468">
        <f>D3468*C3468</f>
        <v>0</v>
      </c>
      <c r="F3468" s="1" t="s">
        <v>10012</v>
      </c>
      <c r="G3468" s="17">
        <v>81181</v>
      </c>
    </row>
    <row r="3469" spans="1:7">
      <c r="A3469" s="1" t="s">
        <v>10013</v>
      </c>
      <c r="B3469" s="1" t="s">
        <v>10014</v>
      </c>
      <c r="C3469">
        <f>(1-(B7/100))*149.44</f>
        <v>149.44</v>
      </c>
      <c r="D3469" s="1">
        <v>0</v>
      </c>
      <c r="E3469">
        <f>D3469*C3469</f>
        <v>0</v>
      </c>
      <c r="F3469" s="1" t="s">
        <v>10015</v>
      </c>
      <c r="G3469" s="17">
        <v>81182</v>
      </c>
    </row>
    <row r="3470" spans="1:7">
      <c r="A3470" s="1" t="s">
        <v>10016</v>
      </c>
      <c r="B3470" s="1" t="s">
        <v>10017</v>
      </c>
      <c r="C3470">
        <f>(1-(B7/100))*1825.74</f>
        <v>1825.74</v>
      </c>
      <c r="D3470" s="1">
        <v>0</v>
      </c>
      <c r="E3470">
        <f>D3470*C3470</f>
        <v>0</v>
      </c>
      <c r="F3470" s="1" t="s">
        <v>10018</v>
      </c>
      <c r="G3470" s="17">
        <v>81188</v>
      </c>
    </row>
    <row r="3471" spans="1:7">
      <c r="A3471" s="1" t="s">
        <v>10019</v>
      </c>
      <c r="B3471" s="1" t="s">
        <v>10020</v>
      </c>
      <c r="C3471">
        <f>(1-(B7/100))*89.97</f>
        <v>89.97</v>
      </c>
      <c r="D3471" s="1">
        <v>0</v>
      </c>
      <c r="E3471">
        <f>D3471*C3471</f>
        <v>0</v>
      </c>
      <c r="F3471" s="1" t="s">
        <v>10021</v>
      </c>
      <c r="G3471" s="17">
        <v>81190</v>
      </c>
    </row>
    <row r="3472" spans="1:7">
      <c r="A3472" s="1" t="s">
        <v>10022</v>
      </c>
      <c r="B3472" s="1" t="s">
        <v>10023</v>
      </c>
      <c r="C3472">
        <f>(1-(B7/100))*128</f>
        <v>128</v>
      </c>
      <c r="D3472" s="1">
        <v>0</v>
      </c>
      <c r="E3472">
        <f>D3472*C3472</f>
        <v>0</v>
      </c>
      <c r="F3472" s="1" t="s">
        <v>10024</v>
      </c>
      <c r="G3472" s="17">
        <v>81193</v>
      </c>
    </row>
    <row r="3473" spans="1:7">
      <c r="A3473" s="1" t="s">
        <v>10025</v>
      </c>
      <c r="B3473" s="1" t="s">
        <v>10026</v>
      </c>
      <c r="C3473">
        <f>(1-(B7/100))*45.92</f>
        <v>45.92</v>
      </c>
      <c r="D3473" s="1">
        <v>0</v>
      </c>
      <c r="E3473">
        <f>D3473*C3473</f>
        <v>0</v>
      </c>
      <c r="F3473" s="1" t="s">
        <v>10027</v>
      </c>
      <c r="G3473" s="17">
        <v>81195</v>
      </c>
    </row>
    <row r="3474" spans="1:7">
      <c r="A3474" s="1" t="s">
        <v>10028</v>
      </c>
      <c r="B3474" s="1" t="s">
        <v>10029</v>
      </c>
      <c r="C3474">
        <f>(1-(B7/100))*485.77</f>
        <v>485.77</v>
      </c>
      <c r="D3474" s="1">
        <v>0</v>
      </c>
      <c r="E3474">
        <f>D3474*C3474</f>
        <v>0</v>
      </c>
      <c r="F3474" s="1" t="s">
        <v>10030</v>
      </c>
      <c r="G3474" s="17">
        <v>81196</v>
      </c>
    </row>
    <row r="3475" spans="1:7">
      <c r="A3475" s="1" t="s">
        <v>10031</v>
      </c>
      <c r="B3475" s="1" t="s">
        <v>10032</v>
      </c>
      <c r="C3475">
        <f>(1-(B7/100))*485.77</f>
        <v>485.77</v>
      </c>
      <c r="D3475" s="1">
        <v>0</v>
      </c>
      <c r="E3475">
        <f>D3475*C3475</f>
        <v>0</v>
      </c>
      <c r="F3475" s="1" t="s">
        <v>10033</v>
      </c>
      <c r="G3475" s="17">
        <v>81197</v>
      </c>
    </row>
    <row r="3476" spans="1:7">
      <c r="A3476" s="1" t="s">
        <v>10034</v>
      </c>
      <c r="B3476" s="1" t="s">
        <v>10035</v>
      </c>
      <c r="C3476">
        <f>(1-(B7/100))*469.63</f>
        <v>469.63</v>
      </c>
      <c r="D3476" s="1">
        <v>0</v>
      </c>
      <c r="E3476">
        <f>D3476*C3476</f>
        <v>0</v>
      </c>
      <c r="F3476" s="1" t="s">
        <v>10036</v>
      </c>
      <c r="G3476" s="17">
        <v>81198</v>
      </c>
    </row>
    <row r="3477" spans="1:7">
      <c r="A3477" s="1" t="s">
        <v>10037</v>
      </c>
      <c r="B3477" s="1" t="s">
        <v>10038</v>
      </c>
      <c r="C3477">
        <f>(1-(B7/100))*485.77</f>
        <v>485.77</v>
      </c>
      <c r="D3477" s="1">
        <v>0</v>
      </c>
      <c r="E3477">
        <f>D3477*C3477</f>
        <v>0</v>
      </c>
      <c r="F3477" s="1" t="s">
        <v>10039</v>
      </c>
      <c r="G3477" s="17">
        <v>81200</v>
      </c>
    </row>
    <row r="3478" spans="1:7">
      <c r="A3478" s="1" t="s">
        <v>10040</v>
      </c>
      <c r="B3478" s="1" t="s">
        <v>10041</v>
      </c>
      <c r="C3478">
        <f>(1-(B7/100))*485.77</f>
        <v>485.77</v>
      </c>
      <c r="D3478" s="1">
        <v>0</v>
      </c>
      <c r="E3478">
        <f>D3478*C3478</f>
        <v>0</v>
      </c>
      <c r="F3478" s="1" t="s">
        <v>10042</v>
      </c>
      <c r="G3478" s="17">
        <v>81201</v>
      </c>
    </row>
    <row r="3479" spans="1:7">
      <c r="A3479" s="1" t="s">
        <v>10043</v>
      </c>
      <c r="B3479" s="1" t="s">
        <v>10044</v>
      </c>
      <c r="C3479">
        <f>(1-(B7/100))*485.77</f>
        <v>485.77</v>
      </c>
      <c r="D3479" s="1">
        <v>0</v>
      </c>
      <c r="E3479">
        <f>D3479*C3479</f>
        <v>0</v>
      </c>
      <c r="F3479" s="1" t="s">
        <v>10045</v>
      </c>
      <c r="G3479" s="17">
        <v>81202</v>
      </c>
    </row>
    <row r="3480" spans="1:7">
      <c r="A3480" s="1" t="s">
        <v>10046</v>
      </c>
      <c r="B3480" s="1" t="s">
        <v>10047</v>
      </c>
      <c r="C3480">
        <f>(1-(B7/100))*123.05</f>
        <v>123.05</v>
      </c>
      <c r="D3480" s="1">
        <v>0</v>
      </c>
      <c r="E3480">
        <f>D3480*C3480</f>
        <v>0</v>
      </c>
      <c r="F3480" s="1" t="s">
        <v>10048</v>
      </c>
      <c r="G3480" s="17">
        <v>81207</v>
      </c>
    </row>
    <row r="3481" spans="1:7">
      <c r="A3481" s="1" t="s">
        <v>10049</v>
      </c>
      <c r="B3481" s="1" t="s">
        <v>10050</v>
      </c>
      <c r="C3481">
        <f>(1-(B7/100))*123.05</f>
        <v>123.05</v>
      </c>
      <c r="D3481" s="1">
        <v>0</v>
      </c>
      <c r="E3481">
        <f>D3481*C3481</f>
        <v>0</v>
      </c>
      <c r="F3481" s="1" t="s">
        <v>10051</v>
      </c>
      <c r="G3481" s="17">
        <v>81208</v>
      </c>
    </row>
    <row r="3482" spans="1:7">
      <c r="A3482" s="1" t="s">
        <v>10052</v>
      </c>
      <c r="B3482" s="1" t="s">
        <v>10053</v>
      </c>
      <c r="C3482">
        <f>(1-(B7/100))*4147.54</f>
        <v>4147.54</v>
      </c>
      <c r="D3482" s="1">
        <v>0</v>
      </c>
      <c r="E3482">
        <f>D3482*C3482</f>
        <v>0</v>
      </c>
      <c r="F3482" s="1" t="s">
        <v>10054</v>
      </c>
      <c r="G3482" s="17">
        <v>81210</v>
      </c>
    </row>
    <row r="3483" spans="1:7">
      <c r="A3483" s="1" t="s">
        <v>10055</v>
      </c>
      <c r="B3483" s="1" t="s">
        <v>10056</v>
      </c>
      <c r="C3483">
        <f>(1-(B7/100))*256.53</f>
        <v>256.53</v>
      </c>
      <c r="D3483" s="1">
        <v>0</v>
      </c>
      <c r="E3483">
        <f>D3483*C3483</f>
        <v>0</v>
      </c>
      <c r="F3483" s="1" t="s">
        <v>10057</v>
      </c>
      <c r="G3483" s="17">
        <v>81219</v>
      </c>
    </row>
    <row r="3484" spans="1:7">
      <c r="A3484" s="1" t="s">
        <v>10058</v>
      </c>
      <c r="B3484" s="1" t="s">
        <v>10059</v>
      </c>
      <c r="C3484">
        <f>(1-(B7/100))*96.56</f>
        <v>96.56</v>
      </c>
      <c r="D3484" s="1">
        <v>0</v>
      </c>
      <c r="E3484">
        <f>D3484*C3484</f>
        <v>0</v>
      </c>
      <c r="F3484" s="1" t="s">
        <v>10060</v>
      </c>
      <c r="G3484" s="17">
        <v>81225</v>
      </c>
    </row>
    <row r="3485" spans="1:7">
      <c r="A3485" s="1" t="s">
        <v>10061</v>
      </c>
      <c r="B3485" s="1" t="s">
        <v>10062</v>
      </c>
      <c r="C3485">
        <f>(1-(B7/100))*81.43</f>
        <v>81.43</v>
      </c>
      <c r="D3485" s="1">
        <v>0</v>
      </c>
      <c r="E3485">
        <f>D3485*C3485</f>
        <v>0</v>
      </c>
      <c r="F3485" s="1" t="s">
        <v>10063</v>
      </c>
      <c r="G3485" s="17">
        <v>81229</v>
      </c>
    </row>
    <row r="3486" spans="1:7">
      <c r="A3486" s="1" t="s">
        <v>10064</v>
      </c>
      <c r="B3486" s="1" t="s">
        <v>10065</v>
      </c>
      <c r="C3486">
        <f>(1-(B7/100))*394.15</f>
        <v>394.15</v>
      </c>
      <c r="D3486" s="1">
        <v>0</v>
      </c>
      <c r="E3486">
        <f>D3486*C3486</f>
        <v>0</v>
      </c>
      <c r="F3486" s="1" t="s">
        <v>10066</v>
      </c>
      <c r="G3486" s="17">
        <v>81230</v>
      </c>
    </row>
    <row r="3487" spans="1:7">
      <c r="A3487" s="1" t="s">
        <v>10067</v>
      </c>
      <c r="B3487" s="1" t="s">
        <v>10068</v>
      </c>
      <c r="C3487">
        <f>(1-(B7/100))*484.24</f>
        <v>484.24</v>
      </c>
      <c r="D3487" s="1">
        <v>0</v>
      </c>
      <c r="E3487">
        <f>D3487*C3487</f>
        <v>0</v>
      </c>
      <c r="F3487" s="1" t="s">
        <v>10069</v>
      </c>
      <c r="G3487" s="17">
        <v>81231</v>
      </c>
    </row>
    <row r="3488" spans="1:7">
      <c r="A3488" s="1" t="s">
        <v>10070</v>
      </c>
      <c r="B3488" s="1" t="s">
        <v>10071</v>
      </c>
      <c r="C3488">
        <f>(1-(B7/100))*115.22</f>
        <v>115.22</v>
      </c>
      <c r="D3488" s="1">
        <v>0</v>
      </c>
      <c r="E3488">
        <f>D3488*C3488</f>
        <v>0</v>
      </c>
      <c r="F3488" s="1" t="s">
        <v>10072</v>
      </c>
      <c r="G3488" s="17">
        <v>81234</v>
      </c>
    </row>
    <row r="3489" spans="1:7">
      <c r="A3489" s="1" t="s">
        <v>10073</v>
      </c>
      <c r="B3489" s="1" t="s">
        <v>10074</v>
      </c>
      <c r="C3489">
        <f>(1-(B7/100))*130.4</f>
        <v>130.4</v>
      </c>
      <c r="D3489" s="1">
        <v>0</v>
      </c>
      <c r="E3489">
        <f>D3489*C3489</f>
        <v>0</v>
      </c>
      <c r="F3489" s="1" t="s">
        <v>10075</v>
      </c>
      <c r="G3489" s="17">
        <v>81236</v>
      </c>
    </row>
    <row r="3490" spans="1:7">
      <c r="A3490" s="1" t="s">
        <v>10076</v>
      </c>
      <c r="B3490" s="1" t="s">
        <v>10077</v>
      </c>
      <c r="C3490">
        <f>(1-(B7/100))*90.29</f>
        <v>90.29</v>
      </c>
      <c r="D3490" s="1">
        <v>0</v>
      </c>
      <c r="E3490">
        <f>D3490*C3490</f>
        <v>0</v>
      </c>
      <c r="F3490" s="1" t="s">
        <v>10078</v>
      </c>
      <c r="G3490" s="17">
        <v>81237</v>
      </c>
    </row>
    <row r="3491" spans="1:7">
      <c r="A3491" s="1" t="s">
        <v>10079</v>
      </c>
      <c r="B3491" s="1" t="s">
        <v>10080</v>
      </c>
      <c r="C3491">
        <f>(1-(B7/100))*137.54</f>
        <v>137.54</v>
      </c>
      <c r="D3491" s="1">
        <v>0</v>
      </c>
      <c r="E3491">
        <f>D3491*C3491</f>
        <v>0</v>
      </c>
      <c r="F3491" s="1" t="s">
        <v>10081</v>
      </c>
      <c r="G3491" s="17">
        <v>81238</v>
      </c>
    </row>
    <row r="3492" spans="1:7">
      <c r="A3492" s="1" t="s">
        <v>10082</v>
      </c>
      <c r="B3492" s="1" t="s">
        <v>10083</v>
      </c>
      <c r="C3492">
        <f>(1-(B7/100))*91.81</f>
        <v>91.81</v>
      </c>
      <c r="D3492" s="1">
        <v>0</v>
      </c>
      <c r="E3492">
        <f>D3492*C3492</f>
        <v>0</v>
      </c>
      <c r="F3492" s="1" t="s">
        <v>10084</v>
      </c>
      <c r="G3492" s="17">
        <v>81240</v>
      </c>
    </row>
    <row r="3493" spans="1:7">
      <c r="A3493" s="1" t="s">
        <v>10085</v>
      </c>
      <c r="B3493" s="1" t="s">
        <v>10086</v>
      </c>
      <c r="C3493">
        <f>(1-(B7/100))*148.49</f>
        <v>148.49</v>
      </c>
      <c r="D3493" s="1">
        <v>0</v>
      </c>
      <c r="E3493">
        <f>D3493*C3493</f>
        <v>0</v>
      </c>
      <c r="F3493" s="1" t="s">
        <v>10087</v>
      </c>
      <c r="G3493" s="17">
        <v>81241</v>
      </c>
    </row>
    <row r="3494" spans="1:7">
      <c r="A3494" s="1" t="s">
        <v>10088</v>
      </c>
      <c r="B3494" s="1" t="s">
        <v>10089</v>
      </c>
      <c r="C3494">
        <f>(1-(B7/100))*130.29</f>
        <v>130.29</v>
      </c>
      <c r="D3494" s="1">
        <v>0</v>
      </c>
      <c r="E3494">
        <f>D3494*C3494</f>
        <v>0</v>
      </c>
      <c r="F3494" s="1" t="s">
        <v>10090</v>
      </c>
      <c r="G3494" s="17">
        <v>81242</v>
      </c>
    </row>
    <row r="3495" spans="1:7">
      <c r="A3495" s="1" t="s">
        <v>10091</v>
      </c>
      <c r="B3495" s="1" t="s">
        <v>10092</v>
      </c>
      <c r="C3495">
        <f>(1-(B7/100))*71.03</f>
        <v>71.03</v>
      </c>
      <c r="D3495" s="1">
        <v>0</v>
      </c>
      <c r="E3495">
        <f>D3495*C3495</f>
        <v>0</v>
      </c>
      <c r="F3495" s="1" t="s">
        <v>10093</v>
      </c>
      <c r="G3495" s="17">
        <v>81243</v>
      </c>
    </row>
    <row r="3496" spans="1:7">
      <c r="A3496" s="1" t="s">
        <v>10094</v>
      </c>
      <c r="B3496" s="1" t="s">
        <v>10095</v>
      </c>
      <c r="C3496">
        <f>(1-(B7/100))*121.48</f>
        <v>121.48</v>
      </c>
      <c r="D3496" s="1">
        <v>0</v>
      </c>
      <c r="E3496">
        <f>D3496*C3496</f>
        <v>0</v>
      </c>
      <c r="F3496" s="1" t="s">
        <v>10096</v>
      </c>
      <c r="G3496" s="17">
        <v>81244</v>
      </c>
    </row>
    <row r="3497" spans="1:7">
      <c r="A3497" s="1" t="s">
        <v>10097</v>
      </c>
      <c r="B3497" s="1" t="s">
        <v>10098</v>
      </c>
      <c r="C3497">
        <f>(1-(B7/100))*153.52</f>
        <v>153.52</v>
      </c>
      <c r="D3497" s="1">
        <v>0</v>
      </c>
      <c r="E3497">
        <f>D3497*C3497</f>
        <v>0</v>
      </c>
      <c r="F3497" s="1" t="s">
        <v>10099</v>
      </c>
      <c r="G3497" s="17">
        <v>81245</v>
      </c>
    </row>
    <row r="3498" spans="1:7">
      <c r="A3498" s="1" t="s">
        <v>10100</v>
      </c>
      <c r="B3498" s="1" t="s">
        <v>10101</v>
      </c>
      <c r="C3498">
        <f>(1-(B7/100))*1697.4</f>
        <v>1697.4</v>
      </c>
      <c r="D3498" s="1">
        <v>0</v>
      </c>
      <c r="E3498">
        <f>D3498*C3498</f>
        <v>0</v>
      </c>
      <c r="F3498" s="1" t="s">
        <v>10102</v>
      </c>
      <c r="G3498" s="17">
        <v>81246</v>
      </c>
    </row>
    <row r="3499" spans="1:7">
      <c r="A3499" s="1" t="s">
        <v>10103</v>
      </c>
      <c r="B3499" s="1" t="s">
        <v>10104</v>
      </c>
      <c r="C3499">
        <f>(1-(B7/100))*854.13</f>
        <v>854.13</v>
      </c>
      <c r="D3499" s="1">
        <v>0</v>
      </c>
      <c r="E3499">
        <f>D3499*C3499</f>
        <v>0</v>
      </c>
      <c r="F3499" s="1" t="s">
        <v>10105</v>
      </c>
      <c r="G3499" s="17">
        <v>81254</v>
      </c>
    </row>
    <row r="3500" spans="1:7">
      <c r="A3500" s="1" t="s">
        <v>10106</v>
      </c>
      <c r="B3500" s="1" t="s">
        <v>10107</v>
      </c>
      <c r="C3500">
        <f>(1-(B7/100))*307.46</f>
        <v>307.46</v>
      </c>
      <c r="D3500" s="1">
        <v>0</v>
      </c>
      <c r="E3500">
        <f>D3500*C3500</f>
        <v>0</v>
      </c>
      <c r="F3500" s="1" t="s">
        <v>10108</v>
      </c>
      <c r="G3500" s="17">
        <v>81255</v>
      </c>
    </row>
    <row r="3501" spans="1:7">
      <c r="A3501" s="1" t="s">
        <v>10109</v>
      </c>
      <c r="B3501" s="1" t="s">
        <v>10110</v>
      </c>
      <c r="C3501">
        <f>(1-(B7/100))*272.93</f>
        <v>272.93</v>
      </c>
      <c r="D3501" s="1">
        <v>0</v>
      </c>
      <c r="E3501">
        <f>D3501*C3501</f>
        <v>0</v>
      </c>
      <c r="F3501" s="1" t="s">
        <v>10111</v>
      </c>
      <c r="G3501" s="17">
        <v>81257</v>
      </c>
    </row>
    <row r="3502" spans="1:7">
      <c r="A3502" s="1" t="s">
        <v>10112</v>
      </c>
      <c r="B3502" s="1" t="s">
        <v>10113</v>
      </c>
      <c r="C3502">
        <f>(1-(B7/100))*366.76</f>
        <v>366.76</v>
      </c>
      <c r="D3502" s="1">
        <v>0</v>
      </c>
      <c r="E3502">
        <f>D3502*C3502</f>
        <v>0</v>
      </c>
      <c r="F3502" s="1" t="s">
        <v>10114</v>
      </c>
      <c r="G3502" s="17">
        <v>81260</v>
      </c>
    </row>
    <row r="3503" spans="1:7">
      <c r="A3503" s="1" t="s">
        <v>10115</v>
      </c>
      <c r="B3503" s="1" t="s">
        <v>10116</v>
      </c>
      <c r="C3503">
        <f>(1-(B7/100))*387.49</f>
        <v>387.49</v>
      </c>
      <c r="D3503" s="1">
        <v>0</v>
      </c>
      <c r="E3503">
        <f>D3503*C3503</f>
        <v>0</v>
      </c>
      <c r="F3503" s="1" t="s">
        <v>10117</v>
      </c>
      <c r="G3503" s="17">
        <v>81262</v>
      </c>
    </row>
    <row r="3504" spans="1:7">
      <c r="A3504" s="1" t="s">
        <v>10118</v>
      </c>
      <c r="B3504" s="1" t="s">
        <v>10119</v>
      </c>
      <c r="C3504">
        <f>(1-(B7/100))*361.78</f>
        <v>361.78</v>
      </c>
      <c r="D3504" s="1">
        <v>0</v>
      </c>
      <c r="E3504">
        <f>D3504*C3504</f>
        <v>0</v>
      </c>
      <c r="F3504" s="1" t="s">
        <v>10120</v>
      </c>
      <c r="G3504" s="17">
        <v>81267</v>
      </c>
    </row>
    <row r="3505" spans="1:7">
      <c r="A3505" s="1" t="s">
        <v>10121</v>
      </c>
      <c r="B3505" s="1" t="s">
        <v>10122</v>
      </c>
      <c r="C3505">
        <f>(1-(B7/100))*363.5</f>
        <v>363.5</v>
      </c>
      <c r="D3505" s="1">
        <v>0</v>
      </c>
      <c r="E3505">
        <f>D3505*C3505</f>
        <v>0</v>
      </c>
      <c r="F3505" s="1" t="s">
        <v>10123</v>
      </c>
      <c r="G3505" s="17">
        <v>81269</v>
      </c>
    </row>
    <row r="3506" spans="1:7">
      <c r="A3506" s="1" t="s">
        <v>10124</v>
      </c>
      <c r="B3506" s="1" t="s">
        <v>10125</v>
      </c>
      <c r="C3506">
        <f>(1-(B7/100))*319.04</f>
        <v>319.04</v>
      </c>
      <c r="D3506" s="1">
        <v>0</v>
      </c>
      <c r="E3506">
        <f>D3506*C3506</f>
        <v>0</v>
      </c>
      <c r="F3506" s="1" t="s">
        <v>10126</v>
      </c>
      <c r="G3506" s="17">
        <v>81273</v>
      </c>
    </row>
    <row r="3507" spans="1:7">
      <c r="A3507" s="1" t="s">
        <v>10127</v>
      </c>
      <c r="B3507" s="1" t="s">
        <v>10128</v>
      </c>
      <c r="C3507">
        <f>(1-(B7/100))*467.49</f>
        <v>467.49</v>
      </c>
      <c r="D3507" s="1">
        <v>0</v>
      </c>
      <c r="E3507">
        <f>D3507*C3507</f>
        <v>0</v>
      </c>
      <c r="F3507" s="1" t="s">
        <v>10129</v>
      </c>
      <c r="G3507" s="17">
        <v>81275</v>
      </c>
    </row>
    <row r="3508" spans="1:7">
      <c r="A3508" s="1" t="s">
        <v>10130</v>
      </c>
      <c r="B3508" s="1" t="s">
        <v>10131</v>
      </c>
      <c r="C3508">
        <f>(1-(B7/100))*438.5</f>
        <v>438.5</v>
      </c>
      <c r="D3508" s="1">
        <v>0</v>
      </c>
      <c r="E3508">
        <f>D3508*C3508</f>
        <v>0</v>
      </c>
      <c r="F3508" s="1" t="s">
        <v>10132</v>
      </c>
      <c r="G3508" s="17">
        <v>81276</v>
      </c>
    </row>
    <row r="3509" spans="1:7">
      <c r="A3509" s="1" t="s">
        <v>10133</v>
      </c>
      <c r="B3509" s="1" t="s">
        <v>10134</v>
      </c>
      <c r="C3509">
        <f>(1-(B7/100))*9.71</f>
        <v>9.71</v>
      </c>
      <c r="D3509" s="1">
        <v>0</v>
      </c>
      <c r="E3509">
        <f>D3509*C3509</f>
        <v>0</v>
      </c>
      <c r="F3509" s="1" t="s">
        <v>10135</v>
      </c>
      <c r="G3509" s="17">
        <v>81277</v>
      </c>
    </row>
    <row r="3510" spans="1:7">
      <c r="A3510" s="1" t="s">
        <v>10136</v>
      </c>
      <c r="B3510" s="1" t="s">
        <v>10137</v>
      </c>
      <c r="C3510">
        <f>(1-(B7/100))*430.59</f>
        <v>430.59</v>
      </c>
      <c r="D3510" s="1">
        <v>0</v>
      </c>
      <c r="E3510">
        <f>D3510*C3510</f>
        <v>0</v>
      </c>
      <c r="F3510" s="1" t="s">
        <v>10138</v>
      </c>
      <c r="G3510" s="17">
        <v>81281</v>
      </c>
    </row>
    <row r="3511" spans="1:7">
      <c r="A3511" s="1" t="s">
        <v>10139</v>
      </c>
      <c r="B3511" s="1" t="s">
        <v>10140</v>
      </c>
      <c r="C3511">
        <f>(1-(B7/100))*372.33</f>
        <v>372.33</v>
      </c>
      <c r="D3511" s="1">
        <v>0</v>
      </c>
      <c r="E3511">
        <f>D3511*C3511</f>
        <v>0</v>
      </c>
      <c r="F3511" s="1" t="s">
        <v>10141</v>
      </c>
      <c r="G3511" s="17">
        <v>81283</v>
      </c>
    </row>
    <row r="3512" spans="1:7">
      <c r="A3512" s="1" t="s">
        <v>10142</v>
      </c>
      <c r="B3512" s="1" t="s">
        <v>10143</v>
      </c>
      <c r="C3512">
        <f>(1-(B7/100))*430.59</f>
        <v>430.59</v>
      </c>
      <c r="D3512" s="1">
        <v>0</v>
      </c>
      <c r="E3512">
        <f>D3512*C3512</f>
        <v>0</v>
      </c>
      <c r="F3512" s="1" t="s">
        <v>10144</v>
      </c>
      <c r="G3512" s="17">
        <v>81284</v>
      </c>
    </row>
    <row r="3513" spans="1:7">
      <c r="A3513" s="1" t="s">
        <v>10145</v>
      </c>
      <c r="B3513" s="1" t="s">
        <v>10146</v>
      </c>
      <c r="C3513">
        <f>(1-(B7/100))*842.09</f>
        <v>842.09</v>
      </c>
      <c r="D3513" s="1">
        <v>0</v>
      </c>
      <c r="E3513">
        <f>D3513*C3513</f>
        <v>0</v>
      </c>
      <c r="F3513" s="1" t="s">
        <v>10147</v>
      </c>
      <c r="G3513" s="17">
        <v>81286</v>
      </c>
    </row>
    <row r="3514" spans="1:7">
      <c r="A3514" s="1" t="s">
        <v>10148</v>
      </c>
      <c r="B3514" s="1" t="s">
        <v>10149</v>
      </c>
      <c r="C3514">
        <f>(1-(B7/100))*19.8</f>
        <v>19.8</v>
      </c>
      <c r="D3514" s="1">
        <v>0</v>
      </c>
      <c r="E3514">
        <f>D3514*C3514</f>
        <v>0</v>
      </c>
      <c r="F3514" s="1" t="s">
        <v>10150</v>
      </c>
      <c r="G3514" s="17">
        <v>81288</v>
      </c>
    </row>
    <row r="3515" spans="1:7">
      <c r="A3515" s="1" t="s">
        <v>10151</v>
      </c>
      <c r="B3515" s="1" t="s">
        <v>10152</v>
      </c>
      <c r="C3515">
        <f>(1-(B7/100))*289.31</f>
        <v>289.31</v>
      </c>
      <c r="D3515" s="1">
        <v>0</v>
      </c>
      <c r="E3515">
        <f>D3515*C3515</f>
        <v>0</v>
      </c>
      <c r="F3515" s="1" t="s">
        <v>10153</v>
      </c>
      <c r="G3515" s="17">
        <v>81290</v>
      </c>
    </row>
    <row r="3516" spans="1:7">
      <c r="A3516" s="1" t="s">
        <v>10154</v>
      </c>
      <c r="B3516" s="1" t="s">
        <v>10155</v>
      </c>
      <c r="C3516">
        <f>(1-(B7/100))*270.64</f>
        <v>270.64</v>
      </c>
      <c r="D3516" s="1">
        <v>0</v>
      </c>
      <c r="E3516">
        <f>D3516*C3516</f>
        <v>0</v>
      </c>
      <c r="F3516" s="1" t="s">
        <v>10156</v>
      </c>
      <c r="G3516" s="17">
        <v>81294</v>
      </c>
    </row>
    <row r="3517" spans="1:7">
      <c r="A3517" s="1" t="s">
        <v>10157</v>
      </c>
      <c r="B3517" s="1" t="s">
        <v>10158</v>
      </c>
      <c r="C3517">
        <f>(1-(B7/100))*2231.08</f>
        <v>2231.08</v>
      </c>
      <c r="D3517" s="1">
        <v>0</v>
      </c>
      <c r="E3517">
        <f>D3517*C3517</f>
        <v>0</v>
      </c>
      <c r="F3517" s="1" t="s">
        <v>10159</v>
      </c>
      <c r="G3517" s="17">
        <v>81304</v>
      </c>
    </row>
    <row r="3518" spans="1:7">
      <c r="A3518" s="1" t="s">
        <v>10160</v>
      </c>
      <c r="B3518" s="1" t="s">
        <v>10161</v>
      </c>
      <c r="C3518">
        <f>(1-(B7/100))*2207.05</f>
        <v>2207.05</v>
      </c>
      <c r="D3518" s="1">
        <v>0</v>
      </c>
      <c r="E3518">
        <f>D3518*C3518</f>
        <v>0</v>
      </c>
      <c r="F3518" s="1" t="s">
        <v>10162</v>
      </c>
      <c r="G3518" s="17">
        <v>81305</v>
      </c>
    </row>
    <row r="3519" spans="1:7">
      <c r="A3519" s="1" t="s">
        <v>10163</v>
      </c>
      <c r="B3519" s="1" t="s">
        <v>10164</v>
      </c>
      <c r="C3519">
        <f>(1-(B7/100))*229.33</f>
        <v>229.33</v>
      </c>
      <c r="D3519" s="1">
        <v>0</v>
      </c>
      <c r="E3519">
        <f>D3519*C3519</f>
        <v>0</v>
      </c>
      <c r="F3519" s="1" t="s">
        <v>10165</v>
      </c>
      <c r="G3519" s="17">
        <v>81306</v>
      </c>
    </row>
    <row r="3520" spans="1:7">
      <c r="A3520" s="1" t="s">
        <v>10166</v>
      </c>
      <c r="B3520" s="1" t="s">
        <v>10167</v>
      </c>
      <c r="C3520">
        <f>(1-(B7/100))*818.6</f>
        <v>818.6</v>
      </c>
      <c r="D3520" s="1">
        <v>0</v>
      </c>
      <c r="E3520">
        <f>D3520*C3520</f>
        <v>0</v>
      </c>
      <c r="F3520" s="1" t="s">
        <v>10168</v>
      </c>
      <c r="G3520" s="17">
        <v>81313</v>
      </c>
    </row>
    <row r="3521" spans="1:7">
      <c r="A3521" s="1" t="s">
        <v>10169</v>
      </c>
      <c r="B3521" s="1" t="s">
        <v>10170</v>
      </c>
      <c r="C3521">
        <f>(1-(B7/100))*2732.16</f>
        <v>2732.16</v>
      </c>
      <c r="D3521" s="1">
        <v>0</v>
      </c>
      <c r="E3521">
        <f>D3521*C3521</f>
        <v>0</v>
      </c>
      <c r="F3521" s="1" t="s">
        <v>10171</v>
      </c>
      <c r="G3521" s="17">
        <v>81317</v>
      </c>
    </row>
    <row r="3522" spans="1:7">
      <c r="A3522" s="1" t="s">
        <v>10172</v>
      </c>
      <c r="B3522" s="1" t="s">
        <v>10173</v>
      </c>
      <c r="C3522">
        <f>(1-(B7/100))*1758.69</f>
        <v>1758.69</v>
      </c>
      <c r="D3522" s="1">
        <v>0</v>
      </c>
      <c r="E3522">
        <f>D3522*C3522</f>
        <v>0</v>
      </c>
      <c r="F3522" s="1" t="s">
        <v>10174</v>
      </c>
      <c r="G3522" s="17">
        <v>81319</v>
      </c>
    </row>
    <row r="3523" spans="1:7">
      <c r="A3523" s="1" t="s">
        <v>10175</v>
      </c>
      <c r="B3523" s="1" t="s">
        <v>10176</v>
      </c>
      <c r="C3523">
        <f>(1-(B7/100))*1767.49</f>
        <v>1767.49</v>
      </c>
      <c r="D3523" s="1">
        <v>0</v>
      </c>
      <c r="E3523">
        <f>D3523*C3523</f>
        <v>0</v>
      </c>
      <c r="F3523" s="1" t="s">
        <v>10177</v>
      </c>
      <c r="G3523" s="17">
        <v>81322</v>
      </c>
    </row>
    <row r="3524" spans="1:7">
      <c r="A3524" s="1" t="s">
        <v>10178</v>
      </c>
      <c r="B3524" s="1" t="s">
        <v>10179</v>
      </c>
      <c r="C3524">
        <f>(1-(B7/100))*2301.66</f>
        <v>2301.66</v>
      </c>
      <c r="D3524" s="1">
        <v>0</v>
      </c>
      <c r="E3524">
        <f>D3524*C3524</f>
        <v>0</v>
      </c>
      <c r="F3524" s="1" t="s">
        <v>10180</v>
      </c>
      <c r="G3524" s="17">
        <v>81325</v>
      </c>
    </row>
    <row r="3525" spans="1:7">
      <c r="A3525" s="1" t="s">
        <v>10181</v>
      </c>
      <c r="B3525" s="1" t="s">
        <v>10182</v>
      </c>
      <c r="C3525">
        <f>(1-(B7/100))*1834.61</f>
        <v>1834.61</v>
      </c>
      <c r="D3525" s="1">
        <v>0</v>
      </c>
      <c r="E3525">
        <f>D3525*C3525</f>
        <v>0</v>
      </c>
      <c r="F3525" s="1" t="s">
        <v>10183</v>
      </c>
      <c r="G3525" s="17">
        <v>81326</v>
      </c>
    </row>
    <row r="3526" spans="1:7">
      <c r="A3526" s="1" t="s">
        <v>10184</v>
      </c>
      <c r="B3526" s="1" t="s">
        <v>10185</v>
      </c>
      <c r="C3526">
        <f>(1-(B7/100))*1854.24</f>
        <v>1854.24</v>
      </c>
      <c r="D3526" s="1">
        <v>0</v>
      </c>
      <c r="E3526">
        <f>D3526*C3526</f>
        <v>0</v>
      </c>
      <c r="F3526" s="1" t="s">
        <v>10186</v>
      </c>
      <c r="G3526" s="17">
        <v>81328</v>
      </c>
    </row>
    <row r="3527" spans="1:7">
      <c r="A3527" s="1" t="s">
        <v>10187</v>
      </c>
      <c r="B3527" s="1" t="s">
        <v>10188</v>
      </c>
      <c r="C3527">
        <f>(1-(B7/100))*2073.58</f>
        <v>2073.58</v>
      </c>
      <c r="D3527" s="1">
        <v>0</v>
      </c>
      <c r="E3527">
        <f>D3527*C3527</f>
        <v>0</v>
      </c>
      <c r="F3527" s="1" t="s">
        <v>10189</v>
      </c>
      <c r="G3527" s="17">
        <v>81329</v>
      </c>
    </row>
    <row r="3528" spans="1:7">
      <c r="A3528" s="1" t="s">
        <v>10190</v>
      </c>
      <c r="B3528" s="1" t="s">
        <v>10191</v>
      </c>
      <c r="C3528">
        <f>(1-(B7/100))*1932.74</f>
        <v>1932.74</v>
      </c>
      <c r="D3528" s="1">
        <v>0</v>
      </c>
      <c r="E3528">
        <f>D3528*C3528</f>
        <v>0</v>
      </c>
      <c r="F3528" s="1" t="s">
        <v>10192</v>
      </c>
      <c r="G3528" s="17">
        <v>81330</v>
      </c>
    </row>
    <row r="3529" spans="1:7">
      <c r="A3529" s="1" t="s">
        <v>10193</v>
      </c>
      <c r="B3529" s="1" t="s">
        <v>10194</v>
      </c>
      <c r="C3529">
        <f>(1-(B7/100))*2139.56</f>
        <v>2139.56</v>
      </c>
      <c r="D3529" s="1">
        <v>0</v>
      </c>
      <c r="E3529">
        <f>D3529*C3529</f>
        <v>0</v>
      </c>
      <c r="F3529" s="1" t="s">
        <v>10195</v>
      </c>
      <c r="G3529" s="17">
        <v>81332</v>
      </c>
    </row>
    <row r="3530" spans="1:7">
      <c r="A3530" s="1" t="s">
        <v>10196</v>
      </c>
      <c r="B3530" s="1" t="s">
        <v>10197</v>
      </c>
      <c r="C3530">
        <f>(1-(B7/100))*2363.47</f>
        <v>2363.47</v>
      </c>
      <c r="D3530" s="1">
        <v>0</v>
      </c>
      <c r="E3530">
        <f>D3530*C3530</f>
        <v>0</v>
      </c>
      <c r="F3530" s="1" t="s">
        <v>10198</v>
      </c>
      <c r="G3530" s="17">
        <v>81333</v>
      </c>
    </row>
    <row r="3531" spans="1:7">
      <c r="A3531" s="1" t="s">
        <v>10199</v>
      </c>
      <c r="B3531" s="1" t="s">
        <v>10200</v>
      </c>
      <c r="C3531">
        <f>(1-(B7/100))*2171.72</f>
        <v>2171.72</v>
      </c>
      <c r="D3531" s="1">
        <v>0</v>
      </c>
      <c r="E3531">
        <f>D3531*C3531</f>
        <v>0</v>
      </c>
      <c r="F3531" s="1" t="s">
        <v>10201</v>
      </c>
      <c r="G3531" s="17">
        <v>81334</v>
      </c>
    </row>
    <row r="3532" spans="1:7">
      <c r="A3532" s="1" t="s">
        <v>10202</v>
      </c>
      <c r="B3532" s="1" t="s">
        <v>10203</v>
      </c>
      <c r="C3532">
        <f>(1-(B7/100))*585.08</f>
        <v>585.08</v>
      </c>
      <c r="D3532" s="1">
        <v>0</v>
      </c>
      <c r="E3532">
        <f>D3532*C3532</f>
        <v>0</v>
      </c>
      <c r="F3532" s="1" t="s">
        <v>10204</v>
      </c>
      <c r="G3532" s="17">
        <v>81341</v>
      </c>
    </row>
    <row r="3533" spans="1:7">
      <c r="A3533" s="1" t="s">
        <v>10205</v>
      </c>
      <c r="B3533" s="1" t="s">
        <v>10206</v>
      </c>
      <c r="C3533">
        <f>(1-(B7/100))*54.74</f>
        <v>54.74</v>
      </c>
      <c r="D3533" s="1">
        <v>0</v>
      </c>
      <c r="E3533">
        <f>D3533*C3533</f>
        <v>0</v>
      </c>
      <c r="F3533" s="1" t="s">
        <v>10207</v>
      </c>
      <c r="G3533" s="17">
        <v>81343</v>
      </c>
    </row>
    <row r="3534" spans="1:7">
      <c r="A3534" s="1" t="s">
        <v>10208</v>
      </c>
      <c r="B3534" s="1" t="s">
        <v>10209</v>
      </c>
      <c r="C3534">
        <f>(1-(B7/100))*1449.48</f>
        <v>1449.48</v>
      </c>
      <c r="D3534" s="1">
        <v>0</v>
      </c>
      <c r="E3534">
        <f>D3534*C3534</f>
        <v>0</v>
      </c>
      <c r="F3534" s="1" t="s">
        <v>10210</v>
      </c>
      <c r="G3534" s="17">
        <v>81344</v>
      </c>
    </row>
    <row r="3535" spans="1:7">
      <c r="A3535" s="1" t="s">
        <v>10211</v>
      </c>
      <c r="B3535" s="1" t="s">
        <v>10212</v>
      </c>
      <c r="C3535">
        <f>(1-(B7/100))*265.35</f>
        <v>265.35</v>
      </c>
      <c r="D3535" s="1">
        <v>0</v>
      </c>
      <c r="E3535">
        <f>D3535*C3535</f>
        <v>0</v>
      </c>
      <c r="F3535" s="1" t="s">
        <v>10213</v>
      </c>
      <c r="G3535" s="17">
        <v>81346</v>
      </c>
    </row>
    <row r="3536" spans="1:7">
      <c r="A3536" s="1" t="s">
        <v>10214</v>
      </c>
      <c r="B3536" s="1" t="s">
        <v>10215</v>
      </c>
      <c r="C3536">
        <f>(1-(B7/100))*3973.28</f>
        <v>3973.28</v>
      </c>
      <c r="D3536" s="1">
        <v>0</v>
      </c>
      <c r="E3536">
        <f>D3536*C3536</f>
        <v>0</v>
      </c>
      <c r="F3536" s="1" t="s">
        <v>10216</v>
      </c>
      <c r="G3536" s="17">
        <v>81505</v>
      </c>
    </row>
    <row r="3537" spans="1:7">
      <c r="A3537" s="1" t="s">
        <v>10217</v>
      </c>
      <c r="B3537" s="1" t="s">
        <v>10218</v>
      </c>
      <c r="C3537">
        <f>(1-(B7/100))*40.58</f>
        <v>40.58</v>
      </c>
      <c r="D3537" s="1">
        <v>0</v>
      </c>
      <c r="E3537">
        <f>D3537*C3537</f>
        <v>0</v>
      </c>
      <c r="F3537" s="1" t="s">
        <v>10219</v>
      </c>
      <c r="G3537" s="17">
        <v>83346</v>
      </c>
    </row>
    <row r="3538" spans="1:7">
      <c r="A3538" s="1" t="s">
        <v>10220</v>
      </c>
      <c r="B3538" s="1" t="s">
        <v>10221</v>
      </c>
      <c r="C3538">
        <f>(1-(B7/100))*40.58</f>
        <v>40.58</v>
      </c>
      <c r="D3538" s="1">
        <v>0</v>
      </c>
      <c r="E3538">
        <f>D3538*C3538</f>
        <v>0</v>
      </c>
      <c r="F3538" s="1" t="s">
        <v>10222</v>
      </c>
      <c r="G3538" s="17">
        <v>83347</v>
      </c>
    </row>
    <row r="3539" spans="1:7">
      <c r="A3539" s="1" t="s">
        <v>10223</v>
      </c>
      <c r="B3539" s="1" t="s">
        <v>10224</v>
      </c>
      <c r="C3539">
        <f>(1-(B7/100))*135.13</f>
        <v>135.13</v>
      </c>
      <c r="D3539" s="1">
        <v>0</v>
      </c>
      <c r="E3539">
        <f>D3539*C3539</f>
        <v>0</v>
      </c>
      <c r="F3539" s="1" t="s">
        <v>10225</v>
      </c>
      <c r="G3539" s="17">
        <v>84273</v>
      </c>
    </row>
    <row r="3540" spans="1:7">
      <c r="A3540" s="1" t="s">
        <v>10226</v>
      </c>
      <c r="B3540" s="1" t="s">
        <v>10227</v>
      </c>
      <c r="C3540">
        <f>(1-(B7/100))*296.67</f>
        <v>296.67</v>
      </c>
      <c r="D3540" s="1">
        <v>0</v>
      </c>
      <c r="E3540">
        <f>D3540*C3540</f>
        <v>0</v>
      </c>
      <c r="F3540" s="1" t="s">
        <v>10228</v>
      </c>
      <c r="G3540" s="17">
        <v>85702</v>
      </c>
    </row>
    <row r="3541" spans="1:7">
      <c r="A3541" s="1" t="s">
        <v>10229</v>
      </c>
      <c r="B3541" s="1" t="s">
        <v>10230</v>
      </c>
      <c r="C3541">
        <f>(1-(B7/100))*131.57</f>
        <v>131.57</v>
      </c>
      <c r="D3541" s="1">
        <v>0</v>
      </c>
      <c r="E3541">
        <f>D3541*C3541</f>
        <v>0</v>
      </c>
      <c r="F3541" s="1" t="s">
        <v>10231</v>
      </c>
      <c r="G3541" s="17">
        <v>85920</v>
      </c>
    </row>
    <row r="3542" spans="1:7">
      <c r="A3542" s="1" t="s">
        <v>10232</v>
      </c>
      <c r="B3542" s="1" t="s">
        <v>10233</v>
      </c>
      <c r="C3542">
        <f>(1-(B7/100))*315.73</f>
        <v>315.73</v>
      </c>
      <c r="D3542" s="1">
        <v>0</v>
      </c>
      <c r="E3542">
        <f>D3542*C3542</f>
        <v>0</v>
      </c>
      <c r="F3542" s="1" t="s">
        <v>10234</v>
      </c>
      <c r="G3542" s="17">
        <v>86039</v>
      </c>
    </row>
    <row r="3543" spans="1:7">
      <c r="A3543" s="1" t="s">
        <v>10235</v>
      </c>
      <c r="B3543" s="1" t="s">
        <v>10236</v>
      </c>
      <c r="C3543">
        <f>(1-(B7/100))*1107.2</f>
        <v>1107.2</v>
      </c>
      <c r="D3543" s="1">
        <v>0</v>
      </c>
      <c r="E3543">
        <f>D3543*C3543</f>
        <v>0</v>
      </c>
      <c r="F3543" s="1" t="s">
        <v>10237</v>
      </c>
      <c r="G3543" s="17">
        <v>86101</v>
      </c>
    </row>
    <row r="3544" spans="1:7">
      <c r="A3544" s="1" t="s">
        <v>10238</v>
      </c>
      <c r="B3544" s="1" t="s">
        <v>10239</v>
      </c>
      <c r="C3544">
        <f>(1-(B7/100))*665.14</f>
        <v>665.14</v>
      </c>
      <c r="D3544" s="1">
        <v>0</v>
      </c>
      <c r="E3544">
        <f>D3544*C3544</f>
        <v>0</v>
      </c>
      <c r="F3544" s="1" t="s">
        <v>10240</v>
      </c>
      <c r="G3544" s="17">
        <v>86199</v>
      </c>
    </row>
    <row r="3545" spans="1:7">
      <c r="A3545" s="1" t="s">
        <v>10241</v>
      </c>
      <c r="B3545" s="1" t="s">
        <v>10242</v>
      </c>
      <c r="C3545">
        <f>(1-(B7/100))*214.88</f>
        <v>214.88</v>
      </c>
      <c r="D3545" s="1">
        <v>0</v>
      </c>
      <c r="E3545">
        <f>D3545*C3545</f>
        <v>0</v>
      </c>
      <c r="F3545" s="1" t="s">
        <v>10243</v>
      </c>
      <c r="G3545" s="17">
        <v>86204</v>
      </c>
    </row>
    <row r="3546" spans="1:7">
      <c r="A3546" s="1" t="s">
        <v>10244</v>
      </c>
      <c r="B3546" s="1" t="s">
        <v>10245</v>
      </c>
      <c r="C3546">
        <f>(1-(B7/100))*197.32</f>
        <v>197.32</v>
      </c>
      <c r="D3546" s="1">
        <v>0</v>
      </c>
      <c r="E3546">
        <f>D3546*C3546</f>
        <v>0</v>
      </c>
      <c r="F3546" s="1" t="s">
        <v>10246</v>
      </c>
      <c r="G3546" s="17">
        <v>86353</v>
      </c>
    </row>
    <row r="3547" spans="1:7">
      <c r="A3547" s="1" t="s">
        <v>10247</v>
      </c>
      <c r="B3547" s="1" t="s">
        <v>10248</v>
      </c>
      <c r="C3547">
        <f>(1-(B7/100))*345.66</f>
        <v>345.66</v>
      </c>
      <c r="D3547" s="1">
        <v>0</v>
      </c>
      <c r="E3547">
        <f>D3547*C3547</f>
        <v>0</v>
      </c>
      <c r="F3547" s="1" t="s">
        <v>10249</v>
      </c>
      <c r="G3547" s="17">
        <v>86432</v>
      </c>
    </row>
    <row r="3548" spans="1:7">
      <c r="A3548" s="1" t="s">
        <v>10250</v>
      </c>
      <c r="B3548" s="1" t="s">
        <v>10251</v>
      </c>
      <c r="C3548">
        <f>(1-(B7/100))*119.7</f>
        <v>119.7</v>
      </c>
      <c r="D3548" s="1">
        <v>0</v>
      </c>
      <c r="E3548">
        <f>D3548*C3548</f>
        <v>0</v>
      </c>
      <c r="F3548" s="1" t="s">
        <v>10252</v>
      </c>
      <c r="G3548" s="17">
        <v>86487</v>
      </c>
    </row>
    <row r="3549" spans="1:7">
      <c r="A3549" s="1" t="s">
        <v>10253</v>
      </c>
      <c r="B3549" s="1" t="s">
        <v>10254</v>
      </c>
      <c r="C3549">
        <f>(1-(B7/100))*655.32</f>
        <v>655.32</v>
      </c>
      <c r="D3549" s="1">
        <v>0</v>
      </c>
      <c r="E3549">
        <f>D3549*C3549</f>
        <v>0</v>
      </c>
      <c r="F3549" s="1" t="s">
        <v>10255</v>
      </c>
      <c r="G3549" s="17">
        <v>86509</v>
      </c>
    </row>
    <row r="3550" spans="1:7">
      <c r="A3550" s="1" t="s">
        <v>10256</v>
      </c>
      <c r="B3550" s="1" t="s">
        <v>10257</v>
      </c>
      <c r="C3550">
        <f>(1-(B7/100))*312.28</f>
        <v>312.28</v>
      </c>
      <c r="D3550" s="1">
        <v>0</v>
      </c>
      <c r="E3550">
        <f>D3550*C3550</f>
        <v>0</v>
      </c>
      <c r="F3550" s="1" t="s">
        <v>10258</v>
      </c>
      <c r="G3550" s="17">
        <v>86574</v>
      </c>
    </row>
    <row r="3551" spans="1:7">
      <c r="A3551" s="1" t="s">
        <v>10259</v>
      </c>
      <c r="B3551" s="1" t="s">
        <v>10260</v>
      </c>
      <c r="C3551">
        <f>(1-(B7/100))*650.96</f>
        <v>650.96</v>
      </c>
      <c r="D3551" s="1">
        <v>0</v>
      </c>
      <c r="E3551">
        <f>D3551*C3551</f>
        <v>0</v>
      </c>
      <c r="F3551" s="1" t="s">
        <v>10261</v>
      </c>
      <c r="G3551" s="17">
        <v>86581</v>
      </c>
    </row>
    <row r="3552" spans="1:7">
      <c r="A3552" s="1" t="s">
        <v>10262</v>
      </c>
      <c r="B3552" s="1" t="s">
        <v>10263</v>
      </c>
      <c r="C3552">
        <f>(1-(B7/100))*372.33</f>
        <v>372.33</v>
      </c>
      <c r="D3552" s="1">
        <v>0</v>
      </c>
      <c r="E3552">
        <f>D3552*C3552</f>
        <v>0</v>
      </c>
      <c r="F3552" s="1" t="s">
        <v>10264</v>
      </c>
      <c r="G3552" s="17">
        <v>86592</v>
      </c>
    </row>
    <row r="3553" spans="1:7">
      <c r="A3553" s="1" t="s">
        <v>10265</v>
      </c>
      <c r="B3553" s="1" t="s">
        <v>10266</v>
      </c>
      <c r="C3553">
        <f>(1-(B7/100))*171.45</f>
        <v>171.45</v>
      </c>
      <c r="D3553" s="1">
        <v>0</v>
      </c>
      <c r="E3553">
        <f>D3553*C3553</f>
        <v>0</v>
      </c>
      <c r="F3553" s="1" t="s">
        <v>10267</v>
      </c>
      <c r="G3553" s="17">
        <v>86605</v>
      </c>
    </row>
    <row r="3554" spans="1:7">
      <c r="A3554" s="1" t="s">
        <v>10268</v>
      </c>
      <c r="B3554" s="1" t="s">
        <v>10269</v>
      </c>
      <c r="C3554">
        <f>(1-(B7/100))*297.9</f>
        <v>297.9</v>
      </c>
      <c r="D3554" s="1">
        <v>0</v>
      </c>
      <c r="E3554">
        <f>D3554*C3554</f>
        <v>0</v>
      </c>
      <c r="F3554" s="1" t="s">
        <v>10270</v>
      </c>
      <c r="G3554" s="17">
        <v>86755</v>
      </c>
    </row>
    <row r="3555" spans="1:7">
      <c r="A3555" s="1" t="s">
        <v>10271</v>
      </c>
      <c r="B3555" s="1" t="s">
        <v>10272</v>
      </c>
      <c r="C3555">
        <f>(1-(B7/100))*4687.36</f>
        <v>4687.36</v>
      </c>
      <c r="D3555" s="1">
        <v>0</v>
      </c>
      <c r="E3555">
        <f>D3555*C3555</f>
        <v>0</v>
      </c>
      <c r="F3555" s="1" t="s">
        <v>10273</v>
      </c>
      <c r="G3555" s="17">
        <v>86853</v>
      </c>
    </row>
    <row r="3556" spans="1:7">
      <c r="A3556" s="1" t="s">
        <v>10274</v>
      </c>
      <c r="B3556" s="1" t="s">
        <v>10275</v>
      </c>
      <c r="C3556">
        <f>(1-(B7/100))*391.23</f>
        <v>391.23</v>
      </c>
      <c r="D3556" s="1">
        <v>0</v>
      </c>
      <c r="E3556">
        <f>D3556*C3556</f>
        <v>0</v>
      </c>
      <c r="F3556" s="1" t="s">
        <v>16</v>
      </c>
      <c r="G3556" s="17">
        <v>87232</v>
      </c>
    </row>
    <row r="3557" spans="1:7">
      <c r="A3557" s="1" t="s">
        <v>10276</v>
      </c>
      <c r="B3557" s="1" t="s">
        <v>10277</v>
      </c>
      <c r="C3557">
        <f>(1-(B7/100))*2654.38</f>
        <v>2654.38</v>
      </c>
      <c r="D3557" s="1">
        <v>0</v>
      </c>
      <c r="E3557">
        <f>D3557*C3557</f>
        <v>0</v>
      </c>
      <c r="F3557" s="1" t="s">
        <v>10278</v>
      </c>
      <c r="G3557" s="17">
        <v>87315</v>
      </c>
    </row>
    <row r="3558" spans="1:7">
      <c r="A3558" s="1" t="s">
        <v>10279</v>
      </c>
      <c r="B3558" s="1" t="s">
        <v>10280</v>
      </c>
      <c r="C3558">
        <f>(1-(B7/100))*34.05</f>
        <v>34.05</v>
      </c>
      <c r="D3558" s="1">
        <v>0</v>
      </c>
      <c r="E3558">
        <f>D3558*C3558</f>
        <v>0</v>
      </c>
      <c r="F3558" s="1" t="s">
        <v>10281</v>
      </c>
      <c r="G3558" s="17">
        <v>87364</v>
      </c>
    </row>
    <row r="3559" spans="1:7">
      <c r="A3559" s="1" t="s">
        <v>10282</v>
      </c>
      <c r="B3559" s="1" t="s">
        <v>10283</v>
      </c>
      <c r="C3559">
        <f>(1-(B7/100))*76.45</f>
        <v>76.45</v>
      </c>
      <c r="D3559" s="1">
        <v>0</v>
      </c>
      <c r="E3559">
        <f>D3559*C3559</f>
        <v>0</v>
      </c>
      <c r="F3559" s="1" t="s">
        <v>10284</v>
      </c>
      <c r="G3559" s="17">
        <v>87461</v>
      </c>
    </row>
    <row r="3560" spans="1:7">
      <c r="A3560" s="1" t="s">
        <v>10285</v>
      </c>
      <c r="B3560" s="1" t="s">
        <v>10286</v>
      </c>
      <c r="C3560">
        <f>(1-(B7/100))*1121.16</f>
        <v>1121.16</v>
      </c>
      <c r="D3560" s="1">
        <v>0</v>
      </c>
      <c r="E3560">
        <f>D3560*C3560</f>
        <v>0</v>
      </c>
      <c r="F3560" s="1" t="s">
        <v>10287</v>
      </c>
      <c r="G3560" s="17">
        <v>87462</v>
      </c>
    </row>
    <row r="3561" spans="1:7">
      <c r="A3561" s="1" t="s">
        <v>10288</v>
      </c>
      <c r="B3561" s="1" t="s">
        <v>10289</v>
      </c>
      <c r="C3561">
        <f>(1-(B7/100))*295.48</f>
        <v>295.48</v>
      </c>
      <c r="D3561" s="1">
        <v>0</v>
      </c>
      <c r="E3561">
        <f>D3561*C3561</f>
        <v>0</v>
      </c>
      <c r="F3561" s="1" t="s">
        <v>10290</v>
      </c>
      <c r="G3561" s="17">
        <v>87464</v>
      </c>
    </row>
    <row r="3562" spans="1:7">
      <c r="A3562" s="1" t="s">
        <v>10291</v>
      </c>
      <c r="B3562" s="1" t="s">
        <v>10292</v>
      </c>
      <c r="C3562">
        <f>(1-(B7/100))*364.58</f>
        <v>364.58</v>
      </c>
      <c r="D3562" s="1">
        <v>0</v>
      </c>
      <c r="E3562">
        <f>D3562*C3562</f>
        <v>0</v>
      </c>
      <c r="F3562" s="1" t="s">
        <v>10293</v>
      </c>
      <c r="G3562" s="17">
        <v>87483</v>
      </c>
    </row>
    <row r="3563" spans="1:7">
      <c r="A3563" s="1" t="s">
        <v>10294</v>
      </c>
      <c r="B3563" s="1" t="s">
        <v>10295</v>
      </c>
      <c r="C3563">
        <f>(1-(B7/100))*208.19</f>
        <v>208.19</v>
      </c>
      <c r="D3563" s="1">
        <v>0</v>
      </c>
      <c r="E3563">
        <f>D3563*C3563</f>
        <v>0</v>
      </c>
      <c r="F3563" s="1" t="s">
        <v>16</v>
      </c>
      <c r="G3563" s="17">
        <v>87893</v>
      </c>
    </row>
    <row r="3564" spans="1:7">
      <c r="A3564" s="16"/>
      <c r="B3564" s="16" t="s">
        <v>10296</v>
      </c>
      <c r="C3564" s="16"/>
      <c r="D3564" s="16"/>
      <c r="E3564" s="16"/>
      <c r="F3564" s="16"/>
    </row>
    <row r="3565" spans="1:7">
      <c r="A3565" s="1">
        <v>10001117</v>
      </c>
      <c r="B3565" s="1" t="s">
        <v>10297</v>
      </c>
      <c r="C3565">
        <f>(1-(B7/100))*1769.59</f>
        <v>1769.59</v>
      </c>
      <c r="D3565" s="1">
        <v>0</v>
      </c>
      <c r="E3565">
        <f>D3565*C3565</f>
        <v>0</v>
      </c>
      <c r="F3565" s="1" t="s">
        <v>10298</v>
      </c>
      <c r="G3565" s="17">
        <v>63364</v>
      </c>
    </row>
    <row r="3566" spans="1:7">
      <c r="A3566" s="1" t="s">
        <v>10299</v>
      </c>
      <c r="B3566" s="1" t="s">
        <v>10300</v>
      </c>
      <c r="C3566">
        <f>(1-(B7/100))*195.65</f>
        <v>195.65</v>
      </c>
      <c r="D3566" s="1">
        <v>0</v>
      </c>
      <c r="E3566">
        <f>D3566*C3566</f>
        <v>0</v>
      </c>
      <c r="F3566" s="1" t="s">
        <v>10301</v>
      </c>
      <c r="G3566" s="17">
        <v>63581</v>
      </c>
    </row>
    <row r="3567" spans="1:7">
      <c r="A3567" s="1" t="s">
        <v>10302</v>
      </c>
      <c r="B3567" s="1" t="s">
        <v>10303</v>
      </c>
      <c r="C3567">
        <f>(1-(B7/100))*190.31</f>
        <v>190.31</v>
      </c>
      <c r="D3567" s="1">
        <v>0</v>
      </c>
      <c r="E3567">
        <f>D3567*C3567</f>
        <v>0</v>
      </c>
      <c r="F3567" s="1" t="s">
        <v>10304</v>
      </c>
      <c r="G3567" s="17">
        <v>63582</v>
      </c>
    </row>
    <row r="3568" spans="1:7">
      <c r="A3568" s="1" t="s">
        <v>10305</v>
      </c>
      <c r="B3568" s="1" t="s">
        <v>10306</v>
      </c>
      <c r="C3568">
        <f>(1-(B7/100))*2684.22</f>
        <v>2684.22</v>
      </c>
      <c r="D3568" s="1">
        <v>0</v>
      </c>
      <c r="E3568">
        <f>D3568*C3568</f>
        <v>0</v>
      </c>
      <c r="F3568" s="1" t="s">
        <v>10307</v>
      </c>
      <c r="G3568" s="17">
        <v>66845</v>
      </c>
    </row>
    <row r="3569" spans="1:7">
      <c r="A3569" s="1" t="s">
        <v>10308</v>
      </c>
      <c r="B3569" s="1" t="s">
        <v>10309</v>
      </c>
      <c r="C3569">
        <f>(1-(B7/100))*845.66</f>
        <v>845.66</v>
      </c>
      <c r="D3569" s="1">
        <v>0</v>
      </c>
      <c r="E3569">
        <f>D3569*C3569</f>
        <v>0</v>
      </c>
      <c r="F3569" s="1" t="s">
        <v>10310</v>
      </c>
      <c r="G3569" s="17">
        <v>66853</v>
      </c>
    </row>
    <row r="3570" spans="1:7">
      <c r="A3570" s="1" t="s">
        <v>10311</v>
      </c>
      <c r="B3570" s="1" t="s">
        <v>10312</v>
      </c>
      <c r="C3570">
        <f>(1-(B7/100))*255.93</f>
        <v>255.93</v>
      </c>
      <c r="D3570" s="1">
        <v>0</v>
      </c>
      <c r="E3570">
        <f>D3570*C3570</f>
        <v>0</v>
      </c>
      <c r="F3570" s="1" t="s">
        <v>10313</v>
      </c>
      <c r="G3570" s="17">
        <v>66867</v>
      </c>
    </row>
    <row r="3571" spans="1:7">
      <c r="A3571" s="1" t="s">
        <v>10314</v>
      </c>
      <c r="B3571" s="1" t="s">
        <v>10315</v>
      </c>
      <c r="C3571">
        <f>(1-(B7/100))*255.02</f>
        <v>255.02</v>
      </c>
      <c r="D3571" s="1">
        <v>0</v>
      </c>
      <c r="E3571">
        <f>D3571*C3571</f>
        <v>0</v>
      </c>
      <c r="F3571" s="1" t="s">
        <v>10316</v>
      </c>
      <c r="G3571" s="17">
        <v>66868</v>
      </c>
    </row>
    <row r="3572" spans="1:7">
      <c r="A3572" s="1" t="s">
        <v>10317</v>
      </c>
      <c r="B3572" s="1" t="s">
        <v>10318</v>
      </c>
      <c r="C3572">
        <f>(1-(B7/100))*665.6</f>
        <v>665.6</v>
      </c>
      <c r="D3572" s="1">
        <v>0</v>
      </c>
      <c r="E3572">
        <f>D3572*C3572</f>
        <v>0</v>
      </c>
      <c r="F3572" s="1" t="s">
        <v>10319</v>
      </c>
      <c r="G3572" s="17">
        <v>66869</v>
      </c>
    </row>
    <row r="3573" spans="1:7">
      <c r="A3573" s="1" t="s">
        <v>10320</v>
      </c>
      <c r="B3573" s="1" t="s">
        <v>10321</v>
      </c>
      <c r="C3573">
        <f>(1-(B7/100))*506.08</f>
        <v>506.08</v>
      </c>
      <c r="D3573" s="1">
        <v>0</v>
      </c>
      <c r="E3573">
        <f>D3573*C3573</f>
        <v>0</v>
      </c>
      <c r="F3573" s="1" t="s">
        <v>10322</v>
      </c>
      <c r="G3573" s="17">
        <v>66905</v>
      </c>
    </row>
    <row r="3574" spans="1:7">
      <c r="A3574" s="1" t="s">
        <v>10323</v>
      </c>
      <c r="B3574" s="1" t="s">
        <v>10324</v>
      </c>
      <c r="C3574">
        <f>(1-(B7/100))*1470.04</f>
        <v>1470.04</v>
      </c>
      <c r="D3574" s="1">
        <v>0</v>
      </c>
      <c r="E3574">
        <f>D3574*C3574</f>
        <v>0</v>
      </c>
      <c r="F3574" s="1" t="s">
        <v>10325</v>
      </c>
      <c r="G3574" s="17">
        <v>66929</v>
      </c>
    </row>
    <row r="3575" spans="1:7">
      <c r="A3575" s="1" t="s">
        <v>10326</v>
      </c>
      <c r="B3575" s="1" t="s">
        <v>10327</v>
      </c>
      <c r="C3575">
        <f>(1-(B7/100))*1717.54</f>
        <v>1717.54</v>
      </c>
      <c r="D3575" s="1">
        <v>0</v>
      </c>
      <c r="E3575">
        <f>D3575*C3575</f>
        <v>0</v>
      </c>
      <c r="F3575" s="1" t="s">
        <v>10328</v>
      </c>
      <c r="G3575" s="17">
        <v>66930</v>
      </c>
    </row>
    <row r="3576" spans="1:7">
      <c r="A3576" s="1" t="s">
        <v>10329</v>
      </c>
      <c r="B3576" s="1" t="s">
        <v>10330</v>
      </c>
      <c r="C3576">
        <f>(1-(B7/100))*424.65</f>
        <v>424.65</v>
      </c>
      <c r="D3576" s="1">
        <v>0</v>
      </c>
      <c r="E3576">
        <f>D3576*C3576</f>
        <v>0</v>
      </c>
      <c r="F3576" s="1" t="s">
        <v>10331</v>
      </c>
      <c r="G3576" s="17">
        <v>66934</v>
      </c>
    </row>
    <row r="3577" spans="1:7">
      <c r="A3577" s="1" t="s">
        <v>10332</v>
      </c>
      <c r="B3577" s="1" t="s">
        <v>10333</v>
      </c>
      <c r="C3577">
        <f>(1-(B7/100))*5412.85</f>
        <v>5412.85</v>
      </c>
      <c r="D3577" s="1">
        <v>0</v>
      </c>
      <c r="E3577">
        <f>D3577*C3577</f>
        <v>0</v>
      </c>
      <c r="F3577" s="1" t="s">
        <v>10334</v>
      </c>
      <c r="G3577" s="17">
        <v>66940</v>
      </c>
    </row>
    <row r="3578" spans="1:7">
      <c r="A3578" s="1" t="s">
        <v>10335</v>
      </c>
      <c r="B3578" s="1" t="s">
        <v>10336</v>
      </c>
      <c r="C3578">
        <f>(1-(B7/100))*1659.02</f>
        <v>1659.02</v>
      </c>
      <c r="D3578" s="1">
        <v>0</v>
      </c>
      <c r="E3578">
        <f>D3578*C3578</f>
        <v>0</v>
      </c>
      <c r="F3578" s="1" t="s">
        <v>10337</v>
      </c>
      <c r="G3578" s="17">
        <v>66944</v>
      </c>
    </row>
    <row r="3579" spans="1:7">
      <c r="A3579" s="1" t="s">
        <v>10338</v>
      </c>
      <c r="B3579" s="1" t="s">
        <v>10339</v>
      </c>
      <c r="C3579">
        <f>(1-(B7/100))*67.75</f>
        <v>67.75</v>
      </c>
      <c r="D3579" s="1">
        <v>0</v>
      </c>
      <c r="E3579">
        <f>D3579*C3579</f>
        <v>0</v>
      </c>
      <c r="F3579" s="1" t="s">
        <v>10340</v>
      </c>
      <c r="G3579" s="17">
        <v>66963</v>
      </c>
    </row>
    <row r="3580" spans="1:7">
      <c r="A3580" s="1" t="s">
        <v>10341</v>
      </c>
      <c r="B3580" s="1" t="s">
        <v>10342</v>
      </c>
      <c r="C3580">
        <f>(1-(B7/100))*2477.24</f>
        <v>2477.24</v>
      </c>
      <c r="D3580" s="1">
        <v>0</v>
      </c>
      <c r="E3580">
        <f>D3580*C3580</f>
        <v>0</v>
      </c>
      <c r="F3580" s="1" t="s">
        <v>10343</v>
      </c>
      <c r="G3580" s="17">
        <v>66965</v>
      </c>
    </row>
    <row r="3581" spans="1:7">
      <c r="A3581" s="1" t="s">
        <v>10344</v>
      </c>
      <c r="B3581" s="1" t="s">
        <v>10345</v>
      </c>
      <c r="C3581">
        <f>(1-(B7/100))*136.39</f>
        <v>136.39</v>
      </c>
      <c r="D3581" s="1">
        <v>0</v>
      </c>
      <c r="E3581">
        <f>D3581*C3581</f>
        <v>0</v>
      </c>
      <c r="F3581" s="1" t="s">
        <v>10346</v>
      </c>
      <c r="G3581" s="17">
        <v>67005</v>
      </c>
    </row>
    <row r="3582" spans="1:7">
      <c r="A3582" s="1" t="s">
        <v>10347</v>
      </c>
      <c r="B3582" s="1" t="s">
        <v>10348</v>
      </c>
      <c r="C3582">
        <f>(1-(B7/100))*776.55</f>
        <v>776.55</v>
      </c>
      <c r="D3582" s="1">
        <v>0</v>
      </c>
      <c r="E3582">
        <f>D3582*C3582</f>
        <v>0</v>
      </c>
      <c r="F3582" s="1" t="s">
        <v>10349</v>
      </c>
      <c r="G3582" s="17">
        <v>67010</v>
      </c>
    </row>
    <row r="3583" spans="1:7">
      <c r="A3583" s="1" t="s">
        <v>10350</v>
      </c>
      <c r="B3583" s="1" t="s">
        <v>10351</v>
      </c>
      <c r="C3583">
        <f>(1-(B7/100))*665.1</f>
        <v>665.1</v>
      </c>
      <c r="D3583" s="1">
        <v>0</v>
      </c>
      <c r="E3583">
        <f>D3583*C3583</f>
        <v>0</v>
      </c>
      <c r="F3583" s="1" t="s">
        <v>10352</v>
      </c>
      <c r="G3583" s="17">
        <v>67016</v>
      </c>
    </row>
    <row r="3584" spans="1:7">
      <c r="A3584" s="1" t="s">
        <v>10353</v>
      </c>
      <c r="B3584" s="1" t="s">
        <v>10354</v>
      </c>
      <c r="C3584">
        <f>(1-(B7/100))*20.75</f>
        <v>20.75</v>
      </c>
      <c r="D3584" s="1">
        <v>0</v>
      </c>
      <c r="E3584">
        <f>D3584*C3584</f>
        <v>0</v>
      </c>
      <c r="F3584" s="1" t="s">
        <v>10355</v>
      </c>
      <c r="G3584" s="17">
        <v>67022</v>
      </c>
    </row>
    <row r="3585" spans="1:7">
      <c r="A3585" s="1" t="s">
        <v>10356</v>
      </c>
      <c r="B3585" s="1" t="s">
        <v>10357</v>
      </c>
      <c r="C3585">
        <f>(1-(B7/100))*47.11</f>
        <v>47.11</v>
      </c>
      <c r="D3585" s="1">
        <v>0</v>
      </c>
      <c r="E3585">
        <f>D3585*C3585</f>
        <v>0</v>
      </c>
      <c r="F3585" s="1" t="s">
        <v>10358</v>
      </c>
      <c r="G3585" s="17">
        <v>67025</v>
      </c>
    </row>
    <row r="3586" spans="1:7">
      <c r="A3586" s="1" t="s">
        <v>10359</v>
      </c>
      <c r="B3586" s="1" t="s">
        <v>10360</v>
      </c>
      <c r="C3586">
        <f>(1-(B7/100))*265.48</f>
        <v>265.48</v>
      </c>
      <c r="D3586" s="1">
        <v>0</v>
      </c>
      <c r="E3586">
        <f>D3586*C3586</f>
        <v>0</v>
      </c>
      <c r="F3586" s="1" t="s">
        <v>10361</v>
      </c>
      <c r="G3586" s="17">
        <v>67068</v>
      </c>
    </row>
    <row r="3587" spans="1:7">
      <c r="A3587" s="1" t="s">
        <v>10362</v>
      </c>
      <c r="B3587" s="1" t="s">
        <v>10363</v>
      </c>
      <c r="C3587">
        <f>(1-(B7/100))*578.48</f>
        <v>578.48</v>
      </c>
      <c r="D3587" s="1">
        <v>0</v>
      </c>
      <c r="E3587">
        <f>D3587*C3587</f>
        <v>0</v>
      </c>
      <c r="F3587" s="1" t="s">
        <v>10364</v>
      </c>
      <c r="G3587" s="17">
        <v>67336</v>
      </c>
    </row>
    <row r="3588" spans="1:7">
      <c r="A3588" s="1" t="s">
        <v>10365</v>
      </c>
      <c r="B3588" s="1" t="s">
        <v>10366</v>
      </c>
      <c r="C3588">
        <f>(1-(B7/100))*1309.74</f>
        <v>1309.74</v>
      </c>
      <c r="D3588" s="1">
        <v>0</v>
      </c>
      <c r="E3588">
        <f>D3588*C3588</f>
        <v>0</v>
      </c>
      <c r="F3588" s="1" t="s">
        <v>10367</v>
      </c>
      <c r="G3588" s="17">
        <v>67384</v>
      </c>
    </row>
    <row r="3589" spans="1:7">
      <c r="A3589" s="1" t="s">
        <v>10368</v>
      </c>
      <c r="B3589" s="1" t="s">
        <v>10369</v>
      </c>
      <c r="C3589">
        <f>(1-(B7/100))*203.02</f>
        <v>203.02</v>
      </c>
      <c r="D3589" s="1">
        <v>0</v>
      </c>
      <c r="E3589">
        <f>D3589*C3589</f>
        <v>0</v>
      </c>
      <c r="F3589" s="1" t="s">
        <v>10370</v>
      </c>
      <c r="G3589" s="17">
        <v>67408</v>
      </c>
    </row>
    <row r="3590" spans="1:7">
      <c r="A3590" s="1" t="s">
        <v>10371</v>
      </c>
      <c r="B3590" s="1" t="s">
        <v>10372</v>
      </c>
      <c r="C3590">
        <f>(1-(B7/100))*437.19</f>
        <v>437.19</v>
      </c>
      <c r="D3590" s="1">
        <v>0</v>
      </c>
      <c r="E3590">
        <f>D3590*C3590</f>
        <v>0</v>
      </c>
      <c r="F3590" s="1" t="s">
        <v>10373</v>
      </c>
      <c r="G3590" s="17">
        <v>70342</v>
      </c>
    </row>
    <row r="3591" spans="1:7">
      <c r="A3591" s="1" t="s">
        <v>10374</v>
      </c>
      <c r="B3591" s="1" t="s">
        <v>10375</v>
      </c>
      <c r="C3591">
        <f>(1-(B7/100))*2839.37</f>
        <v>2839.37</v>
      </c>
      <c r="D3591" s="1">
        <v>0</v>
      </c>
      <c r="E3591">
        <f>D3591*C3591</f>
        <v>0</v>
      </c>
      <c r="F3591" s="1" t="s">
        <v>10376</v>
      </c>
      <c r="G3591" s="17">
        <v>70373</v>
      </c>
    </row>
    <row r="3592" spans="1:7">
      <c r="A3592" s="1" t="s">
        <v>10377</v>
      </c>
      <c r="B3592" s="1" t="s">
        <v>10378</v>
      </c>
      <c r="C3592">
        <f>(1-(B7/100))*249.91</f>
        <v>249.91</v>
      </c>
      <c r="D3592" s="1">
        <v>0</v>
      </c>
      <c r="E3592">
        <f>D3592*C3592</f>
        <v>0</v>
      </c>
      <c r="F3592" s="1" t="s">
        <v>10379</v>
      </c>
      <c r="G3592" s="17">
        <v>71089</v>
      </c>
    </row>
    <row r="3593" spans="1:7">
      <c r="A3593" s="1" t="s">
        <v>10380</v>
      </c>
      <c r="B3593" s="1" t="s">
        <v>10381</v>
      </c>
      <c r="C3593">
        <f>(1-(B7/100))*133.24</f>
        <v>133.24</v>
      </c>
      <c r="D3593" s="1">
        <v>0</v>
      </c>
      <c r="E3593">
        <f>D3593*C3593</f>
        <v>0</v>
      </c>
      <c r="F3593" s="1" t="s">
        <v>10382</v>
      </c>
      <c r="G3593" s="17">
        <v>71227</v>
      </c>
    </row>
    <row r="3594" spans="1:7">
      <c r="A3594" s="1" t="s">
        <v>10383</v>
      </c>
      <c r="B3594" s="1" t="s">
        <v>10384</v>
      </c>
      <c r="C3594">
        <f>(1-(B7/100))*399.78</f>
        <v>399.78</v>
      </c>
      <c r="D3594" s="1">
        <v>0</v>
      </c>
      <c r="E3594">
        <f>D3594*C3594</f>
        <v>0</v>
      </c>
      <c r="F3594" s="1" t="s">
        <v>10385</v>
      </c>
      <c r="G3594" s="17">
        <v>71587</v>
      </c>
    </row>
    <row r="3595" spans="1:7">
      <c r="A3595" s="1" t="s">
        <v>10386</v>
      </c>
      <c r="B3595" s="1" t="s">
        <v>10387</v>
      </c>
      <c r="C3595">
        <f>(1-(B7/100))*3122.8</f>
        <v>3122.8</v>
      </c>
      <c r="D3595" s="1">
        <v>0</v>
      </c>
      <c r="E3595">
        <f>D3595*C3595</f>
        <v>0</v>
      </c>
      <c r="F3595" s="1" t="s">
        <v>10388</v>
      </c>
      <c r="G3595" s="17">
        <v>71852</v>
      </c>
    </row>
    <row r="3596" spans="1:7">
      <c r="A3596" s="1" t="s">
        <v>10389</v>
      </c>
      <c r="B3596" s="1" t="s">
        <v>10390</v>
      </c>
      <c r="C3596">
        <f>(1-(B7/100))*2081.87</f>
        <v>2081.87</v>
      </c>
      <c r="D3596" s="1">
        <v>0</v>
      </c>
      <c r="E3596">
        <f>D3596*C3596</f>
        <v>0</v>
      </c>
      <c r="F3596" s="1" t="s">
        <v>16</v>
      </c>
      <c r="G3596" s="17">
        <v>71929</v>
      </c>
    </row>
    <row r="3597" spans="1:7">
      <c r="A3597" s="1" t="s">
        <v>10391</v>
      </c>
      <c r="B3597" s="1" t="s">
        <v>10392</v>
      </c>
      <c r="C3597">
        <f>(1-(B7/100))*1700</f>
        <v>1700</v>
      </c>
      <c r="D3597" s="1">
        <v>0</v>
      </c>
      <c r="E3597">
        <f>D3597*C3597</f>
        <v>0</v>
      </c>
      <c r="F3597" s="1" t="s">
        <v>16</v>
      </c>
      <c r="G3597" s="17">
        <v>72174</v>
      </c>
    </row>
    <row r="3598" spans="1:7">
      <c r="A3598" s="1" t="s">
        <v>10393</v>
      </c>
      <c r="B3598" s="1" t="s">
        <v>10394</v>
      </c>
      <c r="C3598">
        <f>(1-(B7/100))*92.9</f>
        <v>92.9</v>
      </c>
      <c r="D3598" s="1">
        <v>0</v>
      </c>
      <c r="E3598">
        <f>D3598*C3598</f>
        <v>0</v>
      </c>
      <c r="F3598" s="1" t="s">
        <v>16</v>
      </c>
      <c r="G3598" s="17">
        <v>72312</v>
      </c>
    </row>
    <row r="3599" spans="1:7">
      <c r="A3599" s="1" t="s">
        <v>10395</v>
      </c>
      <c r="B3599" s="1" t="s">
        <v>10396</v>
      </c>
      <c r="C3599">
        <f>(1-(B7/100))*276.1</f>
        <v>276.1</v>
      </c>
      <c r="D3599" s="1">
        <v>0</v>
      </c>
      <c r="E3599">
        <f>D3599*C3599</f>
        <v>0</v>
      </c>
      <c r="F3599" s="1" t="s">
        <v>10397</v>
      </c>
      <c r="G3599" s="17">
        <v>72746</v>
      </c>
    </row>
    <row r="3600" spans="1:7">
      <c r="A3600" s="1" t="s">
        <v>10398</v>
      </c>
      <c r="B3600" s="1" t="s">
        <v>10399</v>
      </c>
      <c r="C3600">
        <f>(1-(B7/100))*3391.75</f>
        <v>3391.75</v>
      </c>
      <c r="D3600" s="1">
        <v>0</v>
      </c>
      <c r="E3600">
        <f>D3600*C3600</f>
        <v>0</v>
      </c>
      <c r="F3600" s="1" t="s">
        <v>10400</v>
      </c>
      <c r="G3600" s="17">
        <v>72796</v>
      </c>
    </row>
    <row r="3601" spans="1:7">
      <c r="A3601" s="1" t="s">
        <v>10401</v>
      </c>
      <c r="B3601" s="1" t="s">
        <v>10402</v>
      </c>
      <c r="C3601">
        <f>(1-(B7/100))*541.94</f>
        <v>541.94</v>
      </c>
      <c r="D3601" s="1">
        <v>0</v>
      </c>
      <c r="E3601">
        <f>D3601*C3601</f>
        <v>0</v>
      </c>
      <c r="F3601" s="1" t="s">
        <v>10403</v>
      </c>
      <c r="G3601" s="17">
        <v>72809</v>
      </c>
    </row>
    <row r="3602" spans="1:7">
      <c r="A3602" s="1" t="s">
        <v>10404</v>
      </c>
      <c r="B3602" s="1" t="s">
        <v>10405</v>
      </c>
      <c r="C3602">
        <f>(1-(B7/100))*872.57</f>
        <v>872.57</v>
      </c>
      <c r="D3602" s="1">
        <v>0</v>
      </c>
      <c r="E3602">
        <f>D3602*C3602</f>
        <v>0</v>
      </c>
      <c r="F3602" s="1" t="s">
        <v>10406</v>
      </c>
      <c r="G3602" s="17">
        <v>72853</v>
      </c>
    </row>
    <row r="3603" spans="1:7">
      <c r="A3603" s="1" t="s">
        <v>10407</v>
      </c>
      <c r="B3603" s="1" t="s">
        <v>10408</v>
      </c>
      <c r="C3603">
        <f>(1-(B7/100))*1854.13</f>
        <v>1854.13</v>
      </c>
      <c r="D3603" s="1">
        <v>0</v>
      </c>
      <c r="E3603">
        <f>D3603*C3603</f>
        <v>0</v>
      </c>
      <c r="F3603" s="1" t="s">
        <v>10409</v>
      </c>
      <c r="G3603" s="17">
        <v>73016</v>
      </c>
    </row>
    <row r="3604" spans="1:7">
      <c r="A3604" s="1" t="s">
        <v>10410</v>
      </c>
      <c r="B3604" s="1" t="s">
        <v>10411</v>
      </c>
      <c r="C3604">
        <f>(1-(B7/100))*34.93</f>
        <v>34.93</v>
      </c>
      <c r="D3604" s="1">
        <v>0</v>
      </c>
      <c r="E3604">
        <f>D3604*C3604</f>
        <v>0</v>
      </c>
      <c r="F3604" s="1" t="s">
        <v>10412</v>
      </c>
      <c r="G3604" s="17">
        <v>73134</v>
      </c>
    </row>
    <row r="3605" spans="1:7">
      <c r="A3605" s="1" t="s">
        <v>10413</v>
      </c>
      <c r="B3605" s="1" t="s">
        <v>10414</v>
      </c>
      <c r="C3605">
        <f>(1-(B7/100))*113.03</f>
        <v>113.03</v>
      </c>
      <c r="D3605" s="1">
        <v>0</v>
      </c>
      <c r="E3605">
        <f>D3605*C3605</f>
        <v>0</v>
      </c>
      <c r="F3605" s="1" t="s">
        <v>10415</v>
      </c>
      <c r="G3605" s="17">
        <v>73618</v>
      </c>
    </row>
    <row r="3606" spans="1:7">
      <c r="A3606" s="1" t="s">
        <v>10416</v>
      </c>
      <c r="B3606" s="1" t="s">
        <v>10417</v>
      </c>
      <c r="C3606">
        <f>(1-(B7/100))*95.93</f>
        <v>95.93</v>
      </c>
      <c r="D3606" s="1">
        <v>0</v>
      </c>
      <c r="E3606">
        <f>D3606*C3606</f>
        <v>0</v>
      </c>
      <c r="F3606" s="1" t="s">
        <v>10418</v>
      </c>
      <c r="G3606" s="17">
        <v>73619</v>
      </c>
    </row>
    <row r="3607" spans="1:7">
      <c r="A3607" s="1" t="s">
        <v>10419</v>
      </c>
      <c r="B3607" s="1" t="s">
        <v>10420</v>
      </c>
      <c r="C3607">
        <f>(1-(B7/100))*300.22</f>
        <v>300.22</v>
      </c>
      <c r="D3607" s="1">
        <v>0</v>
      </c>
      <c r="E3607">
        <f>D3607*C3607</f>
        <v>0</v>
      </c>
      <c r="F3607" s="1" t="s">
        <v>10421</v>
      </c>
      <c r="G3607" s="17">
        <v>73638</v>
      </c>
    </row>
    <row r="3608" spans="1:7">
      <c r="A3608" s="1" t="s">
        <v>10422</v>
      </c>
      <c r="B3608" s="1" t="s">
        <v>10423</v>
      </c>
      <c r="C3608">
        <f>(1-(B7/100))*2619.98</f>
        <v>2619.98</v>
      </c>
      <c r="D3608" s="1">
        <v>0</v>
      </c>
      <c r="E3608">
        <f>D3608*C3608</f>
        <v>0</v>
      </c>
      <c r="F3608" s="1" t="s">
        <v>10424</v>
      </c>
      <c r="G3608" s="17">
        <v>79979</v>
      </c>
    </row>
    <row r="3609" spans="1:7">
      <c r="A3609" s="1" t="s">
        <v>10425</v>
      </c>
      <c r="B3609" s="1" t="s">
        <v>10426</v>
      </c>
      <c r="C3609">
        <f>(1-(B7/100))*2546.91</f>
        <v>2546.91</v>
      </c>
      <c r="D3609" s="1">
        <v>0</v>
      </c>
      <c r="E3609">
        <f>D3609*C3609</f>
        <v>0</v>
      </c>
      <c r="F3609" s="1" t="s">
        <v>10427</v>
      </c>
      <c r="G3609" s="17">
        <v>79981</v>
      </c>
    </row>
    <row r="3610" spans="1:7">
      <c r="A3610" s="1" t="s">
        <v>10428</v>
      </c>
      <c r="B3610" s="1" t="s">
        <v>10429</v>
      </c>
      <c r="C3610">
        <f>(1-(B7/100))*170.95</f>
        <v>170.95</v>
      </c>
      <c r="D3610" s="1">
        <v>0</v>
      </c>
      <c r="E3610">
        <f>D3610*C3610</f>
        <v>0</v>
      </c>
      <c r="F3610" s="1" t="s">
        <v>10430</v>
      </c>
      <c r="G3610" s="17">
        <v>79984</v>
      </c>
    </row>
    <row r="3611" spans="1:7">
      <c r="A3611" s="1" t="s">
        <v>10431</v>
      </c>
      <c r="B3611" s="1" t="s">
        <v>10432</v>
      </c>
      <c r="C3611">
        <f>(1-(B7/100))*141.7</f>
        <v>141.7</v>
      </c>
      <c r="D3611" s="1">
        <v>0</v>
      </c>
      <c r="E3611">
        <f>D3611*C3611</f>
        <v>0</v>
      </c>
      <c r="F3611" s="1" t="s">
        <v>10433</v>
      </c>
      <c r="G3611" s="17">
        <v>79986</v>
      </c>
    </row>
    <row r="3612" spans="1:7">
      <c r="A3612" s="1" t="s">
        <v>10434</v>
      </c>
      <c r="B3612" s="1" t="s">
        <v>10435</v>
      </c>
      <c r="C3612">
        <f>(1-(B7/100))*112.5</f>
        <v>112.5</v>
      </c>
      <c r="D3612" s="1">
        <v>0</v>
      </c>
      <c r="E3612">
        <f>D3612*C3612</f>
        <v>0</v>
      </c>
      <c r="F3612" s="1" t="s">
        <v>10436</v>
      </c>
      <c r="G3612" s="17">
        <v>79988</v>
      </c>
    </row>
    <row r="3613" spans="1:7">
      <c r="A3613" s="1" t="s">
        <v>10437</v>
      </c>
      <c r="B3613" s="1" t="s">
        <v>10438</v>
      </c>
      <c r="C3613">
        <f>(1-(B7/100))*98.23</f>
        <v>98.23</v>
      </c>
      <c r="D3613" s="1">
        <v>0</v>
      </c>
      <c r="E3613">
        <f>D3613*C3613</f>
        <v>0</v>
      </c>
      <c r="F3613" s="1" t="s">
        <v>10439</v>
      </c>
      <c r="G3613" s="17">
        <v>79989</v>
      </c>
    </row>
    <row r="3614" spans="1:7">
      <c r="A3614" s="1" t="s">
        <v>10440</v>
      </c>
      <c r="B3614" s="1" t="s">
        <v>10441</v>
      </c>
      <c r="C3614">
        <f>(1-(B7/100))*536.27</f>
        <v>536.27</v>
      </c>
      <c r="D3614" s="1">
        <v>0</v>
      </c>
      <c r="E3614">
        <f>D3614*C3614</f>
        <v>0</v>
      </c>
      <c r="F3614" s="1" t="s">
        <v>10442</v>
      </c>
      <c r="G3614" s="17">
        <v>79994</v>
      </c>
    </row>
    <row r="3615" spans="1:7">
      <c r="A3615" s="1" t="s">
        <v>10443</v>
      </c>
      <c r="B3615" s="1" t="s">
        <v>10444</v>
      </c>
      <c r="C3615">
        <f>(1-(B7/100))*174.63</f>
        <v>174.63</v>
      </c>
      <c r="D3615" s="1">
        <v>0</v>
      </c>
      <c r="E3615">
        <f>D3615*C3615</f>
        <v>0</v>
      </c>
      <c r="F3615" s="1" t="s">
        <v>10445</v>
      </c>
      <c r="G3615" s="17">
        <v>79996</v>
      </c>
    </row>
    <row r="3616" spans="1:7">
      <c r="A3616" s="1" t="s">
        <v>10446</v>
      </c>
      <c r="B3616" s="1" t="s">
        <v>10447</v>
      </c>
      <c r="C3616">
        <f>(1-(B7/100))*144.14</f>
        <v>144.14</v>
      </c>
      <c r="D3616" s="1">
        <v>0</v>
      </c>
      <c r="E3616">
        <f>D3616*C3616</f>
        <v>0</v>
      </c>
      <c r="F3616" s="1" t="s">
        <v>10448</v>
      </c>
      <c r="G3616" s="17">
        <v>80003</v>
      </c>
    </row>
    <row r="3617" spans="1:7">
      <c r="A3617" s="1" t="s">
        <v>10449</v>
      </c>
      <c r="B3617" s="1" t="s">
        <v>10450</v>
      </c>
      <c r="C3617">
        <f>(1-(B7/100))*146.46</f>
        <v>146.46</v>
      </c>
      <c r="D3617" s="1">
        <v>0</v>
      </c>
      <c r="E3617">
        <f>D3617*C3617</f>
        <v>0</v>
      </c>
      <c r="F3617" s="1" t="s">
        <v>10451</v>
      </c>
      <c r="G3617" s="17">
        <v>80004</v>
      </c>
    </row>
    <row r="3618" spans="1:7">
      <c r="A3618" s="1" t="s">
        <v>10452</v>
      </c>
      <c r="B3618" s="1" t="s">
        <v>10453</v>
      </c>
      <c r="C3618">
        <f>(1-(B7/100))*157.06</f>
        <v>157.06</v>
      </c>
      <c r="D3618" s="1">
        <v>0</v>
      </c>
      <c r="E3618">
        <f>D3618*C3618</f>
        <v>0</v>
      </c>
      <c r="F3618" s="1" t="s">
        <v>10454</v>
      </c>
      <c r="G3618" s="17">
        <v>80006</v>
      </c>
    </row>
    <row r="3619" spans="1:7">
      <c r="A3619" s="1" t="s">
        <v>10455</v>
      </c>
      <c r="B3619" s="1" t="s">
        <v>10456</v>
      </c>
      <c r="C3619">
        <f>(1-(B7/100))*112.39</f>
        <v>112.39</v>
      </c>
      <c r="D3619" s="1">
        <v>0</v>
      </c>
      <c r="E3619">
        <f>D3619*C3619</f>
        <v>0</v>
      </c>
      <c r="F3619" s="1" t="s">
        <v>10457</v>
      </c>
      <c r="G3619" s="17">
        <v>80007</v>
      </c>
    </row>
    <row r="3620" spans="1:7">
      <c r="A3620" s="1" t="s">
        <v>10458</v>
      </c>
      <c r="B3620" s="1" t="s">
        <v>10459</v>
      </c>
      <c r="C3620">
        <f>(1-(B7/100))*18.57</f>
        <v>18.57</v>
      </c>
      <c r="D3620" s="1">
        <v>0</v>
      </c>
      <c r="E3620">
        <f>D3620*C3620</f>
        <v>0</v>
      </c>
      <c r="F3620" s="1" t="s">
        <v>10460</v>
      </c>
      <c r="G3620" s="17">
        <v>80009</v>
      </c>
    </row>
    <row r="3621" spans="1:7">
      <c r="A3621" s="1" t="s">
        <v>10461</v>
      </c>
      <c r="B3621" s="1" t="s">
        <v>10462</v>
      </c>
      <c r="C3621">
        <f>(1-(B7/100))*87.03</f>
        <v>87.03</v>
      </c>
      <c r="D3621" s="1">
        <v>0</v>
      </c>
      <c r="E3621">
        <f>D3621*C3621</f>
        <v>0</v>
      </c>
      <c r="F3621" s="1" t="s">
        <v>10463</v>
      </c>
      <c r="G3621" s="17">
        <v>80015</v>
      </c>
    </row>
    <row r="3622" spans="1:7">
      <c r="A3622" s="1" t="s">
        <v>10464</v>
      </c>
      <c r="B3622" s="1" t="s">
        <v>10465</v>
      </c>
      <c r="C3622">
        <f>(1-(B7/100))*3381.94</f>
        <v>3381.94</v>
      </c>
      <c r="D3622" s="1">
        <v>0</v>
      </c>
      <c r="E3622">
        <f>D3622*C3622</f>
        <v>0</v>
      </c>
      <c r="F3622" s="1" t="s">
        <v>10466</v>
      </c>
      <c r="G3622" s="17">
        <v>80030</v>
      </c>
    </row>
    <row r="3623" spans="1:7">
      <c r="A3623" s="1" t="s">
        <v>10467</v>
      </c>
      <c r="B3623" s="1" t="s">
        <v>10468</v>
      </c>
      <c r="C3623">
        <f>(1-(B7/100))*279.38</f>
        <v>279.38</v>
      </c>
      <c r="D3623" s="1">
        <v>0</v>
      </c>
      <c r="E3623">
        <f>D3623*C3623</f>
        <v>0</v>
      </c>
      <c r="F3623" s="1" t="s">
        <v>10469</v>
      </c>
      <c r="G3623" s="17">
        <v>80034</v>
      </c>
    </row>
    <row r="3624" spans="1:7">
      <c r="A3624" s="1" t="s">
        <v>10470</v>
      </c>
      <c r="B3624" s="1" t="s">
        <v>10471</v>
      </c>
      <c r="C3624">
        <f>(1-(B7/100))*86.38</f>
        <v>86.38</v>
      </c>
      <c r="D3624" s="1">
        <v>0</v>
      </c>
      <c r="E3624">
        <f>D3624*C3624</f>
        <v>0</v>
      </c>
      <c r="F3624" s="1" t="s">
        <v>10472</v>
      </c>
      <c r="G3624" s="17">
        <v>80037</v>
      </c>
    </row>
    <row r="3625" spans="1:7">
      <c r="A3625" s="1" t="s">
        <v>10473</v>
      </c>
      <c r="B3625" s="1" t="s">
        <v>10474</v>
      </c>
      <c r="C3625">
        <f>(1-(B7/100))*33.2</f>
        <v>33.2</v>
      </c>
      <c r="D3625" s="1">
        <v>0</v>
      </c>
      <c r="E3625">
        <f>D3625*C3625</f>
        <v>0</v>
      </c>
      <c r="F3625" s="1" t="s">
        <v>10475</v>
      </c>
      <c r="G3625" s="17">
        <v>80040</v>
      </c>
    </row>
    <row r="3626" spans="1:7">
      <c r="A3626" s="1" t="s">
        <v>10476</v>
      </c>
      <c r="B3626" s="1" t="s">
        <v>10477</v>
      </c>
      <c r="C3626">
        <f>(1-(B7/100))*133.24</f>
        <v>133.24</v>
      </c>
      <c r="D3626" s="1">
        <v>0</v>
      </c>
      <c r="E3626">
        <f>D3626*C3626</f>
        <v>0</v>
      </c>
      <c r="F3626" s="1" t="s">
        <v>10478</v>
      </c>
      <c r="G3626" s="17">
        <v>80049</v>
      </c>
    </row>
    <row r="3627" spans="1:7">
      <c r="A3627" s="1" t="s">
        <v>10479</v>
      </c>
      <c r="B3627" s="1" t="s">
        <v>10480</v>
      </c>
      <c r="C3627">
        <f>(1-(B7/100))*134.19</f>
        <v>134.19</v>
      </c>
      <c r="D3627" s="1">
        <v>0</v>
      </c>
      <c r="E3627">
        <f>D3627*C3627</f>
        <v>0</v>
      </c>
      <c r="F3627" s="1" t="s">
        <v>10481</v>
      </c>
      <c r="G3627" s="17">
        <v>80057</v>
      </c>
    </row>
    <row r="3628" spans="1:7">
      <c r="A3628" s="1" t="s">
        <v>10482</v>
      </c>
      <c r="B3628" s="1" t="s">
        <v>10483</v>
      </c>
      <c r="C3628">
        <f>(1-(B7/100))*112.5</f>
        <v>112.5</v>
      </c>
      <c r="D3628" s="1">
        <v>0</v>
      </c>
      <c r="E3628">
        <f>D3628*C3628</f>
        <v>0</v>
      </c>
      <c r="F3628" s="1" t="s">
        <v>10484</v>
      </c>
      <c r="G3628" s="17">
        <v>80065</v>
      </c>
    </row>
    <row r="3629" spans="1:7">
      <c r="A3629" s="1" t="s">
        <v>10485</v>
      </c>
      <c r="B3629" s="1" t="s">
        <v>10486</v>
      </c>
      <c r="C3629">
        <f>(1-(B7/100))*58.84</f>
        <v>58.84</v>
      </c>
      <c r="D3629" s="1">
        <v>0</v>
      </c>
      <c r="E3629">
        <f>D3629*C3629</f>
        <v>0</v>
      </c>
      <c r="F3629" s="1" t="s">
        <v>10487</v>
      </c>
      <c r="G3629" s="17">
        <v>80068</v>
      </c>
    </row>
    <row r="3630" spans="1:7">
      <c r="A3630" s="1" t="s">
        <v>10488</v>
      </c>
      <c r="B3630" s="1" t="s">
        <v>10489</v>
      </c>
      <c r="C3630">
        <f>(1-(B7/100))*39</f>
        <v>39</v>
      </c>
      <c r="D3630" s="1">
        <v>0</v>
      </c>
      <c r="E3630">
        <f>D3630*C3630</f>
        <v>0</v>
      </c>
      <c r="F3630" s="1" t="s">
        <v>10490</v>
      </c>
      <c r="G3630" s="17">
        <v>80070</v>
      </c>
    </row>
    <row r="3631" spans="1:7">
      <c r="A3631" s="1" t="s">
        <v>10491</v>
      </c>
      <c r="B3631" s="1" t="s">
        <v>10492</v>
      </c>
      <c r="C3631">
        <f>(1-(B7/100))*818.6</f>
        <v>818.6</v>
      </c>
      <c r="D3631" s="1">
        <v>0</v>
      </c>
      <c r="E3631">
        <f>D3631*C3631</f>
        <v>0</v>
      </c>
      <c r="F3631" s="1" t="s">
        <v>10493</v>
      </c>
      <c r="G3631" s="17">
        <v>80082</v>
      </c>
    </row>
    <row r="3632" spans="1:7">
      <c r="A3632" s="1" t="s">
        <v>10494</v>
      </c>
      <c r="B3632" s="1" t="s">
        <v>10495</v>
      </c>
      <c r="C3632">
        <f>(1-(B7/100))*386.78</f>
        <v>386.78</v>
      </c>
      <c r="D3632" s="1">
        <v>0</v>
      </c>
      <c r="E3632">
        <f>D3632*C3632</f>
        <v>0</v>
      </c>
      <c r="F3632" s="1" t="s">
        <v>10496</v>
      </c>
      <c r="G3632" s="17">
        <v>80084</v>
      </c>
    </row>
    <row r="3633" spans="1:7">
      <c r="A3633" s="1" t="s">
        <v>10497</v>
      </c>
      <c r="B3633" s="1" t="s">
        <v>10498</v>
      </c>
      <c r="C3633">
        <f>(1-(B7/100))*1577.38</f>
        <v>1577.38</v>
      </c>
      <c r="D3633" s="1">
        <v>0</v>
      </c>
      <c r="E3633">
        <f>D3633*C3633</f>
        <v>0</v>
      </c>
      <c r="F3633" s="1" t="s">
        <v>10499</v>
      </c>
      <c r="G3633" s="17">
        <v>80086</v>
      </c>
    </row>
    <row r="3634" spans="1:7">
      <c r="A3634" s="1" t="s">
        <v>10500</v>
      </c>
      <c r="B3634" s="1" t="s">
        <v>10501</v>
      </c>
      <c r="C3634">
        <f>(1-(B7/100))*1473.7</f>
        <v>1473.7</v>
      </c>
      <c r="D3634" s="1">
        <v>0</v>
      </c>
      <c r="E3634">
        <f>D3634*C3634</f>
        <v>0</v>
      </c>
      <c r="F3634" s="1" t="s">
        <v>10502</v>
      </c>
      <c r="G3634" s="17">
        <v>80087</v>
      </c>
    </row>
    <row r="3635" spans="1:7">
      <c r="A3635" s="1" t="s">
        <v>10503</v>
      </c>
      <c r="B3635" s="1" t="s">
        <v>10504</v>
      </c>
      <c r="C3635">
        <f>(1-(B7/100))*1748.77</f>
        <v>1748.77</v>
      </c>
      <c r="D3635" s="1">
        <v>0</v>
      </c>
      <c r="E3635">
        <f>D3635*C3635</f>
        <v>0</v>
      </c>
      <c r="F3635" s="1" t="s">
        <v>10505</v>
      </c>
      <c r="G3635" s="17">
        <v>80091</v>
      </c>
    </row>
    <row r="3636" spans="1:7">
      <c r="A3636" s="1" t="s">
        <v>10506</v>
      </c>
      <c r="B3636" s="1" t="s">
        <v>10507</v>
      </c>
      <c r="C3636">
        <f>(1-(B7/100))*385.27</f>
        <v>385.27</v>
      </c>
      <c r="D3636" s="1">
        <v>0</v>
      </c>
      <c r="E3636">
        <f>D3636*C3636</f>
        <v>0</v>
      </c>
      <c r="F3636" s="1" t="s">
        <v>10508</v>
      </c>
      <c r="G3636" s="17">
        <v>80098</v>
      </c>
    </row>
    <row r="3637" spans="1:7">
      <c r="A3637" s="1" t="s">
        <v>10509</v>
      </c>
      <c r="B3637" s="1" t="s">
        <v>10510</v>
      </c>
      <c r="C3637">
        <f>(1-(B7/100))*614.15</f>
        <v>614.15</v>
      </c>
      <c r="D3637" s="1">
        <v>0</v>
      </c>
      <c r="E3637">
        <f>D3637*C3637</f>
        <v>0</v>
      </c>
      <c r="F3637" s="1" t="s">
        <v>10511</v>
      </c>
      <c r="G3637" s="17">
        <v>80108</v>
      </c>
    </row>
    <row r="3638" spans="1:7">
      <c r="A3638" s="1" t="s">
        <v>10512</v>
      </c>
      <c r="B3638" s="1" t="s">
        <v>10513</v>
      </c>
      <c r="C3638">
        <f>(1-(B7/100))*709.2</f>
        <v>709.2</v>
      </c>
      <c r="D3638" s="1">
        <v>0</v>
      </c>
      <c r="E3638">
        <f>D3638*C3638</f>
        <v>0</v>
      </c>
      <c r="F3638" s="1" t="s">
        <v>10514</v>
      </c>
      <c r="G3638" s="17">
        <v>80117</v>
      </c>
    </row>
    <row r="3639" spans="1:7">
      <c r="A3639" s="1" t="s">
        <v>10515</v>
      </c>
      <c r="B3639" s="1" t="s">
        <v>10516</v>
      </c>
      <c r="C3639">
        <f>(1-(B7/100))*67</f>
        <v>67</v>
      </c>
      <c r="D3639" s="1">
        <v>0</v>
      </c>
      <c r="E3639">
        <f>D3639*C3639</f>
        <v>0</v>
      </c>
      <c r="F3639" s="1" t="s">
        <v>10517</v>
      </c>
      <c r="G3639" s="17">
        <v>80129</v>
      </c>
    </row>
    <row r="3640" spans="1:7">
      <c r="A3640" s="1" t="s">
        <v>10518</v>
      </c>
      <c r="B3640" s="1" t="s">
        <v>10519</v>
      </c>
      <c r="C3640">
        <f>(1-(B7/100))*560.64</f>
        <v>560.64</v>
      </c>
      <c r="D3640" s="1">
        <v>0</v>
      </c>
      <c r="E3640">
        <f>D3640*C3640</f>
        <v>0</v>
      </c>
      <c r="F3640" s="1" t="s">
        <v>10520</v>
      </c>
      <c r="G3640" s="17">
        <v>80131</v>
      </c>
    </row>
    <row r="3641" spans="1:7">
      <c r="A3641" s="1" t="s">
        <v>10521</v>
      </c>
      <c r="B3641" s="1" t="s">
        <v>10522</v>
      </c>
      <c r="C3641">
        <f>(1-(B7/100))*1354.16</f>
        <v>1354.16</v>
      </c>
      <c r="D3641" s="1">
        <v>0</v>
      </c>
      <c r="E3641">
        <f>D3641*C3641</f>
        <v>0</v>
      </c>
      <c r="F3641" s="1" t="s">
        <v>10523</v>
      </c>
      <c r="G3641" s="17">
        <v>80136</v>
      </c>
    </row>
    <row r="3642" spans="1:7">
      <c r="A3642" s="1" t="s">
        <v>10524</v>
      </c>
      <c r="B3642" s="1" t="s">
        <v>10525</v>
      </c>
      <c r="C3642">
        <f>(1-(B7/100))*38.93</f>
        <v>38.93</v>
      </c>
      <c r="D3642" s="1">
        <v>0</v>
      </c>
      <c r="E3642">
        <f>D3642*C3642</f>
        <v>0</v>
      </c>
      <c r="F3642" s="1" t="s">
        <v>10526</v>
      </c>
      <c r="G3642" s="17">
        <v>80140</v>
      </c>
    </row>
    <row r="3643" spans="1:7">
      <c r="A3643" s="1" t="s">
        <v>10527</v>
      </c>
      <c r="B3643" s="1" t="s">
        <v>10528</v>
      </c>
      <c r="C3643">
        <f>(1-(B7/100))*263.37</f>
        <v>263.37</v>
      </c>
      <c r="D3643" s="1">
        <v>0</v>
      </c>
      <c r="E3643">
        <f>D3643*C3643</f>
        <v>0</v>
      </c>
      <c r="F3643" s="1" t="s">
        <v>10529</v>
      </c>
      <c r="G3643" s="17">
        <v>80146</v>
      </c>
    </row>
    <row r="3644" spans="1:7">
      <c r="A3644" s="1" t="s">
        <v>10530</v>
      </c>
      <c r="B3644" s="1" t="s">
        <v>10531</v>
      </c>
      <c r="C3644">
        <f>(1-(B7/100))*211.46</f>
        <v>211.46</v>
      </c>
      <c r="D3644" s="1">
        <v>0</v>
      </c>
      <c r="E3644">
        <f>D3644*C3644</f>
        <v>0</v>
      </c>
      <c r="F3644" s="1" t="s">
        <v>10532</v>
      </c>
      <c r="G3644" s="17">
        <v>80148</v>
      </c>
    </row>
    <row r="3645" spans="1:7">
      <c r="A3645" s="1" t="s">
        <v>10533</v>
      </c>
      <c r="B3645" s="1" t="s">
        <v>10534</v>
      </c>
      <c r="C3645">
        <f>(1-(B7/100))*872.89</f>
        <v>872.89</v>
      </c>
      <c r="D3645" s="1">
        <v>0</v>
      </c>
      <c r="E3645">
        <f>D3645*C3645</f>
        <v>0</v>
      </c>
      <c r="F3645" s="1" t="s">
        <v>10535</v>
      </c>
      <c r="G3645" s="17">
        <v>80149</v>
      </c>
    </row>
    <row r="3646" spans="1:7">
      <c r="A3646" s="1" t="s">
        <v>10536</v>
      </c>
      <c r="B3646" s="1" t="s">
        <v>10537</v>
      </c>
      <c r="C3646">
        <f>(1-(B7/100))*16.24</f>
        <v>16.24</v>
      </c>
      <c r="D3646" s="1">
        <v>0</v>
      </c>
      <c r="E3646">
        <f>D3646*C3646</f>
        <v>0</v>
      </c>
      <c r="F3646" s="1" t="s">
        <v>10538</v>
      </c>
      <c r="G3646" s="17">
        <v>80150</v>
      </c>
    </row>
    <row r="3647" spans="1:7">
      <c r="A3647" s="1" t="s">
        <v>10539</v>
      </c>
      <c r="B3647" s="1" t="s">
        <v>10540</v>
      </c>
      <c r="C3647">
        <f>(1-(B7/100))*18.01</f>
        <v>18.01</v>
      </c>
      <c r="D3647" s="1">
        <v>0</v>
      </c>
      <c r="E3647">
        <f>D3647*C3647</f>
        <v>0</v>
      </c>
      <c r="F3647" s="1" t="s">
        <v>10541</v>
      </c>
      <c r="G3647" s="17">
        <v>80151</v>
      </c>
    </row>
    <row r="3648" spans="1:7">
      <c r="A3648" s="1" t="s">
        <v>10542</v>
      </c>
      <c r="B3648" s="1" t="s">
        <v>10543</v>
      </c>
      <c r="C3648">
        <f>(1-(B7/100))*36.62</f>
        <v>36.62</v>
      </c>
      <c r="D3648" s="1">
        <v>0</v>
      </c>
      <c r="E3648">
        <f>D3648*C3648</f>
        <v>0</v>
      </c>
      <c r="F3648" s="1" t="s">
        <v>10544</v>
      </c>
      <c r="G3648" s="17">
        <v>80152</v>
      </c>
    </row>
    <row r="3649" spans="1:7">
      <c r="A3649" s="1" t="s">
        <v>10545</v>
      </c>
      <c r="B3649" s="1" t="s">
        <v>10546</v>
      </c>
      <c r="C3649">
        <f>(1-(B7/100))*270.11</f>
        <v>270.11</v>
      </c>
      <c r="D3649" s="1">
        <v>0</v>
      </c>
      <c r="E3649">
        <f>D3649*C3649</f>
        <v>0</v>
      </c>
      <c r="F3649" s="1" t="s">
        <v>10547</v>
      </c>
      <c r="G3649" s="17">
        <v>80154</v>
      </c>
    </row>
    <row r="3650" spans="1:7">
      <c r="A3650" s="1" t="s">
        <v>10548</v>
      </c>
      <c r="B3650" s="1" t="s">
        <v>10549</v>
      </c>
      <c r="C3650">
        <f>(1-(B7/100))*687.57</f>
        <v>687.57</v>
      </c>
      <c r="D3650" s="1">
        <v>0</v>
      </c>
      <c r="E3650">
        <f>D3650*C3650</f>
        <v>0</v>
      </c>
      <c r="F3650" s="1" t="s">
        <v>10550</v>
      </c>
      <c r="G3650" s="17">
        <v>80155</v>
      </c>
    </row>
    <row r="3651" spans="1:7">
      <c r="A3651" s="1" t="s">
        <v>10551</v>
      </c>
      <c r="B3651" s="1" t="s">
        <v>10552</v>
      </c>
      <c r="C3651">
        <f>(1-(B7/100))*111.45</f>
        <v>111.45</v>
      </c>
      <c r="D3651" s="1">
        <v>0</v>
      </c>
      <c r="E3651">
        <f>D3651*C3651</f>
        <v>0</v>
      </c>
      <c r="F3651" s="1" t="s">
        <v>10553</v>
      </c>
      <c r="G3651" s="17">
        <v>80171</v>
      </c>
    </row>
    <row r="3652" spans="1:7">
      <c r="A3652" s="1" t="s">
        <v>10554</v>
      </c>
      <c r="B3652" s="1" t="s">
        <v>10555</v>
      </c>
      <c r="C3652">
        <f>(1-(B7/100))*1009.74</f>
        <v>1009.74</v>
      </c>
      <c r="D3652" s="1">
        <v>0</v>
      </c>
      <c r="E3652">
        <f>D3652*C3652</f>
        <v>0</v>
      </c>
      <c r="F3652" s="1" t="s">
        <v>10556</v>
      </c>
      <c r="G3652" s="17">
        <v>80173</v>
      </c>
    </row>
    <row r="3653" spans="1:7">
      <c r="A3653" s="1" t="s">
        <v>10557</v>
      </c>
      <c r="B3653" s="1" t="s">
        <v>10558</v>
      </c>
      <c r="C3653">
        <f>(1-(B7/100))*112.5</f>
        <v>112.5</v>
      </c>
      <c r="D3653" s="1">
        <v>0</v>
      </c>
      <c r="E3653">
        <f>D3653*C3653</f>
        <v>0</v>
      </c>
      <c r="F3653" s="1" t="s">
        <v>10559</v>
      </c>
      <c r="G3653" s="17">
        <v>80174</v>
      </c>
    </row>
    <row r="3654" spans="1:7">
      <c r="A3654" s="1" t="s">
        <v>10560</v>
      </c>
      <c r="B3654" s="1" t="s">
        <v>10561</v>
      </c>
      <c r="C3654">
        <f>(1-(B7/100))*686.69</f>
        <v>686.69</v>
      </c>
      <c r="D3654" s="1">
        <v>0</v>
      </c>
      <c r="E3654">
        <f>D3654*C3654</f>
        <v>0</v>
      </c>
      <c r="F3654" s="1" t="s">
        <v>10562</v>
      </c>
      <c r="G3654" s="17">
        <v>80176</v>
      </c>
    </row>
    <row r="3655" spans="1:7">
      <c r="A3655" s="1" t="s">
        <v>10563</v>
      </c>
      <c r="B3655" s="1" t="s">
        <v>10564</v>
      </c>
      <c r="C3655">
        <f>(1-(B7/100))*449.62</f>
        <v>449.62</v>
      </c>
      <c r="D3655" s="1">
        <v>0</v>
      </c>
      <c r="E3655">
        <f>D3655*C3655</f>
        <v>0</v>
      </c>
      <c r="F3655" s="1" t="s">
        <v>10565</v>
      </c>
      <c r="G3655" s="17">
        <v>80177</v>
      </c>
    </row>
    <row r="3656" spans="1:7">
      <c r="A3656" s="1" t="s">
        <v>10566</v>
      </c>
      <c r="B3656" s="1" t="s">
        <v>10567</v>
      </c>
      <c r="C3656">
        <f>(1-(B7/100))*54.05</f>
        <v>54.05</v>
      </c>
      <c r="D3656" s="1">
        <v>0</v>
      </c>
      <c r="E3656">
        <f>D3656*C3656</f>
        <v>0</v>
      </c>
      <c r="F3656" s="1" t="s">
        <v>10568</v>
      </c>
      <c r="G3656" s="17">
        <v>80181</v>
      </c>
    </row>
    <row r="3657" spans="1:7">
      <c r="A3657" s="1" t="s">
        <v>10569</v>
      </c>
      <c r="B3657" s="1" t="s">
        <v>10570</v>
      </c>
      <c r="C3657">
        <f>(1-(B7/100))*289.68</f>
        <v>289.68</v>
      </c>
      <c r="D3657" s="1">
        <v>0</v>
      </c>
      <c r="E3657">
        <f>D3657*C3657</f>
        <v>0</v>
      </c>
      <c r="F3657" s="1" t="s">
        <v>10571</v>
      </c>
      <c r="G3657" s="17">
        <v>80184</v>
      </c>
    </row>
    <row r="3658" spans="1:7">
      <c r="A3658" s="1" t="s">
        <v>10572</v>
      </c>
      <c r="B3658" s="1" t="s">
        <v>10573</v>
      </c>
      <c r="C3658">
        <f>(1-(B7/100))*469.33</f>
        <v>469.33</v>
      </c>
      <c r="D3658" s="1">
        <v>0</v>
      </c>
      <c r="E3658">
        <f>D3658*C3658</f>
        <v>0</v>
      </c>
      <c r="F3658" s="1" t="s">
        <v>10574</v>
      </c>
      <c r="G3658" s="17">
        <v>80190</v>
      </c>
    </row>
    <row r="3659" spans="1:7">
      <c r="A3659" s="1" t="s">
        <v>10575</v>
      </c>
      <c r="B3659" s="1" t="s">
        <v>10576</v>
      </c>
      <c r="C3659">
        <f>(1-(B7/100))*292.92</f>
        <v>292.92</v>
      </c>
      <c r="D3659" s="1">
        <v>0</v>
      </c>
      <c r="E3659">
        <f>D3659*C3659</f>
        <v>0</v>
      </c>
      <c r="F3659" s="1" t="s">
        <v>10577</v>
      </c>
      <c r="G3659" s="17">
        <v>80192</v>
      </c>
    </row>
    <row r="3660" spans="1:7">
      <c r="A3660" s="1" t="s">
        <v>10578</v>
      </c>
      <c r="B3660" s="1" t="s">
        <v>10579</v>
      </c>
      <c r="C3660">
        <f>(1-(B7/100))*536.88</f>
        <v>536.88</v>
      </c>
      <c r="D3660" s="1">
        <v>0</v>
      </c>
      <c r="E3660">
        <f>D3660*C3660</f>
        <v>0</v>
      </c>
      <c r="F3660" s="1" t="s">
        <v>10580</v>
      </c>
      <c r="G3660" s="17">
        <v>80193</v>
      </c>
    </row>
    <row r="3661" spans="1:7">
      <c r="A3661" s="1" t="s">
        <v>10581</v>
      </c>
      <c r="B3661" s="1" t="s">
        <v>10582</v>
      </c>
      <c r="C3661">
        <f>(1-(B7/100))*85.78</f>
        <v>85.78</v>
      </c>
      <c r="D3661" s="1">
        <v>0</v>
      </c>
      <c r="E3661">
        <f>D3661*C3661</f>
        <v>0</v>
      </c>
      <c r="F3661" s="1" t="s">
        <v>10583</v>
      </c>
      <c r="G3661" s="17">
        <v>80194</v>
      </c>
    </row>
    <row r="3662" spans="1:7">
      <c r="A3662" s="1" t="s">
        <v>10584</v>
      </c>
      <c r="B3662" s="1" t="s">
        <v>10585</v>
      </c>
      <c r="C3662">
        <f>(1-(B7/100))*75.44</f>
        <v>75.44</v>
      </c>
      <c r="D3662" s="1">
        <v>0</v>
      </c>
      <c r="E3662">
        <f>D3662*C3662</f>
        <v>0</v>
      </c>
      <c r="F3662" s="1" t="s">
        <v>10586</v>
      </c>
      <c r="G3662" s="17">
        <v>80196</v>
      </c>
    </row>
    <row r="3663" spans="1:7">
      <c r="A3663" s="1" t="s">
        <v>10587</v>
      </c>
      <c r="B3663" s="1" t="s">
        <v>10588</v>
      </c>
      <c r="C3663">
        <f>(1-(B7/100))*75.44</f>
        <v>75.44</v>
      </c>
      <c r="D3663" s="1">
        <v>0</v>
      </c>
      <c r="E3663">
        <f>D3663*C3663</f>
        <v>0</v>
      </c>
      <c r="F3663" s="1" t="s">
        <v>10589</v>
      </c>
      <c r="G3663" s="17">
        <v>80197</v>
      </c>
    </row>
    <row r="3664" spans="1:7">
      <c r="A3664" s="1" t="s">
        <v>10590</v>
      </c>
      <c r="B3664" s="1" t="s">
        <v>10591</v>
      </c>
      <c r="C3664">
        <f>(1-(B7/100))*76.49</f>
        <v>76.49</v>
      </c>
      <c r="D3664" s="1">
        <v>0</v>
      </c>
      <c r="E3664">
        <f>D3664*C3664</f>
        <v>0</v>
      </c>
      <c r="F3664" s="1" t="s">
        <v>10592</v>
      </c>
      <c r="G3664" s="17">
        <v>80198</v>
      </c>
    </row>
    <row r="3665" spans="1:7">
      <c r="A3665" s="1" t="s">
        <v>10593</v>
      </c>
      <c r="B3665" s="1" t="s">
        <v>10594</v>
      </c>
      <c r="C3665">
        <f>(1-(B7/100))*95.95</f>
        <v>95.95</v>
      </c>
      <c r="D3665" s="1">
        <v>0</v>
      </c>
      <c r="E3665">
        <f>D3665*C3665</f>
        <v>0</v>
      </c>
      <c r="F3665" s="1" t="s">
        <v>10595</v>
      </c>
      <c r="G3665" s="17">
        <v>80199</v>
      </c>
    </row>
    <row r="3666" spans="1:7">
      <c r="A3666" s="1" t="s">
        <v>10596</v>
      </c>
      <c r="B3666" s="1" t="s">
        <v>10597</v>
      </c>
      <c r="C3666">
        <f>(1-(B7/100))*95.95</f>
        <v>95.95</v>
      </c>
      <c r="D3666" s="1">
        <v>0</v>
      </c>
      <c r="E3666">
        <f>D3666*C3666</f>
        <v>0</v>
      </c>
      <c r="F3666" s="1" t="s">
        <v>10598</v>
      </c>
      <c r="G3666" s="17">
        <v>80201</v>
      </c>
    </row>
    <row r="3667" spans="1:7">
      <c r="A3667" s="1" t="s">
        <v>10599</v>
      </c>
      <c r="B3667" s="1" t="s">
        <v>10600</v>
      </c>
      <c r="C3667">
        <f>(1-(B7/100))*75.44</f>
        <v>75.44</v>
      </c>
      <c r="D3667" s="1">
        <v>0</v>
      </c>
      <c r="E3667">
        <f>D3667*C3667</f>
        <v>0</v>
      </c>
      <c r="F3667" s="1" t="s">
        <v>10601</v>
      </c>
      <c r="G3667" s="17">
        <v>80203</v>
      </c>
    </row>
    <row r="3668" spans="1:7">
      <c r="A3668" s="1" t="s">
        <v>10602</v>
      </c>
      <c r="B3668" s="1" t="s">
        <v>10603</v>
      </c>
      <c r="C3668">
        <f>(1-(B7/100))*96.95</f>
        <v>96.95</v>
      </c>
      <c r="D3668" s="1">
        <v>0</v>
      </c>
      <c r="E3668">
        <f>D3668*C3668</f>
        <v>0</v>
      </c>
      <c r="F3668" s="1" t="s">
        <v>10604</v>
      </c>
      <c r="G3668" s="17">
        <v>80204</v>
      </c>
    </row>
    <row r="3669" spans="1:7">
      <c r="A3669" s="1" t="s">
        <v>10605</v>
      </c>
      <c r="B3669" s="1" t="s">
        <v>10606</v>
      </c>
      <c r="C3669">
        <f>(1-(B7/100))*529.51</f>
        <v>529.51</v>
      </c>
      <c r="D3669" s="1">
        <v>0</v>
      </c>
      <c r="E3669">
        <f>D3669*C3669</f>
        <v>0</v>
      </c>
      <c r="F3669" s="1" t="s">
        <v>10607</v>
      </c>
      <c r="G3669" s="17">
        <v>80206</v>
      </c>
    </row>
    <row r="3670" spans="1:7">
      <c r="A3670" s="1" t="s">
        <v>10608</v>
      </c>
      <c r="B3670" s="1" t="s">
        <v>10609</v>
      </c>
      <c r="C3670">
        <f>(1-(B7/100))*272.47</f>
        <v>272.47</v>
      </c>
      <c r="D3670" s="1">
        <v>0</v>
      </c>
      <c r="E3670">
        <f>D3670*C3670</f>
        <v>0</v>
      </c>
      <c r="F3670" s="1" t="s">
        <v>10610</v>
      </c>
      <c r="G3670" s="17">
        <v>80207</v>
      </c>
    </row>
    <row r="3671" spans="1:7">
      <c r="A3671" s="1" t="s">
        <v>10611</v>
      </c>
      <c r="B3671" s="1" t="s">
        <v>10612</v>
      </c>
      <c r="C3671">
        <f>(1-(B7/100))*257.68</f>
        <v>257.68</v>
      </c>
      <c r="D3671" s="1">
        <v>0</v>
      </c>
      <c r="E3671">
        <f>D3671*C3671</f>
        <v>0</v>
      </c>
      <c r="F3671" s="1" t="s">
        <v>10613</v>
      </c>
      <c r="G3671" s="17">
        <v>80208</v>
      </c>
    </row>
    <row r="3672" spans="1:7">
      <c r="A3672" s="1" t="s">
        <v>10614</v>
      </c>
      <c r="B3672" s="1" t="s">
        <v>10615</v>
      </c>
      <c r="C3672">
        <f>(1-(B7/100))*815.32</f>
        <v>815.32</v>
      </c>
      <c r="D3672" s="1">
        <v>0</v>
      </c>
      <c r="E3672">
        <f>D3672*C3672</f>
        <v>0</v>
      </c>
      <c r="F3672" s="1" t="s">
        <v>10616</v>
      </c>
      <c r="G3672" s="17">
        <v>80214</v>
      </c>
    </row>
    <row r="3673" spans="1:7">
      <c r="A3673" s="1" t="s">
        <v>10617</v>
      </c>
      <c r="B3673" s="1" t="s">
        <v>10618</v>
      </c>
      <c r="C3673">
        <f>(1-(B7/100))*47.41</f>
        <v>47.41</v>
      </c>
      <c r="D3673" s="1">
        <v>0</v>
      </c>
      <c r="E3673">
        <f>D3673*C3673</f>
        <v>0</v>
      </c>
      <c r="F3673" s="1" t="s">
        <v>10619</v>
      </c>
      <c r="G3673" s="17">
        <v>80216</v>
      </c>
    </row>
    <row r="3674" spans="1:7">
      <c r="A3674" s="1" t="s">
        <v>10620</v>
      </c>
      <c r="B3674" s="1" t="s">
        <v>10621</v>
      </c>
      <c r="C3674">
        <f>(1-(B7/100))*576.18</f>
        <v>576.18</v>
      </c>
      <c r="D3674" s="1">
        <v>0</v>
      </c>
      <c r="E3674">
        <f>D3674*C3674</f>
        <v>0</v>
      </c>
      <c r="F3674" s="1" t="s">
        <v>10622</v>
      </c>
      <c r="G3674" s="17">
        <v>80219</v>
      </c>
    </row>
    <row r="3675" spans="1:7">
      <c r="A3675" s="1" t="s">
        <v>10623</v>
      </c>
      <c r="B3675" s="1" t="s">
        <v>10624</v>
      </c>
      <c r="C3675">
        <f>(1-(B7/100))*70.87</f>
        <v>70.87</v>
      </c>
      <c r="D3675" s="1">
        <v>0</v>
      </c>
      <c r="E3675">
        <f>D3675*C3675</f>
        <v>0</v>
      </c>
      <c r="F3675" s="1" t="s">
        <v>10625</v>
      </c>
      <c r="G3675" s="17">
        <v>80221</v>
      </c>
    </row>
    <row r="3676" spans="1:7">
      <c r="A3676" s="1" t="s">
        <v>10626</v>
      </c>
      <c r="B3676" s="1" t="s">
        <v>10627</v>
      </c>
      <c r="C3676">
        <f>(1-(B7/100))*2021.19</f>
        <v>2021.19</v>
      </c>
      <c r="D3676" s="1">
        <v>0</v>
      </c>
      <c r="E3676">
        <f>D3676*C3676</f>
        <v>0</v>
      </c>
      <c r="F3676" s="1" t="s">
        <v>10628</v>
      </c>
      <c r="G3676" s="17">
        <v>80230</v>
      </c>
    </row>
    <row r="3677" spans="1:7">
      <c r="A3677" s="1" t="s">
        <v>10629</v>
      </c>
      <c r="B3677" s="1" t="s">
        <v>10630</v>
      </c>
      <c r="C3677">
        <f>(1-(B7/100))*864.58</f>
        <v>864.58</v>
      </c>
      <c r="D3677" s="1">
        <v>0</v>
      </c>
      <c r="E3677">
        <f>D3677*C3677</f>
        <v>0</v>
      </c>
      <c r="F3677" s="1" t="s">
        <v>10631</v>
      </c>
      <c r="G3677" s="17">
        <v>80232</v>
      </c>
    </row>
    <row r="3678" spans="1:7">
      <c r="A3678" s="1" t="s">
        <v>10632</v>
      </c>
      <c r="B3678" s="1" t="s">
        <v>10633</v>
      </c>
      <c r="C3678">
        <f>(1-(B7/100))*275.4</f>
        <v>275.4</v>
      </c>
      <c r="D3678" s="1">
        <v>0</v>
      </c>
      <c r="E3678">
        <f>D3678*C3678</f>
        <v>0</v>
      </c>
      <c r="F3678" s="1" t="s">
        <v>16</v>
      </c>
      <c r="G3678" s="17">
        <v>80237</v>
      </c>
    </row>
    <row r="3679" spans="1:7">
      <c r="A3679" s="1" t="s">
        <v>10634</v>
      </c>
      <c r="B3679" s="1" t="s">
        <v>10635</v>
      </c>
      <c r="C3679">
        <f>(1-(B7/100))*316.26</f>
        <v>316.26</v>
      </c>
      <c r="D3679" s="1">
        <v>0</v>
      </c>
      <c r="E3679">
        <f>D3679*C3679</f>
        <v>0</v>
      </c>
      <c r="F3679" s="1" t="s">
        <v>10636</v>
      </c>
      <c r="G3679" s="17">
        <v>80238</v>
      </c>
    </row>
    <row r="3680" spans="1:7">
      <c r="A3680" s="1" t="s">
        <v>10637</v>
      </c>
      <c r="B3680" s="1" t="s">
        <v>10638</v>
      </c>
      <c r="C3680">
        <f>(1-(B7/100))*1279.66</f>
        <v>1279.66</v>
      </c>
      <c r="D3680" s="1">
        <v>0</v>
      </c>
      <c r="E3680">
        <f>D3680*C3680</f>
        <v>0</v>
      </c>
      <c r="F3680" s="1" t="s">
        <v>10639</v>
      </c>
      <c r="G3680" s="17">
        <v>80243</v>
      </c>
    </row>
    <row r="3681" spans="1:7">
      <c r="A3681" s="1" t="s">
        <v>10640</v>
      </c>
      <c r="B3681" s="1" t="s">
        <v>10641</v>
      </c>
      <c r="C3681">
        <f>(1-(B7/100))*139.33</f>
        <v>139.33</v>
      </c>
      <c r="D3681" s="1">
        <v>0</v>
      </c>
      <c r="E3681">
        <f>D3681*C3681</f>
        <v>0</v>
      </c>
      <c r="F3681" s="1" t="s">
        <v>10642</v>
      </c>
      <c r="G3681" s="17">
        <v>80246</v>
      </c>
    </row>
    <row r="3682" spans="1:7">
      <c r="A3682" s="1" t="s">
        <v>10643</v>
      </c>
      <c r="B3682" s="1" t="s">
        <v>10644</v>
      </c>
      <c r="C3682">
        <f>(1-(B7/100))*46.82</f>
        <v>46.82</v>
      </c>
      <c r="D3682" s="1">
        <v>0</v>
      </c>
      <c r="E3682">
        <f>D3682*C3682</f>
        <v>0</v>
      </c>
      <c r="F3682" s="1" t="s">
        <v>10645</v>
      </c>
      <c r="G3682" s="17">
        <v>80258</v>
      </c>
    </row>
    <row r="3683" spans="1:7">
      <c r="A3683" s="1" t="s">
        <v>10646</v>
      </c>
      <c r="B3683" s="1" t="s">
        <v>10647</v>
      </c>
      <c r="C3683">
        <f>(1-(B7/100))*1014.64</f>
        <v>1014.64</v>
      </c>
      <c r="D3683" s="1">
        <v>0</v>
      </c>
      <c r="E3683">
        <f>D3683*C3683</f>
        <v>0</v>
      </c>
      <c r="F3683" s="1" t="s">
        <v>10648</v>
      </c>
      <c r="G3683" s="17">
        <v>80260</v>
      </c>
    </row>
    <row r="3684" spans="1:7">
      <c r="A3684" s="1" t="s">
        <v>10649</v>
      </c>
      <c r="B3684" s="1" t="s">
        <v>10650</v>
      </c>
      <c r="C3684">
        <f>(1-(B7/100))*189.21</f>
        <v>189.21</v>
      </c>
      <c r="D3684" s="1">
        <v>0</v>
      </c>
      <c r="E3684">
        <f>D3684*C3684</f>
        <v>0</v>
      </c>
      <c r="F3684" s="1" t="s">
        <v>10651</v>
      </c>
      <c r="G3684" s="17">
        <v>80277</v>
      </c>
    </row>
    <row r="3685" spans="1:7">
      <c r="A3685" s="1" t="s">
        <v>10652</v>
      </c>
      <c r="B3685" s="1" t="s">
        <v>10653</v>
      </c>
      <c r="C3685">
        <f>(1-(B7/100))*154.71</f>
        <v>154.71</v>
      </c>
      <c r="D3685" s="1">
        <v>0</v>
      </c>
      <c r="E3685">
        <f>D3685*C3685</f>
        <v>0</v>
      </c>
      <c r="F3685" s="1" t="s">
        <v>10654</v>
      </c>
      <c r="G3685" s="17">
        <v>80278</v>
      </c>
    </row>
    <row r="3686" spans="1:7">
      <c r="A3686" s="1" t="s">
        <v>10655</v>
      </c>
      <c r="B3686" s="1" t="s">
        <v>10656</v>
      </c>
      <c r="C3686">
        <f>(1-(B7/100))*230.89</f>
        <v>230.89</v>
      </c>
      <c r="D3686" s="1">
        <v>0</v>
      </c>
      <c r="E3686">
        <f>D3686*C3686</f>
        <v>0</v>
      </c>
      <c r="F3686" s="1" t="s">
        <v>10657</v>
      </c>
      <c r="G3686" s="17">
        <v>80295</v>
      </c>
    </row>
    <row r="3687" spans="1:7">
      <c r="A3687" s="1" t="s">
        <v>10658</v>
      </c>
      <c r="B3687" s="1" t="s">
        <v>10659</v>
      </c>
      <c r="C3687">
        <f>(1-(B7/100))*112.5</f>
        <v>112.5</v>
      </c>
      <c r="D3687" s="1">
        <v>0</v>
      </c>
      <c r="E3687">
        <f>D3687*C3687</f>
        <v>0</v>
      </c>
      <c r="F3687" s="1" t="s">
        <v>10660</v>
      </c>
      <c r="G3687" s="17">
        <v>80298</v>
      </c>
    </row>
    <row r="3688" spans="1:7">
      <c r="A3688" s="1" t="s">
        <v>10661</v>
      </c>
      <c r="B3688" s="1" t="s">
        <v>10662</v>
      </c>
      <c r="C3688">
        <f>(1-(B7/100))*117.91</f>
        <v>117.91</v>
      </c>
      <c r="D3688" s="1">
        <v>0</v>
      </c>
      <c r="E3688">
        <f>D3688*C3688</f>
        <v>0</v>
      </c>
      <c r="F3688" s="1" t="s">
        <v>10663</v>
      </c>
      <c r="G3688" s="17">
        <v>80299</v>
      </c>
    </row>
    <row r="3689" spans="1:7">
      <c r="A3689" s="1" t="s">
        <v>10664</v>
      </c>
      <c r="B3689" s="1" t="s">
        <v>10665</v>
      </c>
      <c r="C3689">
        <f>(1-(B7/100))*193.61</f>
        <v>193.61</v>
      </c>
      <c r="D3689" s="1">
        <v>0</v>
      </c>
      <c r="E3689">
        <f>D3689*C3689</f>
        <v>0</v>
      </c>
      <c r="F3689" s="1" t="s">
        <v>10666</v>
      </c>
      <c r="G3689" s="17">
        <v>80305</v>
      </c>
    </row>
    <row r="3690" spans="1:7">
      <c r="A3690" s="1" t="s">
        <v>10667</v>
      </c>
      <c r="B3690" s="1" t="s">
        <v>10668</v>
      </c>
      <c r="C3690">
        <f>(1-(B7/100))*200.31</f>
        <v>200.31</v>
      </c>
      <c r="D3690" s="1">
        <v>0</v>
      </c>
      <c r="E3690">
        <f>D3690*C3690</f>
        <v>0</v>
      </c>
      <c r="F3690" s="1" t="s">
        <v>10669</v>
      </c>
      <c r="G3690" s="17">
        <v>80308</v>
      </c>
    </row>
    <row r="3691" spans="1:7">
      <c r="A3691" s="1" t="s">
        <v>10670</v>
      </c>
      <c r="B3691" s="1" t="s">
        <v>10671</v>
      </c>
      <c r="C3691">
        <f>(1-(B7/100))*131.47</f>
        <v>131.47</v>
      </c>
      <c r="D3691" s="1">
        <v>0</v>
      </c>
      <c r="E3691">
        <f>D3691*C3691</f>
        <v>0</v>
      </c>
      <c r="F3691" s="1" t="s">
        <v>10672</v>
      </c>
      <c r="G3691" s="17">
        <v>80314</v>
      </c>
    </row>
    <row r="3692" spans="1:7">
      <c r="A3692" s="1" t="s">
        <v>10673</v>
      </c>
      <c r="B3692" s="1" t="s">
        <v>10674</v>
      </c>
      <c r="C3692">
        <f>(1-(B7/100))*253.79</f>
        <v>253.79</v>
      </c>
      <c r="D3692" s="1">
        <v>0</v>
      </c>
      <c r="E3692">
        <f>D3692*C3692</f>
        <v>0</v>
      </c>
      <c r="F3692" s="1" t="s">
        <v>10675</v>
      </c>
      <c r="G3692" s="17">
        <v>80320</v>
      </c>
    </row>
    <row r="3693" spans="1:7">
      <c r="A3693" s="1" t="s">
        <v>10676</v>
      </c>
      <c r="B3693" s="1" t="s">
        <v>10677</v>
      </c>
      <c r="C3693">
        <f>(1-(B7/100))*217.95</f>
        <v>217.95</v>
      </c>
      <c r="D3693" s="1">
        <v>0</v>
      </c>
      <c r="E3693">
        <f>D3693*C3693</f>
        <v>0</v>
      </c>
      <c r="F3693" s="1" t="s">
        <v>10678</v>
      </c>
      <c r="G3693" s="17">
        <v>80332</v>
      </c>
    </row>
    <row r="3694" spans="1:7">
      <c r="A3694" s="1" t="s">
        <v>10679</v>
      </c>
      <c r="B3694" s="1" t="s">
        <v>10680</v>
      </c>
      <c r="C3694">
        <f>(1-(B7/100))*209.56</f>
        <v>209.56</v>
      </c>
      <c r="D3694" s="1">
        <v>0</v>
      </c>
      <c r="E3694">
        <f>D3694*C3694</f>
        <v>0</v>
      </c>
      <c r="F3694" s="1" t="s">
        <v>10681</v>
      </c>
      <c r="G3694" s="17">
        <v>80337</v>
      </c>
    </row>
    <row r="3695" spans="1:7">
      <c r="A3695" s="1" t="s">
        <v>10682</v>
      </c>
      <c r="B3695" s="1" t="s">
        <v>10683</v>
      </c>
      <c r="C3695">
        <f>(1-(B7/100))*169.2</f>
        <v>169.2</v>
      </c>
      <c r="D3695" s="1">
        <v>0</v>
      </c>
      <c r="E3695">
        <f>D3695*C3695</f>
        <v>0</v>
      </c>
      <c r="F3695" s="1" t="s">
        <v>10684</v>
      </c>
      <c r="G3695" s="17">
        <v>80338</v>
      </c>
    </row>
    <row r="3696" spans="1:7">
      <c r="A3696" s="1" t="s">
        <v>10685</v>
      </c>
      <c r="B3696" s="1" t="s">
        <v>10686</v>
      </c>
      <c r="C3696">
        <f>(1-(B7/100))*118.33</f>
        <v>118.33</v>
      </c>
      <c r="D3696" s="1">
        <v>0</v>
      </c>
      <c r="E3696">
        <f>D3696*C3696</f>
        <v>0</v>
      </c>
      <c r="F3696" s="1" t="s">
        <v>10687</v>
      </c>
      <c r="G3696" s="17">
        <v>80339</v>
      </c>
    </row>
    <row r="3697" spans="1:7">
      <c r="A3697" s="1" t="s">
        <v>10688</v>
      </c>
      <c r="B3697" s="1" t="s">
        <v>10689</v>
      </c>
      <c r="C3697">
        <f>(1-(B7/100))*224.81</f>
        <v>224.81</v>
      </c>
      <c r="D3697" s="1">
        <v>0</v>
      </c>
      <c r="E3697">
        <f>D3697*C3697</f>
        <v>0</v>
      </c>
      <c r="F3697" s="1" t="s">
        <v>10690</v>
      </c>
      <c r="G3697" s="17">
        <v>80342</v>
      </c>
    </row>
    <row r="3698" spans="1:7">
      <c r="A3698" s="1" t="s">
        <v>10691</v>
      </c>
      <c r="B3698" s="1" t="s">
        <v>10692</v>
      </c>
      <c r="C3698">
        <f>(1-(B7/100))*364.75</f>
        <v>364.75</v>
      </c>
      <c r="D3698" s="1">
        <v>0</v>
      </c>
      <c r="E3698">
        <f>D3698*C3698</f>
        <v>0</v>
      </c>
      <c r="F3698" s="1" t="s">
        <v>10693</v>
      </c>
      <c r="G3698" s="17">
        <v>80343</v>
      </c>
    </row>
    <row r="3699" spans="1:7">
      <c r="A3699" s="1" t="s">
        <v>10694</v>
      </c>
      <c r="B3699" s="1" t="s">
        <v>10695</v>
      </c>
      <c r="C3699">
        <f>(1-(B7/100))*1238.49</f>
        <v>1238.49</v>
      </c>
      <c r="D3699" s="1">
        <v>0</v>
      </c>
      <c r="E3699">
        <f>D3699*C3699</f>
        <v>0</v>
      </c>
      <c r="F3699" s="1" t="s">
        <v>10696</v>
      </c>
      <c r="G3699" s="17">
        <v>80349</v>
      </c>
    </row>
    <row r="3700" spans="1:7">
      <c r="A3700" s="1" t="s">
        <v>10697</v>
      </c>
      <c r="B3700" s="1" t="s">
        <v>10698</v>
      </c>
      <c r="C3700">
        <f>(1-(B7/100))*63.71</f>
        <v>63.71</v>
      </c>
      <c r="D3700" s="1">
        <v>0</v>
      </c>
      <c r="E3700">
        <f>D3700*C3700</f>
        <v>0</v>
      </c>
      <c r="F3700" s="1" t="s">
        <v>10699</v>
      </c>
      <c r="G3700" s="17">
        <v>80350</v>
      </c>
    </row>
    <row r="3701" spans="1:7">
      <c r="A3701" s="1" t="s">
        <v>10700</v>
      </c>
      <c r="B3701" s="1" t="s">
        <v>10701</v>
      </c>
      <c r="C3701">
        <f>(1-(B7/100))*166.64</f>
        <v>166.64</v>
      </c>
      <c r="D3701" s="1">
        <v>0</v>
      </c>
      <c r="E3701">
        <f>D3701*C3701</f>
        <v>0</v>
      </c>
      <c r="F3701" s="1" t="s">
        <v>10702</v>
      </c>
      <c r="G3701" s="17">
        <v>80358</v>
      </c>
    </row>
    <row r="3702" spans="1:7">
      <c r="A3702" s="1" t="s">
        <v>10703</v>
      </c>
      <c r="B3702" s="1" t="s">
        <v>10704</v>
      </c>
      <c r="C3702">
        <f>(1-(B7/100))*885.39</f>
        <v>885.39</v>
      </c>
      <c r="D3702" s="1">
        <v>0</v>
      </c>
      <c r="E3702">
        <f>D3702*C3702</f>
        <v>0</v>
      </c>
      <c r="F3702" s="1" t="s">
        <v>10705</v>
      </c>
      <c r="G3702" s="17">
        <v>80382</v>
      </c>
    </row>
    <row r="3703" spans="1:7">
      <c r="A3703" s="1" t="s">
        <v>10706</v>
      </c>
      <c r="B3703" s="1" t="s">
        <v>10707</v>
      </c>
      <c r="C3703">
        <f>(1-(B7/100))*313.31</f>
        <v>313.31</v>
      </c>
      <c r="D3703" s="1">
        <v>0</v>
      </c>
      <c r="E3703">
        <f>D3703*C3703</f>
        <v>0</v>
      </c>
      <c r="F3703" s="1" t="s">
        <v>10708</v>
      </c>
      <c r="G3703" s="17">
        <v>80384</v>
      </c>
    </row>
    <row r="3704" spans="1:7">
      <c r="A3704" s="1" t="s">
        <v>10709</v>
      </c>
      <c r="B3704" s="1" t="s">
        <v>10710</v>
      </c>
      <c r="C3704">
        <f>(1-(B7/100))*73.38</f>
        <v>73.38</v>
      </c>
      <c r="D3704" s="1">
        <v>0</v>
      </c>
      <c r="E3704">
        <f>D3704*C3704</f>
        <v>0</v>
      </c>
      <c r="F3704" s="1" t="s">
        <v>10711</v>
      </c>
      <c r="G3704" s="17">
        <v>80386</v>
      </c>
    </row>
    <row r="3705" spans="1:7">
      <c r="A3705" s="1" t="s">
        <v>10712</v>
      </c>
      <c r="B3705" s="1" t="s">
        <v>10713</v>
      </c>
      <c r="C3705">
        <f>(1-(B7/100))*79.43</f>
        <v>79.43</v>
      </c>
      <c r="D3705" s="1">
        <v>0</v>
      </c>
      <c r="E3705">
        <f>D3705*C3705</f>
        <v>0</v>
      </c>
      <c r="F3705" s="1" t="s">
        <v>10714</v>
      </c>
      <c r="G3705" s="17">
        <v>80388</v>
      </c>
    </row>
    <row r="3706" spans="1:7">
      <c r="A3706" s="1" t="s">
        <v>10715</v>
      </c>
      <c r="B3706" s="1" t="s">
        <v>10716</v>
      </c>
      <c r="C3706">
        <f>(1-(B7/100))*96.26</f>
        <v>96.26</v>
      </c>
      <c r="D3706" s="1">
        <v>0</v>
      </c>
      <c r="E3706">
        <f>D3706*C3706</f>
        <v>0</v>
      </c>
      <c r="F3706" s="1" t="s">
        <v>10717</v>
      </c>
      <c r="G3706" s="17">
        <v>80400</v>
      </c>
    </row>
    <row r="3707" spans="1:7">
      <c r="A3707" s="1" t="s">
        <v>10718</v>
      </c>
      <c r="B3707" s="1" t="s">
        <v>10719</v>
      </c>
      <c r="C3707">
        <f>(1-(B7/100))*79.97</f>
        <v>79.97</v>
      </c>
      <c r="D3707" s="1">
        <v>0</v>
      </c>
      <c r="E3707">
        <f>D3707*C3707</f>
        <v>0</v>
      </c>
      <c r="F3707" s="1" t="s">
        <v>10720</v>
      </c>
      <c r="G3707" s="17">
        <v>80402</v>
      </c>
    </row>
    <row r="3708" spans="1:7">
      <c r="A3708" s="1" t="s">
        <v>10721</v>
      </c>
      <c r="B3708" s="1" t="s">
        <v>10722</v>
      </c>
      <c r="C3708">
        <f>(1-(B7/100))*344.83</f>
        <v>344.83</v>
      </c>
      <c r="D3708" s="1">
        <v>0</v>
      </c>
      <c r="E3708">
        <f>D3708*C3708</f>
        <v>0</v>
      </c>
      <c r="F3708" s="1" t="s">
        <v>10723</v>
      </c>
      <c r="G3708" s="17">
        <v>80403</v>
      </c>
    </row>
    <row r="3709" spans="1:7">
      <c r="A3709" s="1" t="s">
        <v>10724</v>
      </c>
      <c r="B3709" s="1" t="s">
        <v>10725</v>
      </c>
      <c r="C3709">
        <f>(1-(B7/100))*13.27</f>
        <v>13.27</v>
      </c>
      <c r="D3709" s="1">
        <v>0</v>
      </c>
      <c r="E3709">
        <f>D3709*C3709</f>
        <v>0</v>
      </c>
      <c r="F3709" s="1" t="s">
        <v>10726</v>
      </c>
      <c r="G3709" s="17">
        <v>80404</v>
      </c>
    </row>
    <row r="3710" spans="1:7">
      <c r="A3710" s="1" t="s">
        <v>10727</v>
      </c>
      <c r="B3710" s="1" t="s">
        <v>10728</v>
      </c>
      <c r="C3710">
        <f>(1-(B7/100))*2021.19</f>
        <v>2021.19</v>
      </c>
      <c r="D3710" s="1">
        <v>0</v>
      </c>
      <c r="E3710">
        <f>D3710*C3710</f>
        <v>0</v>
      </c>
      <c r="F3710" s="1" t="s">
        <v>10729</v>
      </c>
      <c r="G3710" s="17">
        <v>80406</v>
      </c>
    </row>
    <row r="3711" spans="1:7">
      <c r="A3711" s="1" t="s">
        <v>10730</v>
      </c>
      <c r="B3711" s="1" t="s">
        <v>10731</v>
      </c>
      <c r="C3711">
        <f>(1-(B7/100))*34.93</f>
        <v>34.93</v>
      </c>
      <c r="D3711" s="1">
        <v>0</v>
      </c>
      <c r="E3711">
        <f>D3711*C3711</f>
        <v>0</v>
      </c>
      <c r="F3711" s="1" t="s">
        <v>10732</v>
      </c>
      <c r="G3711" s="17">
        <v>80409</v>
      </c>
    </row>
    <row r="3712" spans="1:7">
      <c r="A3712" s="1" t="s">
        <v>10733</v>
      </c>
      <c r="B3712" s="1" t="s">
        <v>10734</v>
      </c>
      <c r="C3712">
        <f>(1-(B7/100))*141.86</f>
        <v>141.86</v>
      </c>
      <c r="D3712" s="1">
        <v>0</v>
      </c>
      <c r="E3712">
        <f>D3712*C3712</f>
        <v>0</v>
      </c>
      <c r="F3712" s="1" t="s">
        <v>10735</v>
      </c>
      <c r="G3712" s="17">
        <v>80410</v>
      </c>
    </row>
    <row r="3713" spans="1:7">
      <c r="A3713" s="1" t="s">
        <v>10736</v>
      </c>
      <c r="B3713" s="1" t="s">
        <v>10737</v>
      </c>
      <c r="C3713">
        <f>(1-(B7/100))*185.59</f>
        <v>185.59</v>
      </c>
      <c r="D3713" s="1">
        <v>0</v>
      </c>
      <c r="E3713">
        <f>D3713*C3713</f>
        <v>0</v>
      </c>
      <c r="F3713" s="1" t="s">
        <v>10738</v>
      </c>
      <c r="G3713" s="17">
        <v>80413</v>
      </c>
    </row>
    <row r="3714" spans="1:7">
      <c r="A3714" s="1" t="s">
        <v>10739</v>
      </c>
      <c r="B3714" s="1" t="s">
        <v>10740</v>
      </c>
      <c r="C3714">
        <f>(1-(B7/100))*266.44</f>
        <v>266.44</v>
      </c>
      <c r="D3714" s="1">
        <v>0</v>
      </c>
      <c r="E3714">
        <f>D3714*C3714</f>
        <v>0</v>
      </c>
      <c r="F3714" s="1" t="s">
        <v>10741</v>
      </c>
      <c r="G3714" s="17">
        <v>80414</v>
      </c>
    </row>
    <row r="3715" spans="1:7">
      <c r="A3715" s="1" t="s">
        <v>10742</v>
      </c>
      <c r="B3715" s="1" t="s">
        <v>10743</v>
      </c>
      <c r="C3715">
        <f>(1-(B7/100))*96.55</f>
        <v>96.55</v>
      </c>
      <c r="D3715" s="1">
        <v>0</v>
      </c>
      <c r="E3715">
        <f>D3715*C3715</f>
        <v>0</v>
      </c>
      <c r="F3715" s="1" t="s">
        <v>10744</v>
      </c>
      <c r="G3715" s="17">
        <v>80417</v>
      </c>
    </row>
    <row r="3716" spans="1:7">
      <c r="A3716" s="1" t="s">
        <v>10745</v>
      </c>
      <c r="B3716" s="1" t="s">
        <v>10746</v>
      </c>
      <c r="C3716">
        <f>(1-(B7/100))*96.55</f>
        <v>96.55</v>
      </c>
      <c r="D3716" s="1">
        <v>0</v>
      </c>
      <c r="E3716">
        <f>D3716*C3716</f>
        <v>0</v>
      </c>
      <c r="F3716" s="1" t="s">
        <v>10747</v>
      </c>
      <c r="G3716" s="17">
        <v>80418</v>
      </c>
    </row>
    <row r="3717" spans="1:7">
      <c r="A3717" s="1" t="s">
        <v>10748</v>
      </c>
      <c r="B3717" s="1" t="s">
        <v>10749</v>
      </c>
      <c r="C3717">
        <f>(1-(B7/100))*1353.21</f>
        <v>1353.21</v>
      </c>
      <c r="D3717" s="1">
        <v>0</v>
      </c>
      <c r="E3717">
        <f>D3717*C3717</f>
        <v>0</v>
      </c>
      <c r="F3717" s="1" t="s">
        <v>10750</v>
      </c>
      <c r="G3717" s="17">
        <v>80419</v>
      </c>
    </row>
    <row r="3718" spans="1:7">
      <c r="A3718" s="1" t="s">
        <v>10751</v>
      </c>
      <c r="B3718" s="1" t="s">
        <v>10752</v>
      </c>
      <c r="C3718">
        <f>(1-(B7/100))*163.15</f>
        <v>163.15</v>
      </c>
      <c r="D3718" s="1">
        <v>0</v>
      </c>
      <c r="E3718">
        <f>D3718*C3718</f>
        <v>0</v>
      </c>
      <c r="F3718" s="1" t="s">
        <v>10753</v>
      </c>
      <c r="G3718" s="17">
        <v>80425</v>
      </c>
    </row>
    <row r="3719" spans="1:7">
      <c r="A3719" s="1" t="s">
        <v>10754</v>
      </c>
      <c r="B3719" s="1" t="s">
        <v>10755</v>
      </c>
      <c r="C3719">
        <f>(1-(B7/100))*241.85</f>
        <v>241.85</v>
      </c>
      <c r="D3719" s="1">
        <v>0</v>
      </c>
      <c r="E3719">
        <f>D3719*C3719</f>
        <v>0</v>
      </c>
      <c r="F3719" s="1" t="s">
        <v>10756</v>
      </c>
      <c r="G3719" s="17">
        <v>80427</v>
      </c>
    </row>
    <row r="3720" spans="1:7">
      <c r="A3720" s="1" t="s">
        <v>10757</v>
      </c>
      <c r="B3720" s="1" t="s">
        <v>10758</v>
      </c>
      <c r="C3720">
        <f>(1-(B7/100))*518.41</f>
        <v>518.41</v>
      </c>
      <c r="D3720" s="1">
        <v>0</v>
      </c>
      <c r="E3720">
        <f>D3720*C3720</f>
        <v>0</v>
      </c>
      <c r="F3720" s="1" t="s">
        <v>10759</v>
      </c>
      <c r="G3720" s="17">
        <v>80428</v>
      </c>
    </row>
    <row r="3721" spans="1:7">
      <c r="A3721" s="1" t="s">
        <v>10760</v>
      </c>
      <c r="B3721" s="1" t="s">
        <v>10761</v>
      </c>
      <c r="C3721">
        <f>(1-(B7/100))*87.03</f>
        <v>87.03</v>
      </c>
      <c r="D3721" s="1">
        <v>0</v>
      </c>
      <c r="E3721">
        <f>D3721*C3721</f>
        <v>0</v>
      </c>
      <c r="F3721" s="1" t="s">
        <v>10762</v>
      </c>
      <c r="G3721" s="17">
        <v>80432</v>
      </c>
    </row>
    <row r="3722" spans="1:7">
      <c r="A3722" s="1" t="s">
        <v>10763</v>
      </c>
      <c r="B3722" s="1" t="s">
        <v>10764</v>
      </c>
      <c r="C3722">
        <f>(1-(B7/100))*87.03</f>
        <v>87.03</v>
      </c>
      <c r="D3722" s="1">
        <v>0</v>
      </c>
      <c r="E3722">
        <f>D3722*C3722</f>
        <v>0</v>
      </c>
      <c r="F3722" s="1" t="s">
        <v>10765</v>
      </c>
      <c r="G3722" s="17">
        <v>80433</v>
      </c>
    </row>
    <row r="3723" spans="1:7">
      <c r="A3723" s="1" t="s">
        <v>10766</v>
      </c>
      <c r="B3723" s="1" t="s">
        <v>10767</v>
      </c>
      <c r="C3723">
        <f>(1-(B7/100))*111.38</f>
        <v>111.38</v>
      </c>
      <c r="D3723" s="1">
        <v>0</v>
      </c>
      <c r="E3723">
        <f>D3723*C3723</f>
        <v>0</v>
      </c>
      <c r="F3723" s="1" t="s">
        <v>10768</v>
      </c>
      <c r="G3723" s="17">
        <v>80435</v>
      </c>
    </row>
    <row r="3724" spans="1:7">
      <c r="A3724" s="1" t="s">
        <v>10769</v>
      </c>
      <c r="B3724" s="1" t="s">
        <v>10770</v>
      </c>
      <c r="C3724">
        <f>(1-(B7/100))*159.52</f>
        <v>159.52</v>
      </c>
      <c r="D3724" s="1">
        <v>0</v>
      </c>
      <c r="E3724">
        <f>D3724*C3724</f>
        <v>0</v>
      </c>
      <c r="F3724" s="1" t="s">
        <v>10771</v>
      </c>
      <c r="G3724" s="17">
        <v>80441</v>
      </c>
    </row>
    <row r="3725" spans="1:7">
      <c r="A3725" s="1" t="s">
        <v>10772</v>
      </c>
      <c r="B3725" s="1" t="s">
        <v>10773</v>
      </c>
      <c r="C3725">
        <f>(1-(B7/100))*42.12</f>
        <v>42.12</v>
      </c>
      <c r="D3725" s="1">
        <v>0</v>
      </c>
      <c r="E3725">
        <f>D3725*C3725</f>
        <v>0</v>
      </c>
      <c r="F3725" s="1" t="s">
        <v>10774</v>
      </c>
      <c r="G3725" s="17">
        <v>80451</v>
      </c>
    </row>
    <row r="3726" spans="1:7">
      <c r="A3726" s="1" t="s">
        <v>10775</v>
      </c>
      <c r="B3726" s="1" t="s">
        <v>10776</v>
      </c>
      <c r="C3726">
        <f>(1-(B7/100))*233.23</f>
        <v>233.23</v>
      </c>
      <c r="D3726" s="1">
        <v>0</v>
      </c>
      <c r="E3726">
        <f>D3726*C3726</f>
        <v>0</v>
      </c>
      <c r="F3726" s="1" t="s">
        <v>10777</v>
      </c>
      <c r="G3726" s="17">
        <v>80465</v>
      </c>
    </row>
    <row r="3727" spans="1:7">
      <c r="A3727" s="1" t="s">
        <v>10778</v>
      </c>
      <c r="B3727" s="1" t="s">
        <v>10779</v>
      </c>
      <c r="C3727">
        <f>(1-(B7/100))*1474.91</f>
        <v>1474.91</v>
      </c>
      <c r="D3727" s="1">
        <v>0</v>
      </c>
      <c r="E3727">
        <f>D3727*C3727</f>
        <v>0</v>
      </c>
      <c r="F3727" s="1" t="s">
        <v>10780</v>
      </c>
      <c r="G3727" s="17">
        <v>80466</v>
      </c>
    </row>
    <row r="3728" spans="1:7">
      <c r="A3728" s="1" t="s">
        <v>10781</v>
      </c>
      <c r="B3728" s="1" t="s">
        <v>10782</v>
      </c>
      <c r="C3728">
        <f>(1-(B7/100))*631.57</f>
        <v>631.57</v>
      </c>
      <c r="D3728" s="1">
        <v>0</v>
      </c>
      <c r="E3728">
        <f>D3728*C3728</f>
        <v>0</v>
      </c>
      <c r="F3728" s="1" t="s">
        <v>10783</v>
      </c>
      <c r="G3728" s="17">
        <v>80468</v>
      </c>
    </row>
    <row r="3729" spans="1:7">
      <c r="A3729" s="1" t="s">
        <v>10784</v>
      </c>
      <c r="B3729" s="1" t="s">
        <v>10785</v>
      </c>
      <c r="C3729">
        <f>(1-(B7/100))*98.74</f>
        <v>98.74</v>
      </c>
      <c r="D3729" s="1">
        <v>0</v>
      </c>
      <c r="E3729">
        <f>D3729*C3729</f>
        <v>0</v>
      </c>
      <c r="F3729" s="1" t="s">
        <v>10786</v>
      </c>
      <c r="G3729" s="17">
        <v>80488</v>
      </c>
    </row>
    <row r="3730" spans="1:7">
      <c r="A3730" s="1" t="s">
        <v>10787</v>
      </c>
      <c r="B3730" s="1" t="s">
        <v>10788</v>
      </c>
      <c r="C3730">
        <f>(1-(B7/100))*97.91</f>
        <v>97.91</v>
      </c>
      <c r="D3730" s="1">
        <v>0</v>
      </c>
      <c r="E3730">
        <f>D3730*C3730</f>
        <v>0</v>
      </c>
      <c r="F3730" s="1" t="s">
        <v>10789</v>
      </c>
      <c r="G3730" s="17">
        <v>80489</v>
      </c>
    </row>
    <row r="3731" spans="1:7">
      <c r="A3731" s="1" t="s">
        <v>10790</v>
      </c>
      <c r="B3731" s="1" t="s">
        <v>10791</v>
      </c>
      <c r="C3731">
        <f>(1-(B7/100))*257.71</f>
        <v>257.71</v>
      </c>
      <c r="D3731" s="1">
        <v>0</v>
      </c>
      <c r="E3731">
        <f>D3731*C3731</f>
        <v>0</v>
      </c>
      <c r="F3731" s="1" t="s">
        <v>10792</v>
      </c>
      <c r="G3731" s="17">
        <v>80493</v>
      </c>
    </row>
    <row r="3732" spans="1:7">
      <c r="A3732" s="1" t="s">
        <v>10793</v>
      </c>
      <c r="B3732" s="1" t="s">
        <v>10794</v>
      </c>
      <c r="C3732">
        <f>(1-(B7/100))*258.64</f>
        <v>258.64</v>
      </c>
      <c r="D3732" s="1">
        <v>0</v>
      </c>
      <c r="E3732">
        <f>D3732*C3732</f>
        <v>0</v>
      </c>
      <c r="F3732" s="1" t="s">
        <v>10795</v>
      </c>
      <c r="G3732" s="17">
        <v>80494</v>
      </c>
    </row>
    <row r="3733" spans="1:7">
      <c r="A3733" s="1" t="s">
        <v>10796</v>
      </c>
      <c r="B3733" s="1" t="s">
        <v>10797</v>
      </c>
      <c r="C3733">
        <f>(1-(B7/100))*294.01</f>
        <v>294.01</v>
      </c>
      <c r="D3733" s="1">
        <v>0</v>
      </c>
      <c r="E3733">
        <f>D3733*C3733</f>
        <v>0</v>
      </c>
      <c r="F3733" s="1" t="s">
        <v>10798</v>
      </c>
      <c r="G3733" s="17">
        <v>80496</v>
      </c>
    </row>
    <row r="3734" spans="1:7">
      <c r="A3734" s="1" t="s">
        <v>10799</v>
      </c>
      <c r="B3734" s="1" t="s">
        <v>10800</v>
      </c>
      <c r="C3734">
        <f>(1-(B7/100))*137.33</f>
        <v>137.33</v>
      </c>
      <c r="D3734" s="1">
        <v>0</v>
      </c>
      <c r="E3734">
        <f>D3734*C3734</f>
        <v>0</v>
      </c>
      <c r="F3734" s="1" t="s">
        <v>10801</v>
      </c>
      <c r="G3734" s="17">
        <v>80515</v>
      </c>
    </row>
    <row r="3735" spans="1:7">
      <c r="A3735" s="1" t="s">
        <v>10802</v>
      </c>
      <c r="B3735" s="1" t="s">
        <v>10803</v>
      </c>
      <c r="C3735">
        <f>(1-(B7/100))*589.58</f>
        <v>589.58</v>
      </c>
      <c r="D3735" s="1">
        <v>0</v>
      </c>
      <c r="E3735">
        <f>D3735*C3735</f>
        <v>0</v>
      </c>
      <c r="F3735" s="1" t="s">
        <v>10804</v>
      </c>
      <c r="G3735" s="17">
        <v>80518</v>
      </c>
    </row>
    <row r="3736" spans="1:7">
      <c r="A3736" s="1" t="s">
        <v>10805</v>
      </c>
      <c r="B3736" s="1" t="s">
        <v>10806</v>
      </c>
      <c r="C3736">
        <f>(1-(B7/100))*129.71</f>
        <v>129.71</v>
      </c>
      <c r="D3736" s="1">
        <v>0</v>
      </c>
      <c r="E3736">
        <f>D3736*C3736</f>
        <v>0</v>
      </c>
      <c r="F3736" s="1" t="s">
        <v>10807</v>
      </c>
      <c r="G3736" s="17">
        <v>80527</v>
      </c>
    </row>
    <row r="3737" spans="1:7">
      <c r="A3737" s="1" t="s">
        <v>10808</v>
      </c>
      <c r="B3737" s="1" t="s">
        <v>10809</v>
      </c>
      <c r="C3737">
        <f>(1-(B7/100))*208.19</f>
        <v>208.19</v>
      </c>
      <c r="D3737" s="1">
        <v>0</v>
      </c>
      <c r="E3737">
        <f>D3737*C3737</f>
        <v>0</v>
      </c>
      <c r="F3737" s="1" t="s">
        <v>10810</v>
      </c>
      <c r="G3737" s="17">
        <v>80530</v>
      </c>
    </row>
    <row r="3738" spans="1:7">
      <c r="A3738" s="1" t="s">
        <v>10811</v>
      </c>
      <c r="B3738" s="1" t="s">
        <v>10812</v>
      </c>
      <c r="C3738">
        <f>(1-(B7/100))*147.35</f>
        <v>147.35</v>
      </c>
      <c r="D3738" s="1">
        <v>0</v>
      </c>
      <c r="E3738">
        <f>D3738*C3738</f>
        <v>0</v>
      </c>
      <c r="F3738" s="1" t="s">
        <v>10813</v>
      </c>
      <c r="G3738" s="17">
        <v>80563</v>
      </c>
    </row>
    <row r="3739" spans="1:7">
      <c r="A3739" s="1" t="s">
        <v>10814</v>
      </c>
      <c r="B3739" s="1" t="s">
        <v>10815</v>
      </c>
      <c r="C3739">
        <f>(1-(B7/100))*92.78</f>
        <v>92.78</v>
      </c>
      <c r="D3739" s="1">
        <v>0</v>
      </c>
      <c r="E3739">
        <f>D3739*C3739</f>
        <v>0</v>
      </c>
      <c r="F3739" s="1" t="s">
        <v>10816</v>
      </c>
      <c r="G3739" s="17">
        <v>80564</v>
      </c>
    </row>
    <row r="3740" spans="1:7">
      <c r="A3740" s="1" t="s">
        <v>10817</v>
      </c>
      <c r="B3740" s="1" t="s">
        <v>10818</v>
      </c>
      <c r="C3740">
        <f>(1-(B7/100))*751.8</f>
        <v>751.8</v>
      </c>
      <c r="D3740" s="1">
        <v>0</v>
      </c>
      <c r="E3740">
        <f>D3740*C3740</f>
        <v>0</v>
      </c>
      <c r="F3740" s="1" t="s">
        <v>10819</v>
      </c>
      <c r="G3740" s="17">
        <v>80569</v>
      </c>
    </row>
    <row r="3741" spans="1:7">
      <c r="A3741" s="1" t="s">
        <v>10820</v>
      </c>
      <c r="B3741" s="1" t="s">
        <v>10821</v>
      </c>
      <c r="C3741">
        <f>(1-(B7/100))*150.25</f>
        <v>150.25</v>
      </c>
      <c r="D3741" s="1">
        <v>0</v>
      </c>
      <c r="E3741">
        <f>D3741*C3741</f>
        <v>0</v>
      </c>
      <c r="F3741" s="1" t="s">
        <v>10822</v>
      </c>
      <c r="G3741" s="17">
        <v>82937</v>
      </c>
    </row>
    <row r="3742" spans="1:7">
      <c r="A3742" s="1" t="s">
        <v>10823</v>
      </c>
      <c r="B3742" s="1" t="s">
        <v>10824</v>
      </c>
      <c r="C3742">
        <f>(1-(B7/100))*154.64</f>
        <v>154.64</v>
      </c>
      <c r="D3742" s="1">
        <v>0</v>
      </c>
      <c r="E3742">
        <f>D3742*C3742</f>
        <v>0</v>
      </c>
      <c r="F3742" s="1" t="s">
        <v>10825</v>
      </c>
      <c r="G3742" s="17">
        <v>84845</v>
      </c>
    </row>
    <row r="3743" spans="1:7">
      <c r="A3743" s="1" t="s">
        <v>10826</v>
      </c>
      <c r="B3743" s="1" t="s">
        <v>10827</v>
      </c>
      <c r="C3743">
        <f>(1-(B7/100))*3122.26</f>
        <v>3122.26</v>
      </c>
      <c r="D3743" s="1">
        <v>0</v>
      </c>
      <c r="E3743">
        <f>D3743*C3743</f>
        <v>0</v>
      </c>
      <c r="F3743" s="1" t="s">
        <v>10828</v>
      </c>
      <c r="G3743" s="17">
        <v>86446</v>
      </c>
    </row>
    <row r="3744" spans="1:7">
      <c r="A3744" s="1" t="s">
        <v>10829</v>
      </c>
      <c r="B3744" s="1" t="s">
        <v>10830</v>
      </c>
      <c r="C3744">
        <f>(1-(B7/100))*1495.71</f>
        <v>1495.71</v>
      </c>
      <c r="D3744" s="1">
        <v>0</v>
      </c>
      <c r="E3744">
        <f>D3744*C3744</f>
        <v>0</v>
      </c>
      <c r="F3744" s="1" t="s">
        <v>10831</v>
      </c>
      <c r="G3744" s="17">
        <v>86447</v>
      </c>
    </row>
    <row r="3745" spans="1:7">
      <c r="A3745" s="1" t="s">
        <v>10832</v>
      </c>
      <c r="B3745" s="1" t="s">
        <v>10833</v>
      </c>
      <c r="C3745">
        <f>(1-(B7/100))*213.57</f>
        <v>213.57</v>
      </c>
      <c r="D3745" s="1">
        <v>0</v>
      </c>
      <c r="E3745">
        <f>D3745*C3745</f>
        <v>0</v>
      </c>
      <c r="F3745" s="1" t="s">
        <v>10834</v>
      </c>
      <c r="G3745" s="17">
        <v>86490</v>
      </c>
    </row>
    <row r="3746" spans="1:7">
      <c r="A3746" s="1" t="s">
        <v>10835</v>
      </c>
      <c r="B3746" s="1" t="s">
        <v>10836</v>
      </c>
      <c r="C3746">
        <f>(1-(B7/100))*291.93</f>
        <v>291.93</v>
      </c>
      <c r="D3746" s="1">
        <v>0</v>
      </c>
      <c r="E3746">
        <f>D3746*C3746</f>
        <v>0</v>
      </c>
      <c r="F3746" s="1" t="s">
        <v>10837</v>
      </c>
      <c r="G3746" s="17">
        <v>86496</v>
      </c>
    </row>
    <row r="3747" spans="1:7">
      <c r="A3747" s="1" t="s">
        <v>10838</v>
      </c>
      <c r="B3747" s="1" t="s">
        <v>10839</v>
      </c>
      <c r="C3747">
        <f>(1-(B7/100))*272.87</f>
        <v>272.87</v>
      </c>
      <c r="D3747" s="1">
        <v>0</v>
      </c>
      <c r="E3747">
        <f>D3747*C3747</f>
        <v>0</v>
      </c>
      <c r="F3747" s="1" t="s">
        <v>10840</v>
      </c>
      <c r="G3747" s="17">
        <v>86497</v>
      </c>
    </row>
    <row r="3748" spans="1:7">
      <c r="A3748" s="1" t="s">
        <v>10841</v>
      </c>
      <c r="B3748" s="1" t="s">
        <v>10842</v>
      </c>
      <c r="C3748">
        <f>(1-(B7/100))*276.78</f>
        <v>276.78</v>
      </c>
      <c r="D3748" s="1">
        <v>0</v>
      </c>
      <c r="E3748">
        <f>D3748*C3748</f>
        <v>0</v>
      </c>
      <c r="F3748" s="1" t="s">
        <v>10843</v>
      </c>
      <c r="G3748" s="17">
        <v>86499</v>
      </c>
    </row>
    <row r="3749" spans="1:7">
      <c r="A3749" s="1" t="s">
        <v>10844</v>
      </c>
      <c r="B3749" s="1" t="s">
        <v>10845</v>
      </c>
      <c r="C3749">
        <f>(1-(B7/100))*581.26</f>
        <v>581.26</v>
      </c>
      <c r="D3749" s="1">
        <v>0</v>
      </c>
      <c r="E3749">
        <f>D3749*C3749</f>
        <v>0</v>
      </c>
      <c r="F3749" s="1" t="s">
        <v>10846</v>
      </c>
      <c r="G3749" s="17">
        <v>86501</v>
      </c>
    </row>
    <row r="3750" spans="1:7">
      <c r="A3750" s="1" t="s">
        <v>10847</v>
      </c>
      <c r="B3750" s="1" t="s">
        <v>10848</v>
      </c>
      <c r="C3750">
        <f>(1-(B7/100))*981.03</f>
        <v>981.03</v>
      </c>
      <c r="D3750" s="1">
        <v>0</v>
      </c>
      <c r="E3750">
        <f>D3750*C3750</f>
        <v>0</v>
      </c>
      <c r="F3750" s="1" t="s">
        <v>10849</v>
      </c>
      <c r="G3750" s="17">
        <v>86534</v>
      </c>
    </row>
    <row r="3751" spans="1:7">
      <c r="A3751" s="1" t="s">
        <v>10850</v>
      </c>
      <c r="B3751" s="1" t="s">
        <v>10851</v>
      </c>
      <c r="C3751">
        <f>(1-(B7/100))*4684.2</f>
        <v>4684.2</v>
      </c>
      <c r="D3751" s="1">
        <v>0</v>
      </c>
      <c r="E3751">
        <f>D3751*C3751</f>
        <v>0</v>
      </c>
      <c r="F3751" s="1" t="s">
        <v>10852</v>
      </c>
      <c r="G3751" s="17">
        <v>86542</v>
      </c>
    </row>
    <row r="3752" spans="1:7">
      <c r="A3752" s="1" t="s">
        <v>10853</v>
      </c>
      <c r="B3752" s="1" t="s">
        <v>10854</v>
      </c>
      <c r="C3752">
        <f>(1-(B7/100))*2128.34</f>
        <v>2128.34</v>
      </c>
      <c r="D3752" s="1">
        <v>0</v>
      </c>
      <c r="E3752">
        <f>D3752*C3752</f>
        <v>0</v>
      </c>
      <c r="F3752" s="1" t="s">
        <v>10855</v>
      </c>
      <c r="G3752" s="17">
        <v>86599</v>
      </c>
    </row>
    <row r="3753" spans="1:7">
      <c r="A3753" s="1" t="s">
        <v>10856</v>
      </c>
      <c r="B3753" s="1" t="s">
        <v>10857</v>
      </c>
      <c r="C3753">
        <f>(1-(B7/100))*1620.48</f>
        <v>1620.48</v>
      </c>
      <c r="D3753" s="1">
        <v>0</v>
      </c>
      <c r="E3753">
        <f>D3753*C3753</f>
        <v>0</v>
      </c>
      <c r="F3753" s="1" t="s">
        <v>10858</v>
      </c>
      <c r="G3753" s="17">
        <v>87358</v>
      </c>
    </row>
    <row r="3754" spans="1:7">
      <c r="A3754" s="1" t="s">
        <v>10859</v>
      </c>
      <c r="B3754" s="1" t="s">
        <v>10860</v>
      </c>
      <c r="C3754">
        <f>(1-(B7/100))*2682.85</f>
        <v>2682.85</v>
      </c>
      <c r="D3754" s="1">
        <v>0</v>
      </c>
      <c r="E3754">
        <f>D3754*C3754</f>
        <v>0</v>
      </c>
      <c r="F3754" s="1" t="s">
        <v>10861</v>
      </c>
      <c r="G3754" s="17">
        <v>87431</v>
      </c>
    </row>
    <row r="3755" spans="1:7">
      <c r="A3755" s="1" t="s">
        <v>10862</v>
      </c>
      <c r="B3755" s="1" t="s">
        <v>10863</v>
      </c>
      <c r="C3755">
        <f>(1-(B7/100))*468.42</f>
        <v>468.42</v>
      </c>
      <c r="D3755" s="1">
        <v>0</v>
      </c>
      <c r="E3755">
        <f>D3755*C3755</f>
        <v>0</v>
      </c>
      <c r="F3755" s="1" t="s">
        <v>10864</v>
      </c>
      <c r="G3755" s="17">
        <v>87457</v>
      </c>
    </row>
    <row r="3756" spans="1:7">
      <c r="A3756" s="1" t="s">
        <v>10865</v>
      </c>
      <c r="B3756" s="1" t="s">
        <v>10866</v>
      </c>
      <c r="C3756">
        <f>(1-(B7/100))*193.61</f>
        <v>193.61</v>
      </c>
      <c r="D3756" s="1">
        <v>0</v>
      </c>
      <c r="E3756">
        <f>D3756*C3756</f>
        <v>0</v>
      </c>
      <c r="F3756" s="1" t="s">
        <v>10867</v>
      </c>
      <c r="G3756" s="17">
        <v>87458</v>
      </c>
    </row>
    <row r="3757" spans="1:7">
      <c r="A3757" s="1" t="s">
        <v>10868</v>
      </c>
      <c r="B3757" s="1" t="s">
        <v>10869</v>
      </c>
      <c r="C3757">
        <f>(1-(B7/100))*111.93</f>
        <v>111.93</v>
      </c>
      <c r="D3757" s="1">
        <v>0</v>
      </c>
      <c r="E3757">
        <f>D3757*C3757</f>
        <v>0</v>
      </c>
      <c r="F3757" s="1" t="s">
        <v>10870</v>
      </c>
      <c r="G3757" s="17">
        <v>87459</v>
      </c>
    </row>
    <row r="3758" spans="1:7">
      <c r="A3758" s="16"/>
      <c r="B3758" s="16" t="s">
        <v>10871</v>
      </c>
      <c r="C3758" s="16"/>
      <c r="D3758" s="16"/>
      <c r="E3758" s="16"/>
      <c r="F3758" s="16"/>
    </row>
    <row r="3759" spans="1:7">
      <c r="A3759" s="1" t="s">
        <v>10872</v>
      </c>
      <c r="B3759" s="1" t="s">
        <v>10873</v>
      </c>
      <c r="C3759">
        <f>(1-(B7/100))*136.82</f>
        <v>136.82</v>
      </c>
      <c r="D3759" s="1">
        <v>0</v>
      </c>
      <c r="E3759">
        <f>D3759*C3759</f>
        <v>0</v>
      </c>
      <c r="F3759" s="1" t="s">
        <v>10874</v>
      </c>
      <c r="G3759" s="17">
        <v>62794</v>
      </c>
    </row>
    <row r="3760" spans="1:7">
      <c r="A3760" s="1" t="s">
        <v>10875</v>
      </c>
      <c r="B3760" s="1" t="s">
        <v>10876</v>
      </c>
      <c r="C3760">
        <f>(1-(B7/100))*104.09</f>
        <v>104.09</v>
      </c>
      <c r="D3760" s="1">
        <v>0</v>
      </c>
      <c r="E3760">
        <f>D3760*C3760</f>
        <v>0</v>
      </c>
      <c r="F3760" s="1" t="s">
        <v>10877</v>
      </c>
      <c r="G3760" s="17">
        <v>62809</v>
      </c>
    </row>
    <row r="3761" spans="1:7">
      <c r="A3761" s="1" t="s">
        <v>10878</v>
      </c>
      <c r="B3761" s="1" t="s">
        <v>10879</v>
      </c>
      <c r="C3761">
        <f>(1-(B7/100))*124.04</f>
        <v>124.04</v>
      </c>
      <c r="D3761" s="1">
        <v>0</v>
      </c>
      <c r="E3761">
        <f>D3761*C3761</f>
        <v>0</v>
      </c>
      <c r="F3761" s="1" t="s">
        <v>10880</v>
      </c>
      <c r="G3761" s="17">
        <v>62810</v>
      </c>
    </row>
    <row r="3762" spans="1:7">
      <c r="A3762" s="1" t="s">
        <v>10881</v>
      </c>
      <c r="B3762" s="1" t="s">
        <v>10882</v>
      </c>
      <c r="C3762">
        <f>(1-(B7/100))*26.61</f>
        <v>26.61</v>
      </c>
      <c r="D3762" s="1">
        <v>0</v>
      </c>
      <c r="E3762">
        <f>D3762*C3762</f>
        <v>0</v>
      </c>
      <c r="F3762" s="1" t="s">
        <v>10883</v>
      </c>
      <c r="G3762" s="17">
        <v>62909</v>
      </c>
    </row>
    <row r="3763" spans="1:7">
      <c r="A3763" s="1" t="s">
        <v>10884</v>
      </c>
      <c r="B3763" s="1" t="s">
        <v>10885</v>
      </c>
      <c r="C3763">
        <f>(1-(B7/100))*551.69</f>
        <v>551.69</v>
      </c>
      <c r="D3763" s="1">
        <v>0</v>
      </c>
      <c r="E3763">
        <f>D3763*C3763</f>
        <v>0</v>
      </c>
      <c r="F3763" s="1" t="s">
        <v>10886</v>
      </c>
      <c r="G3763" s="17">
        <v>62912</v>
      </c>
    </row>
    <row r="3764" spans="1:7">
      <c r="A3764" s="1" t="s">
        <v>10887</v>
      </c>
      <c r="B3764" s="1" t="s">
        <v>10888</v>
      </c>
      <c r="C3764">
        <f>(1-(B7/100))*2644.41</f>
        <v>2644.41</v>
      </c>
      <c r="D3764" s="1">
        <v>0</v>
      </c>
      <c r="E3764">
        <f>D3764*C3764</f>
        <v>0</v>
      </c>
      <c r="F3764" s="1" t="s">
        <v>10889</v>
      </c>
      <c r="G3764" s="17">
        <v>62918</v>
      </c>
    </row>
    <row r="3765" spans="1:7">
      <c r="A3765" s="1" t="s">
        <v>10890</v>
      </c>
      <c r="B3765" s="1" t="s">
        <v>10891</v>
      </c>
      <c r="C3765">
        <f>(1-(B7/100))*1644.67</f>
        <v>1644.67</v>
      </c>
      <c r="D3765" s="1">
        <v>0</v>
      </c>
      <c r="E3765">
        <f>D3765*C3765</f>
        <v>0</v>
      </c>
      <c r="F3765" s="1" t="s">
        <v>10892</v>
      </c>
      <c r="G3765" s="17">
        <v>62922</v>
      </c>
    </row>
    <row r="3766" spans="1:7">
      <c r="A3766" s="1" t="s">
        <v>10893</v>
      </c>
      <c r="B3766" s="1" t="s">
        <v>10894</v>
      </c>
      <c r="C3766">
        <f>(1-(B7/100))*1786.9</f>
        <v>1786.9</v>
      </c>
      <c r="D3766" s="1">
        <v>0</v>
      </c>
      <c r="E3766">
        <f>D3766*C3766</f>
        <v>0</v>
      </c>
      <c r="F3766" s="1" t="s">
        <v>10895</v>
      </c>
      <c r="G3766" s="17">
        <v>62924</v>
      </c>
    </row>
    <row r="3767" spans="1:7">
      <c r="A3767" s="1" t="s">
        <v>10896</v>
      </c>
      <c r="B3767" s="1" t="s">
        <v>10897</v>
      </c>
      <c r="C3767">
        <f>(1-(B7/100))*366.85</f>
        <v>366.85</v>
      </c>
      <c r="D3767" s="1">
        <v>0</v>
      </c>
      <c r="E3767">
        <f>D3767*C3767</f>
        <v>0</v>
      </c>
      <c r="F3767" s="1" t="s">
        <v>10898</v>
      </c>
      <c r="G3767" s="17">
        <v>62928</v>
      </c>
    </row>
    <row r="3768" spans="1:7">
      <c r="A3768" s="1" t="s">
        <v>10899</v>
      </c>
      <c r="B3768" s="1" t="s">
        <v>10900</v>
      </c>
      <c r="C3768">
        <f>(1-(B7/100))*1032.58</f>
        <v>1032.58</v>
      </c>
      <c r="D3768" s="1">
        <v>0</v>
      </c>
      <c r="E3768">
        <f>D3768*C3768</f>
        <v>0</v>
      </c>
      <c r="F3768" s="1" t="s">
        <v>10901</v>
      </c>
      <c r="G3768" s="17">
        <v>62931</v>
      </c>
    </row>
    <row r="3769" spans="1:7">
      <c r="A3769" s="1" t="s">
        <v>10902</v>
      </c>
      <c r="B3769" s="1" t="s">
        <v>10903</v>
      </c>
      <c r="C3769">
        <f>(1-(B7/100))*914.76</f>
        <v>914.76</v>
      </c>
      <c r="D3769" s="1">
        <v>0</v>
      </c>
      <c r="E3769">
        <f>D3769*C3769</f>
        <v>0</v>
      </c>
      <c r="F3769" s="1" t="s">
        <v>10904</v>
      </c>
      <c r="G3769" s="17">
        <v>62935</v>
      </c>
    </row>
    <row r="3770" spans="1:7">
      <c r="A3770" s="1" t="s">
        <v>10905</v>
      </c>
      <c r="B3770" s="1" t="s">
        <v>10906</v>
      </c>
      <c r="C3770">
        <f>(1-(B7/100))*865.6</f>
        <v>865.6</v>
      </c>
      <c r="D3770" s="1">
        <v>0</v>
      </c>
      <c r="E3770">
        <f>D3770*C3770</f>
        <v>0</v>
      </c>
      <c r="F3770" s="1" t="s">
        <v>10907</v>
      </c>
      <c r="G3770" s="17">
        <v>62936</v>
      </c>
    </row>
    <row r="3771" spans="1:7">
      <c r="A3771" s="1" t="s">
        <v>10908</v>
      </c>
      <c r="B3771" s="1" t="s">
        <v>10909</v>
      </c>
      <c r="C3771">
        <f>(1-(B7/100))*260.48</f>
        <v>260.48</v>
      </c>
      <c r="D3771" s="1">
        <v>0</v>
      </c>
      <c r="E3771">
        <f>D3771*C3771</f>
        <v>0</v>
      </c>
      <c r="F3771" s="1" t="s">
        <v>10910</v>
      </c>
      <c r="G3771" s="17">
        <v>62938</v>
      </c>
    </row>
    <row r="3772" spans="1:7">
      <c r="A3772" s="1" t="s">
        <v>10911</v>
      </c>
      <c r="B3772" s="1" t="s">
        <v>10912</v>
      </c>
      <c r="C3772">
        <f>(1-(B7/100))*126.14</f>
        <v>126.14</v>
      </c>
      <c r="D3772" s="1">
        <v>0</v>
      </c>
      <c r="E3772">
        <f>D3772*C3772</f>
        <v>0</v>
      </c>
      <c r="F3772" s="1" t="s">
        <v>10913</v>
      </c>
      <c r="G3772" s="17">
        <v>62945</v>
      </c>
    </row>
    <row r="3773" spans="1:7">
      <c r="A3773" s="1" t="s">
        <v>10914</v>
      </c>
      <c r="B3773" s="1" t="s">
        <v>10915</v>
      </c>
      <c r="C3773">
        <f>(1-(B7/100))*1470.09</f>
        <v>1470.09</v>
      </c>
      <c r="D3773" s="1">
        <v>0</v>
      </c>
      <c r="E3773">
        <f>D3773*C3773</f>
        <v>0</v>
      </c>
      <c r="F3773" s="1" t="s">
        <v>10916</v>
      </c>
      <c r="G3773" s="17">
        <v>63048</v>
      </c>
    </row>
    <row r="3774" spans="1:7">
      <c r="A3774" s="1" t="s">
        <v>10917</v>
      </c>
      <c r="B3774" s="1" t="s">
        <v>10918</v>
      </c>
      <c r="C3774">
        <f>(1-(B7/100))*375.53</f>
        <v>375.53</v>
      </c>
      <c r="D3774" s="1">
        <v>0</v>
      </c>
      <c r="E3774">
        <f>D3774*C3774</f>
        <v>0</v>
      </c>
      <c r="F3774" s="1" t="s">
        <v>10919</v>
      </c>
      <c r="G3774" s="17">
        <v>63049</v>
      </c>
    </row>
    <row r="3775" spans="1:7">
      <c r="A3775" s="1" t="s">
        <v>10920</v>
      </c>
      <c r="B3775" s="1" t="s">
        <v>10921</v>
      </c>
      <c r="C3775">
        <f>(1-(B7/100))*1313.24</f>
        <v>1313.24</v>
      </c>
      <c r="D3775" s="1">
        <v>0</v>
      </c>
      <c r="E3775">
        <f>D3775*C3775</f>
        <v>0</v>
      </c>
      <c r="F3775" s="1" t="s">
        <v>10922</v>
      </c>
      <c r="G3775" s="17">
        <v>63056</v>
      </c>
    </row>
    <row r="3776" spans="1:7">
      <c r="A3776" s="1" t="s">
        <v>10923</v>
      </c>
      <c r="B3776" s="1" t="s">
        <v>10924</v>
      </c>
      <c r="C3776">
        <f>(1-(B7/100))*1353.21</f>
        <v>1353.21</v>
      </c>
      <c r="D3776" s="1">
        <v>0</v>
      </c>
      <c r="E3776">
        <f>D3776*C3776</f>
        <v>0</v>
      </c>
      <c r="F3776" s="1" t="s">
        <v>10925</v>
      </c>
      <c r="G3776" s="17">
        <v>63063</v>
      </c>
    </row>
    <row r="3777" spans="1:7">
      <c r="A3777" s="1">
        <v>161093732</v>
      </c>
      <c r="B3777" s="1" t="s">
        <v>10926</v>
      </c>
      <c r="C3777">
        <f>(1-(B7/100))*7500</f>
        <v>7500</v>
      </c>
      <c r="D3777" s="1">
        <v>0</v>
      </c>
      <c r="E3777">
        <f>D3777*C3777</f>
        <v>0</v>
      </c>
      <c r="F3777" s="1" t="s">
        <v>10927</v>
      </c>
      <c r="G3777" s="17">
        <v>63115</v>
      </c>
    </row>
    <row r="3778" spans="1:7">
      <c r="A3778" s="1" t="s">
        <v>10928</v>
      </c>
      <c r="B3778" s="1" t="s">
        <v>10929</v>
      </c>
      <c r="C3778">
        <f>(1-(B7/100))*246.47</f>
        <v>246.47</v>
      </c>
      <c r="D3778" s="1">
        <v>0</v>
      </c>
      <c r="E3778">
        <f>D3778*C3778</f>
        <v>0</v>
      </c>
      <c r="F3778" s="1" t="s">
        <v>10930</v>
      </c>
      <c r="G3778" s="17">
        <v>63148</v>
      </c>
    </row>
    <row r="3779" spans="1:7">
      <c r="A3779" s="1" t="s">
        <v>10931</v>
      </c>
      <c r="B3779" s="1" t="s">
        <v>10932</v>
      </c>
      <c r="C3779">
        <f>(1-(B7/100))*1129.57</f>
        <v>1129.57</v>
      </c>
      <c r="D3779" s="1">
        <v>0</v>
      </c>
      <c r="E3779">
        <f>D3779*C3779</f>
        <v>0</v>
      </c>
      <c r="F3779" s="1" t="s">
        <v>10933</v>
      </c>
      <c r="G3779" s="17">
        <v>63149</v>
      </c>
    </row>
    <row r="3780" spans="1:7">
      <c r="A3780" s="1" t="s">
        <v>10934</v>
      </c>
      <c r="B3780" s="1" t="s">
        <v>10935</v>
      </c>
      <c r="C3780">
        <f>(1-(B7/100))*624.56</f>
        <v>624.56</v>
      </c>
      <c r="D3780" s="1">
        <v>0</v>
      </c>
      <c r="E3780">
        <f>D3780*C3780</f>
        <v>0</v>
      </c>
      <c r="F3780" s="1" t="s">
        <v>10936</v>
      </c>
      <c r="G3780" s="17">
        <v>63156</v>
      </c>
    </row>
    <row r="3781" spans="1:7">
      <c r="A3781" s="1">
        <v>10144275</v>
      </c>
      <c r="B3781" s="1" t="s">
        <v>10937</v>
      </c>
      <c r="C3781">
        <f>(1-(B7/100))*1250</f>
        <v>1250</v>
      </c>
      <c r="D3781" s="1">
        <v>0</v>
      </c>
      <c r="E3781">
        <f>D3781*C3781</f>
        <v>0</v>
      </c>
      <c r="F3781" s="1" t="s">
        <v>10938</v>
      </c>
      <c r="G3781" s="17">
        <v>63164</v>
      </c>
    </row>
    <row r="3782" spans="1:7">
      <c r="A3782" s="1" t="s">
        <v>10939</v>
      </c>
      <c r="B3782" s="1" t="s">
        <v>10940</v>
      </c>
      <c r="C3782">
        <f>(1-(B7/100))*174.01</f>
        <v>174.01</v>
      </c>
      <c r="D3782" s="1">
        <v>0</v>
      </c>
      <c r="E3782">
        <f>D3782*C3782</f>
        <v>0</v>
      </c>
      <c r="F3782" s="1" t="s">
        <v>10941</v>
      </c>
      <c r="G3782" s="17">
        <v>63228</v>
      </c>
    </row>
    <row r="3783" spans="1:7">
      <c r="A3783" s="1" t="s">
        <v>10942</v>
      </c>
      <c r="B3783" s="1" t="s">
        <v>10943</v>
      </c>
      <c r="C3783">
        <f>(1-(B7/100))*1228.54</f>
        <v>1228.54</v>
      </c>
      <c r="D3783" s="1">
        <v>0</v>
      </c>
      <c r="E3783">
        <f>D3783*C3783</f>
        <v>0</v>
      </c>
      <c r="F3783" s="1" t="s">
        <v>10944</v>
      </c>
      <c r="G3783" s="17">
        <v>63235</v>
      </c>
    </row>
    <row r="3784" spans="1:7">
      <c r="A3784" s="1" t="s">
        <v>10945</v>
      </c>
      <c r="B3784" s="1" t="s">
        <v>10946</v>
      </c>
      <c r="C3784">
        <f>(1-(B7/100))*1309.91</f>
        <v>1309.91</v>
      </c>
      <c r="D3784" s="1">
        <v>0</v>
      </c>
      <c r="E3784">
        <f>D3784*C3784</f>
        <v>0</v>
      </c>
      <c r="F3784" s="1" t="s">
        <v>10947</v>
      </c>
      <c r="G3784" s="17">
        <v>63258</v>
      </c>
    </row>
    <row r="3785" spans="1:7">
      <c r="A3785" s="1" t="s">
        <v>10948</v>
      </c>
      <c r="B3785" s="1" t="s">
        <v>10949</v>
      </c>
      <c r="C3785">
        <f>(1-(B7/100))*372.08</f>
        <v>372.08</v>
      </c>
      <c r="D3785" s="1">
        <v>0</v>
      </c>
      <c r="E3785">
        <f>D3785*C3785</f>
        <v>0</v>
      </c>
      <c r="F3785" s="1" t="s">
        <v>10950</v>
      </c>
      <c r="G3785" s="17">
        <v>63285</v>
      </c>
    </row>
    <row r="3786" spans="1:7">
      <c r="A3786" s="1" t="s">
        <v>10951</v>
      </c>
      <c r="B3786" s="1" t="s">
        <v>10952</v>
      </c>
      <c r="C3786">
        <f>(1-(B7/100))*936.84</f>
        <v>936.84</v>
      </c>
      <c r="D3786" s="1">
        <v>0</v>
      </c>
      <c r="E3786">
        <f>D3786*C3786</f>
        <v>0</v>
      </c>
      <c r="F3786" s="1" t="s">
        <v>10953</v>
      </c>
      <c r="G3786" s="17">
        <v>63286</v>
      </c>
    </row>
    <row r="3787" spans="1:7">
      <c r="A3787" s="1" t="s">
        <v>10954</v>
      </c>
      <c r="B3787" s="1" t="s">
        <v>10955</v>
      </c>
      <c r="C3787">
        <f>(1-(B7/100))*165.14</f>
        <v>165.14</v>
      </c>
      <c r="D3787" s="1">
        <v>0</v>
      </c>
      <c r="E3787">
        <f>D3787*C3787</f>
        <v>0</v>
      </c>
      <c r="F3787" s="1" t="s">
        <v>10956</v>
      </c>
      <c r="G3787" s="17">
        <v>63287</v>
      </c>
    </row>
    <row r="3788" spans="1:7">
      <c r="A3788" s="1" t="s">
        <v>10957</v>
      </c>
      <c r="B3788" s="1" t="s">
        <v>10958</v>
      </c>
      <c r="C3788">
        <f>(1-(B7/100))*351.82</f>
        <v>351.82</v>
      </c>
      <c r="D3788" s="1">
        <v>0</v>
      </c>
      <c r="E3788">
        <f>D3788*C3788</f>
        <v>0</v>
      </c>
      <c r="F3788" s="1" t="s">
        <v>10959</v>
      </c>
      <c r="G3788" s="17">
        <v>63330</v>
      </c>
    </row>
    <row r="3789" spans="1:7">
      <c r="A3789" s="1" t="s">
        <v>10960</v>
      </c>
      <c r="B3789" s="1" t="s">
        <v>10961</v>
      </c>
      <c r="C3789">
        <f>(1-(B7/100))*52.09</f>
        <v>52.09</v>
      </c>
      <c r="D3789" s="1">
        <v>0</v>
      </c>
      <c r="E3789">
        <f>D3789*C3789</f>
        <v>0</v>
      </c>
      <c r="F3789" s="1" t="s">
        <v>10962</v>
      </c>
      <c r="G3789" s="17">
        <v>63353</v>
      </c>
    </row>
    <row r="3790" spans="1:7">
      <c r="A3790" s="1" t="s">
        <v>10963</v>
      </c>
      <c r="B3790" s="1" t="s">
        <v>10964</v>
      </c>
      <c r="C3790">
        <f>(1-(B7/100))*21.3</f>
        <v>21.3</v>
      </c>
      <c r="D3790" s="1">
        <v>0</v>
      </c>
      <c r="E3790">
        <f>D3790*C3790</f>
        <v>0</v>
      </c>
      <c r="F3790" s="1" t="s">
        <v>10965</v>
      </c>
      <c r="G3790" s="17">
        <v>63354</v>
      </c>
    </row>
    <row r="3791" spans="1:7">
      <c r="A3791" s="1" t="s">
        <v>10966</v>
      </c>
      <c r="B3791" s="1" t="s">
        <v>10967</v>
      </c>
      <c r="C3791">
        <f>(1-(B7/100))*31.9</f>
        <v>31.9</v>
      </c>
      <c r="D3791" s="1">
        <v>0</v>
      </c>
      <c r="E3791">
        <f>D3791*C3791</f>
        <v>0</v>
      </c>
      <c r="F3791" s="1" t="s">
        <v>10968</v>
      </c>
      <c r="G3791" s="17">
        <v>63355</v>
      </c>
    </row>
    <row r="3792" spans="1:7">
      <c r="A3792" s="1" t="s">
        <v>10969</v>
      </c>
      <c r="B3792" s="1" t="s">
        <v>10970</v>
      </c>
      <c r="C3792">
        <f>(1-(B7/100))*46.84</f>
        <v>46.84</v>
      </c>
      <c r="D3792" s="1">
        <v>0</v>
      </c>
      <c r="E3792">
        <f>D3792*C3792</f>
        <v>0</v>
      </c>
      <c r="F3792" s="1" t="s">
        <v>10971</v>
      </c>
      <c r="G3792" s="17">
        <v>63356</v>
      </c>
    </row>
    <row r="3793" spans="1:7">
      <c r="A3793" s="1" t="s">
        <v>10972</v>
      </c>
      <c r="B3793" s="1" t="s">
        <v>10973</v>
      </c>
      <c r="C3793">
        <f>(1-(B7/100))*202.41</f>
        <v>202.41</v>
      </c>
      <c r="D3793" s="1">
        <v>0</v>
      </c>
      <c r="E3793">
        <f>D3793*C3793</f>
        <v>0</v>
      </c>
      <c r="F3793" s="1" t="s">
        <v>10974</v>
      </c>
      <c r="G3793" s="17">
        <v>63365</v>
      </c>
    </row>
    <row r="3794" spans="1:7">
      <c r="A3794" s="1" t="s">
        <v>10975</v>
      </c>
      <c r="B3794" s="1" t="s">
        <v>10976</v>
      </c>
      <c r="C3794">
        <f>(1-(B7/100))*281.88</f>
        <v>281.88</v>
      </c>
      <c r="D3794" s="1">
        <v>0</v>
      </c>
      <c r="E3794">
        <f>D3794*C3794</f>
        <v>0</v>
      </c>
      <c r="F3794" s="1" t="s">
        <v>10977</v>
      </c>
      <c r="G3794" s="17">
        <v>63368</v>
      </c>
    </row>
    <row r="3795" spans="1:7">
      <c r="A3795" s="1" t="s">
        <v>10978</v>
      </c>
      <c r="B3795" s="1" t="s">
        <v>10979</v>
      </c>
      <c r="C3795">
        <f>(1-(B7/100))*202.41</f>
        <v>202.41</v>
      </c>
      <c r="D3795" s="1">
        <v>0</v>
      </c>
      <c r="E3795">
        <f>D3795*C3795</f>
        <v>0</v>
      </c>
      <c r="F3795" s="1" t="s">
        <v>10980</v>
      </c>
      <c r="G3795" s="17">
        <v>63370</v>
      </c>
    </row>
    <row r="3796" spans="1:7">
      <c r="A3796" s="1" t="s">
        <v>10981</v>
      </c>
      <c r="B3796" s="1" t="s">
        <v>10982</v>
      </c>
      <c r="C3796">
        <f>(1-(B7/100))*200.65</f>
        <v>200.65</v>
      </c>
      <c r="D3796" s="1">
        <v>0</v>
      </c>
      <c r="E3796">
        <f>D3796*C3796</f>
        <v>0</v>
      </c>
      <c r="F3796" s="1" t="s">
        <v>10983</v>
      </c>
      <c r="G3796" s="17">
        <v>63386</v>
      </c>
    </row>
    <row r="3797" spans="1:7">
      <c r="A3797" s="1" t="s">
        <v>10984</v>
      </c>
      <c r="B3797" s="1" t="s">
        <v>10985</v>
      </c>
      <c r="C3797">
        <f>(1-(B7/100))*194.25</f>
        <v>194.25</v>
      </c>
      <c r="D3797" s="1">
        <v>0</v>
      </c>
      <c r="E3797">
        <f>D3797*C3797</f>
        <v>0</v>
      </c>
      <c r="F3797" s="1" t="s">
        <v>10986</v>
      </c>
      <c r="G3797" s="17">
        <v>63391</v>
      </c>
    </row>
    <row r="3798" spans="1:7">
      <c r="A3798" s="1">
        <v>11113887</v>
      </c>
      <c r="B3798" s="1" t="s">
        <v>10987</v>
      </c>
      <c r="C3798">
        <f>(1-(B7/100))*100.46</f>
        <v>100.46</v>
      </c>
      <c r="D3798" s="1">
        <v>0</v>
      </c>
      <c r="E3798">
        <f>D3798*C3798</f>
        <v>0</v>
      </c>
      <c r="F3798" s="1" t="s">
        <v>10988</v>
      </c>
      <c r="G3798" s="17">
        <v>63434</v>
      </c>
    </row>
    <row r="3799" spans="1:7">
      <c r="A3799" s="1">
        <v>10095342</v>
      </c>
      <c r="B3799" s="1" t="s">
        <v>10989</v>
      </c>
      <c r="C3799">
        <f>(1-(B7/100))*72.04</f>
        <v>72.04</v>
      </c>
      <c r="D3799" s="1">
        <v>0</v>
      </c>
      <c r="E3799">
        <f>D3799*C3799</f>
        <v>0</v>
      </c>
      <c r="F3799" s="1" t="s">
        <v>10990</v>
      </c>
      <c r="G3799" s="17">
        <v>63443</v>
      </c>
    </row>
    <row r="3800" spans="1:7">
      <c r="A3800" s="1" t="s">
        <v>10991</v>
      </c>
      <c r="B3800" s="1" t="s">
        <v>10992</v>
      </c>
      <c r="C3800">
        <f>(1-(B7/100))*308.54</f>
        <v>308.54</v>
      </c>
      <c r="D3800" s="1">
        <v>0</v>
      </c>
      <c r="E3800">
        <f>D3800*C3800</f>
        <v>0</v>
      </c>
      <c r="F3800" s="1" t="s">
        <v>10993</v>
      </c>
      <c r="G3800" s="17">
        <v>63451</v>
      </c>
    </row>
    <row r="3801" spans="1:7">
      <c r="A3801" s="1" t="s">
        <v>10994</v>
      </c>
      <c r="B3801" s="1" t="s">
        <v>10995</v>
      </c>
      <c r="C3801">
        <f>(1-(B7/100))*1665.49</f>
        <v>1665.49</v>
      </c>
      <c r="D3801" s="1">
        <v>0</v>
      </c>
      <c r="E3801">
        <f>D3801*C3801</f>
        <v>0</v>
      </c>
      <c r="F3801" s="1" t="s">
        <v>10996</v>
      </c>
      <c r="G3801" s="17">
        <v>63455</v>
      </c>
    </row>
    <row r="3802" spans="1:7">
      <c r="A3802" s="1" t="s">
        <v>10997</v>
      </c>
      <c r="B3802" s="1" t="s">
        <v>10998</v>
      </c>
      <c r="C3802">
        <f>(1-(B7/100))*1450.79</f>
        <v>1450.79</v>
      </c>
      <c r="D3802" s="1">
        <v>0</v>
      </c>
      <c r="E3802">
        <f>D3802*C3802</f>
        <v>0</v>
      </c>
      <c r="F3802" s="1" t="s">
        <v>10999</v>
      </c>
      <c r="G3802" s="17">
        <v>63464</v>
      </c>
    </row>
    <row r="3803" spans="1:7">
      <c r="A3803" s="1" t="s">
        <v>11000</v>
      </c>
      <c r="B3803" s="1" t="s">
        <v>11001</v>
      </c>
      <c r="C3803">
        <f>(1-(B7/100))*10.48</f>
        <v>10.48</v>
      </c>
      <c r="D3803" s="1">
        <v>0</v>
      </c>
      <c r="E3803">
        <f>D3803*C3803</f>
        <v>0</v>
      </c>
      <c r="F3803" s="1" t="s">
        <v>11002</v>
      </c>
      <c r="G3803" s="17">
        <v>63471</v>
      </c>
    </row>
    <row r="3804" spans="1:7">
      <c r="A3804" s="1" t="s">
        <v>11003</v>
      </c>
      <c r="B3804" s="1" t="s">
        <v>11004</v>
      </c>
      <c r="C3804">
        <f>(1-(B7/100))*1689.22</f>
        <v>1689.22</v>
      </c>
      <c r="D3804" s="1">
        <v>0</v>
      </c>
      <c r="E3804">
        <f>D3804*C3804</f>
        <v>0</v>
      </c>
      <c r="F3804" s="1" t="s">
        <v>11005</v>
      </c>
      <c r="G3804" s="17">
        <v>63511</v>
      </c>
    </row>
    <row r="3805" spans="1:7">
      <c r="A3805" s="1" t="s">
        <v>11006</v>
      </c>
      <c r="B3805" s="1" t="s">
        <v>11007</v>
      </c>
      <c r="C3805">
        <f>(1-(B7/100))*55.72</f>
        <v>55.72</v>
      </c>
      <c r="D3805" s="1">
        <v>0</v>
      </c>
      <c r="E3805">
        <f>D3805*C3805</f>
        <v>0</v>
      </c>
      <c r="F3805" s="1" t="s">
        <v>11008</v>
      </c>
      <c r="G3805" s="17">
        <v>63548</v>
      </c>
    </row>
    <row r="3806" spans="1:7">
      <c r="A3806" s="1">
        <v>10050024</v>
      </c>
      <c r="B3806" s="1" t="s">
        <v>11009</v>
      </c>
      <c r="C3806">
        <f>(1-(B7/100))*415.67</f>
        <v>415.67</v>
      </c>
      <c r="D3806" s="1">
        <v>0</v>
      </c>
      <c r="E3806">
        <f>D3806*C3806</f>
        <v>0</v>
      </c>
      <c r="F3806" s="1" t="s">
        <v>11010</v>
      </c>
      <c r="G3806" s="17">
        <v>63552</v>
      </c>
    </row>
    <row r="3807" spans="1:7">
      <c r="A3807" s="1" t="s">
        <v>11011</v>
      </c>
      <c r="B3807" s="1" t="s">
        <v>11012</v>
      </c>
      <c r="C3807">
        <f>(1-(B7/100))*2810.52</f>
        <v>2810.52</v>
      </c>
      <c r="D3807" s="1">
        <v>0</v>
      </c>
      <c r="E3807">
        <f>D3807*C3807</f>
        <v>0</v>
      </c>
      <c r="F3807" s="1" t="s">
        <v>11013</v>
      </c>
      <c r="G3807" s="17">
        <v>63572</v>
      </c>
    </row>
    <row r="3808" spans="1:7">
      <c r="A3808" s="1" t="s">
        <v>11014</v>
      </c>
      <c r="B3808" s="1" t="s">
        <v>11015</v>
      </c>
      <c r="C3808">
        <f>(1-(B7/100))*54.2</f>
        <v>54.2</v>
      </c>
      <c r="D3808" s="1">
        <v>0</v>
      </c>
      <c r="E3808">
        <f>D3808*C3808</f>
        <v>0</v>
      </c>
      <c r="F3808" s="1" t="s">
        <v>11016</v>
      </c>
      <c r="G3808" s="17">
        <v>63592</v>
      </c>
    </row>
    <row r="3809" spans="1:7">
      <c r="A3809" s="1" t="s">
        <v>11017</v>
      </c>
      <c r="B3809" s="1" t="s">
        <v>11018</v>
      </c>
      <c r="C3809">
        <f>(1-(B7/100))*251.48</f>
        <v>251.48</v>
      </c>
      <c r="D3809" s="1">
        <v>0</v>
      </c>
      <c r="E3809">
        <f>D3809*C3809</f>
        <v>0</v>
      </c>
      <c r="F3809" s="1" t="s">
        <v>11019</v>
      </c>
      <c r="G3809" s="17">
        <v>63598</v>
      </c>
    </row>
    <row r="3810" spans="1:7">
      <c r="A3810" s="1" t="s">
        <v>11020</v>
      </c>
      <c r="B3810" s="1" t="s">
        <v>11021</v>
      </c>
      <c r="C3810">
        <f>(1-(B7/100))*2081.87</f>
        <v>2081.87</v>
      </c>
      <c r="D3810" s="1">
        <v>0</v>
      </c>
      <c r="E3810">
        <f>D3810*C3810</f>
        <v>0</v>
      </c>
      <c r="F3810" s="1" t="s">
        <v>11022</v>
      </c>
      <c r="G3810" s="17">
        <v>63614</v>
      </c>
    </row>
    <row r="3811" spans="1:7">
      <c r="A3811" s="1" t="s">
        <v>11023</v>
      </c>
      <c r="B3811" s="1" t="s">
        <v>11024</v>
      </c>
      <c r="C3811">
        <f>(1-(B7/100))*1509.35</f>
        <v>1509.35</v>
      </c>
      <c r="D3811" s="1">
        <v>0</v>
      </c>
      <c r="E3811">
        <f>D3811*C3811</f>
        <v>0</v>
      </c>
      <c r="F3811" s="1" t="s">
        <v>11025</v>
      </c>
      <c r="G3811" s="17">
        <v>63747</v>
      </c>
    </row>
    <row r="3812" spans="1:7">
      <c r="A3812" s="1" t="s">
        <v>11026</v>
      </c>
      <c r="B3812" s="1" t="s">
        <v>11027</v>
      </c>
      <c r="C3812">
        <f>(1-(B7/100))*366.55</f>
        <v>366.55</v>
      </c>
      <c r="D3812" s="1">
        <v>0</v>
      </c>
      <c r="E3812">
        <f>D3812*C3812</f>
        <v>0</v>
      </c>
      <c r="F3812" s="1" t="s">
        <v>11028</v>
      </c>
      <c r="G3812" s="17">
        <v>63763</v>
      </c>
    </row>
    <row r="3813" spans="1:7">
      <c r="A3813" s="1" t="s">
        <v>11029</v>
      </c>
      <c r="B3813" s="1" t="s">
        <v>11030</v>
      </c>
      <c r="C3813">
        <f>(1-(B7/100))*517.8</f>
        <v>517.8</v>
      </c>
      <c r="D3813" s="1">
        <v>0</v>
      </c>
      <c r="E3813">
        <f>D3813*C3813</f>
        <v>0</v>
      </c>
      <c r="F3813" s="1" t="s">
        <v>11031</v>
      </c>
      <c r="G3813" s="17">
        <v>63795</v>
      </c>
    </row>
    <row r="3814" spans="1:7">
      <c r="A3814" s="1" t="s">
        <v>11032</v>
      </c>
      <c r="B3814" s="1" t="s">
        <v>11033</v>
      </c>
      <c r="C3814">
        <f>(1-(B7/100))*652.13</f>
        <v>652.13</v>
      </c>
      <c r="D3814" s="1">
        <v>0</v>
      </c>
      <c r="E3814">
        <f>D3814*C3814</f>
        <v>0</v>
      </c>
      <c r="F3814" s="1" t="s">
        <v>11034</v>
      </c>
      <c r="G3814" s="17">
        <v>63796</v>
      </c>
    </row>
    <row r="3815" spans="1:7">
      <c r="A3815" s="1" t="s">
        <v>11035</v>
      </c>
      <c r="B3815" s="1" t="s">
        <v>11036</v>
      </c>
      <c r="C3815">
        <f>(1-(B7/100))*415.92</f>
        <v>415.92</v>
      </c>
      <c r="D3815" s="1">
        <v>0</v>
      </c>
      <c r="E3815">
        <f>D3815*C3815</f>
        <v>0</v>
      </c>
      <c r="F3815" s="1" t="s">
        <v>11037</v>
      </c>
      <c r="G3815" s="17">
        <v>63802</v>
      </c>
    </row>
    <row r="3816" spans="1:7">
      <c r="A3816" s="1" t="s">
        <v>11038</v>
      </c>
      <c r="B3816" s="1" t="s">
        <v>11039</v>
      </c>
      <c r="C3816">
        <f>(1-(B7/100))*1481.38</f>
        <v>1481.38</v>
      </c>
      <c r="D3816" s="1">
        <v>0</v>
      </c>
      <c r="E3816">
        <f>D3816*C3816</f>
        <v>0</v>
      </c>
      <c r="F3816" s="1" t="s">
        <v>11040</v>
      </c>
      <c r="G3816" s="17">
        <v>63819</v>
      </c>
    </row>
    <row r="3817" spans="1:7">
      <c r="A3817" s="1" t="s">
        <v>11041</v>
      </c>
      <c r="B3817" s="1" t="s">
        <v>11042</v>
      </c>
      <c r="C3817">
        <f>(1-(B7/100))*817.29</f>
        <v>817.29</v>
      </c>
      <c r="D3817" s="1">
        <v>0</v>
      </c>
      <c r="E3817">
        <f>D3817*C3817</f>
        <v>0</v>
      </c>
      <c r="F3817" s="1" t="s">
        <v>11043</v>
      </c>
      <c r="G3817" s="17">
        <v>64159</v>
      </c>
    </row>
    <row r="3818" spans="1:7">
      <c r="A3818" s="1">
        <v>16107854</v>
      </c>
      <c r="B3818" s="1" t="s">
        <v>11044</v>
      </c>
      <c r="C3818">
        <f>(1-(B7/100))*832.75</f>
        <v>832.75</v>
      </c>
      <c r="D3818" s="1">
        <v>0</v>
      </c>
      <c r="E3818">
        <f>D3818*C3818</f>
        <v>0</v>
      </c>
      <c r="F3818" s="1" t="s">
        <v>11045</v>
      </c>
      <c r="G3818" s="17">
        <v>64160</v>
      </c>
    </row>
    <row r="3819" spans="1:7">
      <c r="A3819" s="1" t="s">
        <v>11046</v>
      </c>
      <c r="B3819" s="1" t="s">
        <v>11047</v>
      </c>
      <c r="C3819">
        <f>(1-(B7/100))*2238.82</f>
        <v>2238.82</v>
      </c>
      <c r="D3819" s="1">
        <v>0</v>
      </c>
      <c r="E3819">
        <f>D3819*C3819</f>
        <v>0</v>
      </c>
      <c r="F3819" s="1" t="s">
        <v>11048</v>
      </c>
      <c r="G3819" s="17">
        <v>64241</v>
      </c>
    </row>
    <row r="3820" spans="1:7">
      <c r="A3820" s="1" t="s">
        <v>11049</v>
      </c>
      <c r="B3820" s="1" t="s">
        <v>11050</v>
      </c>
      <c r="C3820">
        <f>(1-(B7/100))*442.76</f>
        <v>442.76</v>
      </c>
      <c r="D3820" s="1">
        <v>0</v>
      </c>
      <c r="E3820">
        <f>D3820*C3820</f>
        <v>0</v>
      </c>
      <c r="F3820" s="1" t="s">
        <v>11051</v>
      </c>
      <c r="G3820" s="17">
        <v>64264</v>
      </c>
    </row>
    <row r="3821" spans="1:7">
      <c r="A3821" s="1" t="s">
        <v>11052</v>
      </c>
      <c r="B3821" s="1" t="s">
        <v>11053</v>
      </c>
      <c r="C3821">
        <f>(1-(B7/100))*1501.84</f>
        <v>1501.84</v>
      </c>
      <c r="D3821" s="1">
        <v>0</v>
      </c>
      <c r="E3821">
        <f>D3821*C3821</f>
        <v>0</v>
      </c>
      <c r="F3821" s="1" t="s">
        <v>11054</v>
      </c>
      <c r="G3821" s="17">
        <v>64370</v>
      </c>
    </row>
    <row r="3822" spans="1:7">
      <c r="A3822" s="1" t="s">
        <v>11055</v>
      </c>
      <c r="B3822" s="1" t="s">
        <v>11056</v>
      </c>
      <c r="C3822">
        <f>(1-(B7/100))*1747.33</f>
        <v>1747.33</v>
      </c>
      <c r="D3822" s="1">
        <v>0</v>
      </c>
      <c r="E3822">
        <f>D3822*C3822</f>
        <v>0</v>
      </c>
      <c r="F3822" s="1" t="s">
        <v>11057</v>
      </c>
      <c r="G3822" s="17">
        <v>64402</v>
      </c>
    </row>
    <row r="3823" spans="1:7">
      <c r="A3823" s="1" t="s">
        <v>11058</v>
      </c>
      <c r="B3823" s="1" t="s">
        <v>11059</v>
      </c>
      <c r="C3823">
        <f>(1-(B7/100))*106.37</f>
        <v>106.37</v>
      </c>
      <c r="D3823" s="1">
        <v>0</v>
      </c>
      <c r="E3823">
        <f>D3823*C3823</f>
        <v>0</v>
      </c>
      <c r="F3823" s="1" t="s">
        <v>11060</v>
      </c>
      <c r="G3823" s="17">
        <v>64404</v>
      </c>
    </row>
    <row r="3824" spans="1:7">
      <c r="A3824" s="1" t="s">
        <v>11061</v>
      </c>
      <c r="B3824" s="1" t="s">
        <v>11062</v>
      </c>
      <c r="C3824">
        <f>(1-(B7/100))*1333.15</f>
        <v>1333.15</v>
      </c>
      <c r="D3824" s="1">
        <v>0</v>
      </c>
      <c r="E3824">
        <f>D3824*C3824</f>
        <v>0</v>
      </c>
      <c r="F3824" s="1" t="s">
        <v>11063</v>
      </c>
      <c r="G3824" s="17">
        <v>64452</v>
      </c>
    </row>
    <row r="3825" spans="1:7">
      <c r="A3825" s="1" t="s">
        <v>11064</v>
      </c>
      <c r="B3825" s="1" t="s">
        <v>11065</v>
      </c>
      <c r="C3825">
        <f>(1-(B7/100))*1343.42</f>
        <v>1343.42</v>
      </c>
      <c r="D3825" s="1">
        <v>0</v>
      </c>
      <c r="E3825">
        <f>D3825*C3825</f>
        <v>0</v>
      </c>
      <c r="F3825" s="1" t="s">
        <v>11066</v>
      </c>
      <c r="G3825" s="17">
        <v>64453</v>
      </c>
    </row>
    <row r="3826" spans="1:7">
      <c r="A3826" s="1" t="s">
        <v>11067</v>
      </c>
      <c r="B3826" s="1" t="s">
        <v>11068</v>
      </c>
      <c r="C3826">
        <f>(1-(B7/100))*121.12</f>
        <v>121.12</v>
      </c>
      <c r="D3826" s="1">
        <v>0</v>
      </c>
      <c r="E3826">
        <f>D3826*C3826</f>
        <v>0</v>
      </c>
      <c r="F3826" s="1" t="s">
        <v>11069</v>
      </c>
      <c r="G3826" s="17">
        <v>64475</v>
      </c>
    </row>
    <row r="3827" spans="1:7">
      <c r="A3827" s="1" t="s">
        <v>11070</v>
      </c>
      <c r="B3827" s="1" t="s">
        <v>11071</v>
      </c>
      <c r="C3827">
        <f>(1-(B7/100))*104.09</f>
        <v>104.09</v>
      </c>
      <c r="D3827" s="1">
        <v>0</v>
      </c>
      <c r="E3827">
        <f>D3827*C3827</f>
        <v>0</v>
      </c>
      <c r="F3827" s="1" t="s">
        <v>11072</v>
      </c>
      <c r="G3827" s="17">
        <v>64476</v>
      </c>
    </row>
    <row r="3828" spans="1:7">
      <c r="A3828" s="1" t="s">
        <v>11073</v>
      </c>
      <c r="B3828" s="1" t="s">
        <v>11074</v>
      </c>
      <c r="C3828">
        <f>(1-(B7/100))*142.73</f>
        <v>142.73</v>
      </c>
      <c r="D3828" s="1">
        <v>0</v>
      </c>
      <c r="E3828">
        <f>D3828*C3828</f>
        <v>0</v>
      </c>
      <c r="F3828" s="1" t="s">
        <v>11075</v>
      </c>
      <c r="G3828" s="17">
        <v>64478</v>
      </c>
    </row>
    <row r="3829" spans="1:7">
      <c r="A3829" s="1" t="s">
        <v>11076</v>
      </c>
      <c r="B3829" s="1" t="s">
        <v>11077</v>
      </c>
      <c r="C3829">
        <f>(1-(B7/100))*121.12</f>
        <v>121.12</v>
      </c>
      <c r="D3829" s="1">
        <v>0</v>
      </c>
      <c r="E3829">
        <f>D3829*C3829</f>
        <v>0</v>
      </c>
      <c r="F3829" s="1" t="s">
        <v>11078</v>
      </c>
      <c r="G3829" s="17">
        <v>64479</v>
      </c>
    </row>
    <row r="3830" spans="1:7">
      <c r="A3830" s="1" t="s">
        <v>11079</v>
      </c>
      <c r="B3830" s="1" t="s">
        <v>11080</v>
      </c>
      <c r="C3830">
        <f>(1-(B7/100))*107.78</f>
        <v>107.78</v>
      </c>
      <c r="D3830" s="1">
        <v>0</v>
      </c>
      <c r="E3830">
        <f>D3830*C3830</f>
        <v>0</v>
      </c>
      <c r="F3830" s="1" t="s">
        <v>11081</v>
      </c>
      <c r="G3830" s="17">
        <v>64482</v>
      </c>
    </row>
    <row r="3831" spans="1:7">
      <c r="A3831" s="1">
        <v>16109373</v>
      </c>
      <c r="B3831" s="1" t="s">
        <v>11082</v>
      </c>
      <c r="C3831">
        <f>(1-(B7/100))*7500</f>
        <v>7500</v>
      </c>
      <c r="D3831" s="1">
        <v>0</v>
      </c>
      <c r="E3831">
        <f>D3831*C3831</f>
        <v>0</v>
      </c>
      <c r="F3831" s="1" t="s">
        <v>11083</v>
      </c>
      <c r="G3831" s="17">
        <v>64528</v>
      </c>
    </row>
    <row r="3832" spans="1:7">
      <c r="A3832" s="1">
        <v>161093731</v>
      </c>
      <c r="B3832" s="1" t="s">
        <v>11084</v>
      </c>
      <c r="C3832">
        <f>(1-(B7/100))*6765.31</f>
        <v>6765.31</v>
      </c>
      <c r="D3832" s="1">
        <v>0</v>
      </c>
      <c r="E3832">
        <f>D3832*C3832</f>
        <v>0</v>
      </c>
      <c r="F3832" s="1" t="s">
        <v>11085</v>
      </c>
      <c r="G3832" s="17">
        <v>64529</v>
      </c>
    </row>
    <row r="3833" spans="1:7">
      <c r="A3833" s="1" t="s">
        <v>11086</v>
      </c>
      <c r="B3833" s="1" t="s">
        <v>11087</v>
      </c>
      <c r="C3833">
        <f>(1-(B7/100))*1521.48</f>
        <v>1521.48</v>
      </c>
      <c r="D3833" s="1">
        <v>0</v>
      </c>
      <c r="E3833">
        <f>D3833*C3833</f>
        <v>0</v>
      </c>
      <c r="F3833" s="1" t="s">
        <v>11088</v>
      </c>
      <c r="G3833" s="17">
        <v>64540</v>
      </c>
    </row>
    <row r="3834" spans="1:7">
      <c r="A3834" s="1" t="s">
        <v>11089</v>
      </c>
      <c r="B3834" s="1" t="s">
        <v>11090</v>
      </c>
      <c r="C3834">
        <f>(1-(B7/100))*1642.29</f>
        <v>1642.29</v>
      </c>
      <c r="D3834" s="1">
        <v>0</v>
      </c>
      <c r="E3834">
        <f>D3834*C3834</f>
        <v>0</v>
      </c>
      <c r="F3834" s="1" t="s">
        <v>11091</v>
      </c>
      <c r="G3834" s="17">
        <v>64553</v>
      </c>
    </row>
    <row r="3835" spans="1:7">
      <c r="A3835" s="1" t="s">
        <v>11092</v>
      </c>
      <c r="B3835" s="1" t="s">
        <v>11093</v>
      </c>
      <c r="C3835">
        <f>(1-(B7/100))*476.9</f>
        <v>476.9</v>
      </c>
      <c r="D3835" s="1">
        <v>0</v>
      </c>
      <c r="E3835">
        <f>D3835*C3835</f>
        <v>0</v>
      </c>
      <c r="F3835" s="1" t="s">
        <v>11094</v>
      </c>
      <c r="G3835" s="17">
        <v>64561</v>
      </c>
    </row>
    <row r="3836" spans="1:7">
      <c r="A3836" s="1" t="s">
        <v>11095</v>
      </c>
      <c r="B3836" s="1" t="s">
        <v>11096</v>
      </c>
      <c r="C3836">
        <f>(1-(B7/100))*962.07</f>
        <v>962.07</v>
      </c>
      <c r="D3836" s="1">
        <v>0</v>
      </c>
      <c r="E3836">
        <f>D3836*C3836</f>
        <v>0</v>
      </c>
      <c r="F3836" s="1" t="s">
        <v>11097</v>
      </c>
      <c r="G3836" s="17">
        <v>64563</v>
      </c>
    </row>
    <row r="3837" spans="1:7">
      <c r="A3837" s="1" t="s">
        <v>11098</v>
      </c>
      <c r="B3837" s="1" t="s">
        <v>11099</v>
      </c>
      <c r="C3837">
        <f>(1-(B7/100))*1180.15</f>
        <v>1180.15</v>
      </c>
      <c r="D3837" s="1">
        <v>0</v>
      </c>
      <c r="E3837">
        <f>D3837*C3837</f>
        <v>0</v>
      </c>
      <c r="F3837" s="1" t="s">
        <v>11100</v>
      </c>
      <c r="G3837" s="17">
        <v>64564</v>
      </c>
    </row>
    <row r="3838" spans="1:7">
      <c r="A3838" s="1" t="s">
        <v>11101</v>
      </c>
      <c r="B3838" s="1" t="s">
        <v>11102</v>
      </c>
      <c r="C3838">
        <f>(1-(B7/100))*1365.17</f>
        <v>1365.17</v>
      </c>
      <c r="D3838" s="1">
        <v>0</v>
      </c>
      <c r="E3838">
        <f>D3838*C3838</f>
        <v>0</v>
      </c>
      <c r="F3838" s="1" t="s">
        <v>11103</v>
      </c>
      <c r="G3838" s="17">
        <v>64565</v>
      </c>
    </row>
    <row r="3839" spans="1:7">
      <c r="A3839" s="1" t="s">
        <v>11104</v>
      </c>
      <c r="B3839" s="1" t="s">
        <v>11105</v>
      </c>
      <c r="C3839">
        <f>(1-(B7/100))*1388.31</f>
        <v>1388.31</v>
      </c>
      <c r="D3839" s="1">
        <v>0</v>
      </c>
      <c r="E3839">
        <f>D3839*C3839</f>
        <v>0</v>
      </c>
      <c r="F3839" s="1" t="s">
        <v>11106</v>
      </c>
      <c r="G3839" s="17">
        <v>64566</v>
      </c>
    </row>
    <row r="3840" spans="1:7">
      <c r="A3840" s="1" t="s">
        <v>11107</v>
      </c>
      <c r="B3840" s="1" t="s">
        <v>11108</v>
      </c>
      <c r="C3840">
        <f>(1-(B7/100))*441.11</f>
        <v>441.11</v>
      </c>
      <c r="D3840" s="1">
        <v>0</v>
      </c>
      <c r="E3840">
        <f>D3840*C3840</f>
        <v>0</v>
      </c>
      <c r="F3840" s="1" t="s">
        <v>11109</v>
      </c>
      <c r="G3840" s="17">
        <v>64567</v>
      </c>
    </row>
    <row r="3841" spans="1:7">
      <c r="A3841" s="1" t="s">
        <v>11110</v>
      </c>
      <c r="B3841" s="1" t="s">
        <v>11111</v>
      </c>
      <c r="C3841">
        <f>(1-(B7/100))*159.57</f>
        <v>159.57</v>
      </c>
      <c r="D3841" s="1">
        <v>0</v>
      </c>
      <c r="E3841">
        <f>D3841*C3841</f>
        <v>0</v>
      </c>
      <c r="F3841" s="1" t="s">
        <v>16</v>
      </c>
      <c r="G3841" s="17">
        <v>64757</v>
      </c>
    </row>
    <row r="3842" spans="1:7">
      <c r="A3842" s="1" t="s">
        <v>11112</v>
      </c>
      <c r="B3842" s="1" t="s">
        <v>11113</v>
      </c>
      <c r="C3842">
        <f>(1-(B7/100))*1780.46</f>
        <v>1780.46</v>
      </c>
      <c r="D3842" s="1">
        <v>0</v>
      </c>
      <c r="E3842">
        <f>D3842*C3842</f>
        <v>0</v>
      </c>
      <c r="F3842" s="1" t="s">
        <v>11114</v>
      </c>
      <c r="G3842" s="17">
        <v>64764</v>
      </c>
    </row>
    <row r="3843" spans="1:7">
      <c r="A3843" s="1" t="s">
        <v>11115</v>
      </c>
      <c r="B3843" s="1" t="s">
        <v>11116</v>
      </c>
      <c r="C3843">
        <f>(1-(B7/100))*373.88</f>
        <v>373.88</v>
      </c>
      <c r="D3843" s="1">
        <v>0</v>
      </c>
      <c r="E3843">
        <f>D3843*C3843</f>
        <v>0</v>
      </c>
      <c r="F3843" s="1" t="s">
        <v>11117</v>
      </c>
      <c r="G3843" s="17">
        <v>64775</v>
      </c>
    </row>
    <row r="3844" spans="1:7">
      <c r="A3844" s="1" t="s">
        <v>11118</v>
      </c>
      <c r="B3844" s="1" t="s">
        <v>11119</v>
      </c>
      <c r="C3844">
        <f>(1-(B7/100))*1139.17</f>
        <v>1139.17</v>
      </c>
      <c r="D3844" s="1">
        <v>0</v>
      </c>
      <c r="E3844">
        <f>D3844*C3844</f>
        <v>0</v>
      </c>
      <c r="F3844" s="1" t="s">
        <v>11120</v>
      </c>
      <c r="G3844" s="17">
        <v>64785</v>
      </c>
    </row>
    <row r="3845" spans="1:7">
      <c r="A3845" s="1" t="s">
        <v>11121</v>
      </c>
      <c r="B3845" s="1" t="s">
        <v>11122</v>
      </c>
      <c r="C3845">
        <f>(1-(B7/100))*304.44</f>
        <v>304.44</v>
      </c>
      <c r="D3845" s="1">
        <v>0</v>
      </c>
      <c r="E3845">
        <f>D3845*C3845</f>
        <v>0</v>
      </c>
      <c r="F3845" s="1" t="s">
        <v>11123</v>
      </c>
      <c r="G3845" s="17">
        <v>64793</v>
      </c>
    </row>
    <row r="3846" spans="1:7">
      <c r="A3846" s="1" t="s">
        <v>11124</v>
      </c>
      <c r="B3846" s="1" t="s">
        <v>11125</v>
      </c>
      <c r="C3846">
        <f>(1-(B7/100))*146.38</f>
        <v>146.38</v>
      </c>
      <c r="D3846" s="1">
        <v>0</v>
      </c>
      <c r="E3846">
        <f>D3846*C3846</f>
        <v>0</v>
      </c>
      <c r="F3846" s="1" t="s">
        <v>11126</v>
      </c>
      <c r="G3846" s="17">
        <v>64794</v>
      </c>
    </row>
    <row r="3847" spans="1:7">
      <c r="A3847" s="1" t="s">
        <v>11127</v>
      </c>
      <c r="B3847" s="1" t="s">
        <v>11128</v>
      </c>
      <c r="C3847">
        <f>(1-(B7/100))*265.96</f>
        <v>265.96</v>
      </c>
      <c r="D3847" s="1">
        <v>0</v>
      </c>
      <c r="E3847">
        <f>D3847*C3847</f>
        <v>0</v>
      </c>
      <c r="F3847" s="1" t="s">
        <v>11129</v>
      </c>
      <c r="G3847" s="17">
        <v>64809</v>
      </c>
    </row>
    <row r="3848" spans="1:7">
      <c r="A3848" s="1" t="s">
        <v>11130</v>
      </c>
      <c r="B3848" s="1" t="s">
        <v>11131</v>
      </c>
      <c r="C3848">
        <f>(1-(B7/100))*101.32</f>
        <v>101.32</v>
      </c>
      <c r="D3848" s="1">
        <v>0</v>
      </c>
      <c r="E3848">
        <f>D3848*C3848</f>
        <v>0</v>
      </c>
      <c r="F3848" s="1" t="s">
        <v>11132</v>
      </c>
      <c r="G3848" s="17">
        <v>64874</v>
      </c>
    </row>
    <row r="3849" spans="1:7">
      <c r="A3849" s="1" t="s">
        <v>11133</v>
      </c>
      <c r="B3849" s="1" t="s">
        <v>11134</v>
      </c>
      <c r="C3849">
        <f>(1-(B7/100))*73.87</f>
        <v>73.87</v>
      </c>
      <c r="D3849" s="1">
        <v>0</v>
      </c>
      <c r="E3849">
        <f>D3849*C3849</f>
        <v>0</v>
      </c>
      <c r="F3849" s="1" t="s">
        <v>11135</v>
      </c>
      <c r="G3849" s="17">
        <v>64876</v>
      </c>
    </row>
    <row r="3850" spans="1:7">
      <c r="A3850" s="1" t="s">
        <v>11136</v>
      </c>
      <c r="B3850" s="1" t="s">
        <v>11137</v>
      </c>
      <c r="C3850">
        <f>(1-(B7/100))*66</f>
        <v>66</v>
      </c>
      <c r="D3850" s="1">
        <v>0</v>
      </c>
      <c r="E3850">
        <f>D3850*C3850</f>
        <v>0</v>
      </c>
      <c r="F3850" s="1" t="s">
        <v>11138</v>
      </c>
      <c r="G3850" s="17">
        <v>64878</v>
      </c>
    </row>
    <row r="3851" spans="1:7">
      <c r="A3851" s="1" t="s">
        <v>11139</v>
      </c>
      <c r="B3851" s="1" t="s">
        <v>11140</v>
      </c>
      <c r="C3851">
        <f>(1-(B7/100))*211.11</f>
        <v>211.11</v>
      </c>
      <c r="D3851" s="1">
        <v>0</v>
      </c>
      <c r="E3851">
        <f>D3851*C3851</f>
        <v>0</v>
      </c>
      <c r="F3851" s="1" t="s">
        <v>11141</v>
      </c>
      <c r="G3851" s="17">
        <v>64896</v>
      </c>
    </row>
    <row r="3852" spans="1:7">
      <c r="A3852" s="1" t="s">
        <v>11142</v>
      </c>
      <c r="B3852" s="1" t="s">
        <v>11143</v>
      </c>
      <c r="C3852">
        <f>(1-(B7/100))*222.05</f>
        <v>222.05</v>
      </c>
      <c r="D3852" s="1">
        <v>0</v>
      </c>
      <c r="E3852">
        <f>D3852*C3852</f>
        <v>0</v>
      </c>
      <c r="F3852" s="1" t="s">
        <v>11144</v>
      </c>
      <c r="G3852" s="17">
        <v>64897</v>
      </c>
    </row>
    <row r="3853" spans="1:7">
      <c r="A3853" s="1" t="s">
        <v>11145</v>
      </c>
      <c r="B3853" s="1" t="s">
        <v>11146</v>
      </c>
      <c r="C3853">
        <f>(1-(B7/100))*558.4</f>
        <v>558.4</v>
      </c>
      <c r="D3853" s="1">
        <v>0</v>
      </c>
      <c r="E3853">
        <f>D3853*C3853</f>
        <v>0</v>
      </c>
      <c r="F3853" s="1" t="s">
        <v>11147</v>
      </c>
      <c r="G3853" s="17">
        <v>64919</v>
      </c>
    </row>
    <row r="3854" spans="1:7">
      <c r="A3854" s="1" t="s">
        <v>11148</v>
      </c>
      <c r="B3854" s="1" t="s">
        <v>11149</v>
      </c>
      <c r="C3854">
        <f>(1-(B7/100))*284.1</f>
        <v>284.1</v>
      </c>
      <c r="D3854" s="1">
        <v>0</v>
      </c>
      <c r="E3854">
        <f>D3854*C3854</f>
        <v>0</v>
      </c>
      <c r="F3854" s="1" t="s">
        <v>11150</v>
      </c>
      <c r="G3854" s="17">
        <v>64935</v>
      </c>
    </row>
    <row r="3855" spans="1:7">
      <c r="A3855" s="1" t="s">
        <v>11151</v>
      </c>
      <c r="B3855" s="1" t="s">
        <v>11152</v>
      </c>
      <c r="C3855">
        <f>(1-(B7/100))*48.42</f>
        <v>48.42</v>
      </c>
      <c r="D3855" s="1">
        <v>0</v>
      </c>
      <c r="E3855">
        <f>D3855*C3855</f>
        <v>0</v>
      </c>
      <c r="F3855" s="1" t="s">
        <v>11153</v>
      </c>
      <c r="G3855" s="17">
        <v>64971</v>
      </c>
    </row>
    <row r="3856" spans="1:7">
      <c r="A3856" s="1" t="s">
        <v>11154</v>
      </c>
      <c r="B3856" s="1" t="s">
        <v>11155</v>
      </c>
      <c r="C3856">
        <f>(1-(B7/100))*1094.81</f>
        <v>1094.81</v>
      </c>
      <c r="D3856" s="1">
        <v>0</v>
      </c>
      <c r="E3856">
        <f>D3856*C3856</f>
        <v>0</v>
      </c>
      <c r="F3856" s="1" t="s">
        <v>11156</v>
      </c>
      <c r="G3856" s="17">
        <v>64980</v>
      </c>
    </row>
    <row r="3857" spans="1:7">
      <c r="A3857" s="1">
        <v>161093733</v>
      </c>
      <c r="B3857" s="1" t="s">
        <v>11157</v>
      </c>
      <c r="C3857">
        <f>(1-(B7/100))*6765.31</f>
        <v>6765.31</v>
      </c>
      <c r="D3857" s="1">
        <v>0</v>
      </c>
      <c r="E3857">
        <f>D3857*C3857</f>
        <v>0</v>
      </c>
      <c r="F3857" s="1" t="s">
        <v>11158</v>
      </c>
      <c r="G3857" s="17">
        <v>64985</v>
      </c>
    </row>
    <row r="3858" spans="1:7">
      <c r="A3858" s="1">
        <v>161093734</v>
      </c>
      <c r="B3858" s="1" t="s">
        <v>11159</v>
      </c>
      <c r="C3858">
        <f>(1-(B7/100))*7329.08</f>
        <v>7329.08</v>
      </c>
      <c r="D3858" s="1">
        <v>0</v>
      </c>
      <c r="E3858">
        <f>D3858*C3858</f>
        <v>0</v>
      </c>
      <c r="F3858" s="1" t="s">
        <v>11160</v>
      </c>
      <c r="G3858" s="17">
        <v>64986</v>
      </c>
    </row>
    <row r="3859" spans="1:7">
      <c r="A3859" s="1">
        <v>161093735</v>
      </c>
      <c r="B3859" s="1" t="s">
        <v>11161</v>
      </c>
      <c r="C3859">
        <f>(1-(B7/100))*6765.31</f>
        <v>6765.31</v>
      </c>
      <c r="D3859" s="1">
        <v>0</v>
      </c>
      <c r="E3859">
        <f>D3859*C3859</f>
        <v>0</v>
      </c>
      <c r="F3859" s="1" t="s">
        <v>11162</v>
      </c>
      <c r="G3859" s="17">
        <v>64987</v>
      </c>
    </row>
    <row r="3860" spans="1:7">
      <c r="A3860" s="1" t="s">
        <v>11163</v>
      </c>
      <c r="B3860" s="1" t="s">
        <v>11164</v>
      </c>
      <c r="C3860">
        <f>(1-(B7/100))*780.7</f>
        <v>780.7</v>
      </c>
      <c r="D3860" s="1">
        <v>0</v>
      </c>
      <c r="E3860">
        <f>D3860*C3860</f>
        <v>0</v>
      </c>
      <c r="F3860" s="1" t="s">
        <v>11165</v>
      </c>
      <c r="G3860" s="17">
        <v>65011</v>
      </c>
    </row>
    <row r="3861" spans="1:7">
      <c r="A3861" s="1" t="s">
        <v>11166</v>
      </c>
      <c r="B3861" s="1" t="s">
        <v>11167</v>
      </c>
      <c r="C3861">
        <f>(1-(B7/100))*63.84</f>
        <v>63.84</v>
      </c>
      <c r="D3861" s="1">
        <v>0</v>
      </c>
      <c r="E3861">
        <f>D3861*C3861</f>
        <v>0</v>
      </c>
      <c r="F3861" s="1" t="s">
        <v>11168</v>
      </c>
      <c r="G3861" s="17">
        <v>66239</v>
      </c>
    </row>
    <row r="3862" spans="1:7">
      <c r="A3862" s="1" t="s">
        <v>11169</v>
      </c>
      <c r="B3862" s="1" t="s">
        <v>11170</v>
      </c>
      <c r="C3862">
        <f>(1-(B7/100))*170.38</f>
        <v>170.38</v>
      </c>
      <c r="D3862" s="1">
        <v>0</v>
      </c>
      <c r="E3862">
        <f>D3862*C3862</f>
        <v>0</v>
      </c>
      <c r="F3862" s="1" t="s">
        <v>11171</v>
      </c>
      <c r="G3862" s="17">
        <v>66791</v>
      </c>
    </row>
    <row r="3863" spans="1:7">
      <c r="A3863" s="1" t="s">
        <v>11172</v>
      </c>
      <c r="B3863" s="1" t="s">
        <v>11173</v>
      </c>
      <c r="C3863">
        <f>(1-(B7/100))*1418.91</f>
        <v>1418.91</v>
      </c>
      <c r="D3863" s="1">
        <v>0</v>
      </c>
      <c r="E3863">
        <f>D3863*C3863</f>
        <v>0</v>
      </c>
      <c r="F3863" s="1" t="s">
        <v>11174</v>
      </c>
      <c r="G3863" s="17">
        <v>66942</v>
      </c>
    </row>
    <row r="3864" spans="1:7">
      <c r="A3864" s="1" t="s">
        <v>11175</v>
      </c>
      <c r="B3864" s="1" t="s">
        <v>11176</v>
      </c>
      <c r="C3864">
        <f>(1-(B7/100))*1606.63</f>
        <v>1606.63</v>
      </c>
      <c r="D3864" s="1">
        <v>0</v>
      </c>
      <c r="E3864">
        <f>D3864*C3864</f>
        <v>0</v>
      </c>
      <c r="F3864" s="1" t="s">
        <v>11177</v>
      </c>
      <c r="G3864" s="17">
        <v>67513</v>
      </c>
    </row>
    <row r="3865" spans="1:7">
      <c r="A3865" s="1" t="s">
        <v>11178</v>
      </c>
      <c r="B3865" s="1" t="s">
        <v>11179</v>
      </c>
      <c r="C3865">
        <f>(1-(B7/100))*1249.12</f>
        <v>1249.12</v>
      </c>
      <c r="D3865" s="1">
        <v>0</v>
      </c>
      <c r="E3865">
        <f>D3865*C3865</f>
        <v>0</v>
      </c>
      <c r="F3865" s="1" t="s">
        <v>11180</v>
      </c>
      <c r="G3865" s="17">
        <v>67519</v>
      </c>
    </row>
    <row r="3866" spans="1:7">
      <c r="A3866" s="1" t="s">
        <v>11181</v>
      </c>
      <c r="B3866" s="1" t="s">
        <v>11182</v>
      </c>
      <c r="C3866">
        <f>(1-(B7/100))*1145.03</f>
        <v>1145.03</v>
      </c>
      <c r="D3866" s="1">
        <v>0</v>
      </c>
      <c r="E3866">
        <f>D3866*C3866</f>
        <v>0</v>
      </c>
      <c r="F3866" s="1" t="s">
        <v>11183</v>
      </c>
      <c r="G3866" s="17">
        <v>67532</v>
      </c>
    </row>
    <row r="3867" spans="1:7">
      <c r="A3867" s="1" t="s">
        <v>11184</v>
      </c>
      <c r="B3867" s="1" t="s">
        <v>11185</v>
      </c>
      <c r="C3867">
        <f>(1-(B7/100))*886.21</f>
        <v>886.21</v>
      </c>
      <c r="D3867" s="1">
        <v>0</v>
      </c>
      <c r="E3867">
        <f>D3867*C3867</f>
        <v>0</v>
      </c>
      <c r="F3867" s="1" t="s">
        <v>11186</v>
      </c>
      <c r="G3867" s="17">
        <v>67536</v>
      </c>
    </row>
    <row r="3868" spans="1:7">
      <c r="A3868" s="1" t="s">
        <v>11187</v>
      </c>
      <c r="B3868" s="1" t="s">
        <v>11188</v>
      </c>
      <c r="C3868">
        <f>(1-(B7/100))*844.6</f>
        <v>844.6</v>
      </c>
      <c r="D3868" s="1">
        <v>0</v>
      </c>
      <c r="E3868">
        <f>D3868*C3868</f>
        <v>0</v>
      </c>
      <c r="F3868" s="1" t="s">
        <v>11189</v>
      </c>
      <c r="G3868" s="17">
        <v>67537</v>
      </c>
    </row>
    <row r="3869" spans="1:7">
      <c r="A3869" s="1" t="s">
        <v>11190</v>
      </c>
      <c r="B3869" s="1" t="s">
        <v>11191</v>
      </c>
      <c r="C3869">
        <f>(1-(B7/100))*977.31</f>
        <v>977.31</v>
      </c>
      <c r="D3869" s="1">
        <v>0</v>
      </c>
      <c r="E3869">
        <f>D3869*C3869</f>
        <v>0</v>
      </c>
      <c r="F3869" s="1" t="s">
        <v>11192</v>
      </c>
      <c r="G3869" s="17">
        <v>67538</v>
      </c>
    </row>
    <row r="3870" spans="1:7">
      <c r="A3870" s="1" t="s">
        <v>11193</v>
      </c>
      <c r="B3870" s="1" t="s">
        <v>11194</v>
      </c>
      <c r="C3870">
        <f>(1-(B7/100))*884.79</f>
        <v>884.79</v>
      </c>
      <c r="D3870" s="1">
        <v>0</v>
      </c>
      <c r="E3870">
        <f>D3870*C3870</f>
        <v>0</v>
      </c>
      <c r="F3870" s="1" t="s">
        <v>11195</v>
      </c>
      <c r="G3870" s="17">
        <v>67543</v>
      </c>
    </row>
    <row r="3871" spans="1:7">
      <c r="A3871" s="1" t="s">
        <v>11196</v>
      </c>
      <c r="B3871" s="1" t="s">
        <v>11197</v>
      </c>
      <c r="C3871">
        <f>(1-(B7/100))*1081.1</f>
        <v>1081.1</v>
      </c>
      <c r="D3871" s="1">
        <v>0</v>
      </c>
      <c r="E3871">
        <f>D3871*C3871</f>
        <v>0</v>
      </c>
      <c r="F3871" s="1" t="s">
        <v>11198</v>
      </c>
      <c r="G3871" s="17">
        <v>67545</v>
      </c>
    </row>
    <row r="3872" spans="1:7">
      <c r="A3872" s="1" t="s">
        <v>11199</v>
      </c>
      <c r="B3872" s="1" t="s">
        <v>11200</v>
      </c>
      <c r="C3872">
        <f>(1-(B7/100))*410.3</f>
        <v>410.3</v>
      </c>
      <c r="D3872" s="1">
        <v>0</v>
      </c>
      <c r="E3872">
        <f>D3872*C3872</f>
        <v>0</v>
      </c>
      <c r="F3872" s="1" t="s">
        <v>11201</v>
      </c>
      <c r="G3872" s="17">
        <v>67566</v>
      </c>
    </row>
    <row r="3873" spans="1:7">
      <c r="A3873" s="1" t="s">
        <v>11202</v>
      </c>
      <c r="B3873" s="1" t="s">
        <v>11203</v>
      </c>
      <c r="C3873">
        <f>(1-(B7/100))*612.97</f>
        <v>612.97</v>
      </c>
      <c r="D3873" s="1">
        <v>0</v>
      </c>
      <c r="E3873">
        <f>D3873*C3873</f>
        <v>0</v>
      </c>
      <c r="F3873" s="1" t="s">
        <v>11204</v>
      </c>
      <c r="G3873" s="17">
        <v>67568</v>
      </c>
    </row>
    <row r="3874" spans="1:7">
      <c r="A3874" s="1" t="s">
        <v>11205</v>
      </c>
      <c r="B3874" s="1" t="s">
        <v>11206</v>
      </c>
      <c r="C3874">
        <f>(1-(B7/100))*148.95</f>
        <v>148.95</v>
      </c>
      <c r="D3874" s="1">
        <v>0</v>
      </c>
      <c r="E3874">
        <f>D3874*C3874</f>
        <v>0</v>
      </c>
      <c r="F3874" s="1" t="s">
        <v>11207</v>
      </c>
      <c r="G3874" s="17">
        <v>67589</v>
      </c>
    </row>
    <row r="3875" spans="1:7">
      <c r="A3875" s="1" t="s">
        <v>11208</v>
      </c>
      <c r="B3875" s="1" t="s">
        <v>11209</v>
      </c>
      <c r="C3875">
        <f>(1-(B7/100))*2649.18</f>
        <v>2649.18</v>
      </c>
      <c r="D3875" s="1">
        <v>0</v>
      </c>
      <c r="E3875">
        <f>D3875*C3875</f>
        <v>0</v>
      </c>
      <c r="F3875" s="1" t="s">
        <v>11210</v>
      </c>
      <c r="G3875" s="17">
        <v>67591</v>
      </c>
    </row>
    <row r="3876" spans="1:7">
      <c r="A3876" s="1" t="s">
        <v>11211</v>
      </c>
      <c r="B3876" s="1" t="s">
        <v>11212</v>
      </c>
      <c r="C3876">
        <f>(1-(B7/100))*649.57</f>
        <v>649.57</v>
      </c>
      <c r="D3876" s="1">
        <v>0</v>
      </c>
      <c r="E3876">
        <f>D3876*C3876</f>
        <v>0</v>
      </c>
      <c r="F3876" s="1" t="s">
        <v>11213</v>
      </c>
      <c r="G3876" s="17">
        <v>67596</v>
      </c>
    </row>
    <row r="3877" spans="1:7">
      <c r="A3877" s="1" t="s">
        <v>11214</v>
      </c>
      <c r="B3877" s="1" t="s">
        <v>11215</v>
      </c>
      <c r="C3877">
        <f>(1-(B7/100))*2377.17</f>
        <v>2377.17</v>
      </c>
      <c r="D3877" s="1">
        <v>0</v>
      </c>
      <c r="E3877">
        <f>D3877*C3877</f>
        <v>0</v>
      </c>
      <c r="F3877" s="1" t="s">
        <v>11216</v>
      </c>
      <c r="G3877" s="17">
        <v>67598</v>
      </c>
    </row>
    <row r="3878" spans="1:7">
      <c r="A3878" s="1" t="s">
        <v>11217</v>
      </c>
      <c r="B3878" s="1" t="s">
        <v>11218</v>
      </c>
      <c r="C3878">
        <f>(1-(B7/100))*2524.18</f>
        <v>2524.18</v>
      </c>
      <c r="D3878" s="1">
        <v>0</v>
      </c>
      <c r="E3878">
        <f>D3878*C3878</f>
        <v>0</v>
      </c>
      <c r="F3878" s="1" t="s">
        <v>11219</v>
      </c>
      <c r="G3878" s="17">
        <v>67599</v>
      </c>
    </row>
    <row r="3879" spans="1:7">
      <c r="A3879" s="1" t="s">
        <v>11220</v>
      </c>
      <c r="B3879" s="1" t="s">
        <v>11221</v>
      </c>
      <c r="C3879">
        <f>(1-(B7/100))*1519.91</f>
        <v>1519.91</v>
      </c>
      <c r="D3879" s="1">
        <v>0</v>
      </c>
      <c r="E3879">
        <f>D3879*C3879</f>
        <v>0</v>
      </c>
      <c r="F3879" s="1" t="s">
        <v>11222</v>
      </c>
      <c r="G3879" s="17">
        <v>67601</v>
      </c>
    </row>
    <row r="3880" spans="1:7">
      <c r="A3880" s="1" t="s">
        <v>11223</v>
      </c>
      <c r="B3880" s="1" t="s">
        <v>11224</v>
      </c>
      <c r="C3880">
        <f>(1-(B7/100))*728.65</f>
        <v>728.65</v>
      </c>
      <c r="D3880" s="1">
        <v>0</v>
      </c>
      <c r="E3880">
        <f>D3880*C3880</f>
        <v>0</v>
      </c>
      <c r="F3880" s="1" t="s">
        <v>11225</v>
      </c>
      <c r="G3880" s="17">
        <v>67609</v>
      </c>
    </row>
    <row r="3881" spans="1:7">
      <c r="A3881" s="1" t="s">
        <v>11226</v>
      </c>
      <c r="B3881" s="1" t="s">
        <v>11227</v>
      </c>
      <c r="C3881">
        <f>(1-(B7/100))*908.72</f>
        <v>908.72</v>
      </c>
      <c r="D3881" s="1">
        <v>0</v>
      </c>
      <c r="E3881">
        <f>D3881*C3881</f>
        <v>0</v>
      </c>
      <c r="F3881" s="1" t="s">
        <v>11228</v>
      </c>
      <c r="G3881" s="17">
        <v>67614</v>
      </c>
    </row>
    <row r="3882" spans="1:7">
      <c r="A3882" s="1" t="s">
        <v>11229</v>
      </c>
      <c r="B3882" s="1" t="s">
        <v>11230</v>
      </c>
      <c r="C3882">
        <f>(1-(B7/100))*641.54</f>
        <v>641.54</v>
      </c>
      <c r="D3882" s="1">
        <v>0</v>
      </c>
      <c r="E3882">
        <f>D3882*C3882</f>
        <v>0</v>
      </c>
      <c r="F3882" s="1" t="s">
        <v>11231</v>
      </c>
      <c r="G3882" s="17">
        <v>67617</v>
      </c>
    </row>
    <row r="3883" spans="1:7">
      <c r="A3883" s="1" t="s">
        <v>11232</v>
      </c>
      <c r="B3883" s="1" t="s">
        <v>11233</v>
      </c>
      <c r="C3883">
        <f>(1-(B7/100))*520.47</f>
        <v>520.47</v>
      </c>
      <c r="D3883" s="1">
        <v>0</v>
      </c>
      <c r="E3883">
        <f>D3883*C3883</f>
        <v>0</v>
      </c>
      <c r="F3883" s="1" t="s">
        <v>11234</v>
      </c>
      <c r="G3883" s="17">
        <v>67619</v>
      </c>
    </row>
    <row r="3884" spans="1:7">
      <c r="A3884" s="1" t="s">
        <v>11235</v>
      </c>
      <c r="B3884" s="1" t="s">
        <v>11236</v>
      </c>
      <c r="C3884">
        <f>(1-(B7/100))*28.11</f>
        <v>28.11</v>
      </c>
      <c r="D3884" s="1">
        <v>0</v>
      </c>
      <c r="E3884">
        <f>D3884*C3884</f>
        <v>0</v>
      </c>
      <c r="F3884" s="1" t="s">
        <v>11237</v>
      </c>
      <c r="G3884" s="17">
        <v>67625</v>
      </c>
    </row>
    <row r="3885" spans="1:7">
      <c r="A3885" s="1" t="s">
        <v>11238</v>
      </c>
      <c r="B3885" s="1" t="s">
        <v>11239</v>
      </c>
      <c r="C3885">
        <f>(1-(B7/100))*33.25</f>
        <v>33.25</v>
      </c>
      <c r="D3885" s="1">
        <v>0</v>
      </c>
      <c r="E3885">
        <f>D3885*C3885</f>
        <v>0</v>
      </c>
      <c r="F3885" s="1" t="s">
        <v>11240</v>
      </c>
      <c r="G3885" s="17">
        <v>67626</v>
      </c>
    </row>
    <row r="3886" spans="1:7">
      <c r="A3886" s="1" t="s">
        <v>11241</v>
      </c>
      <c r="B3886" s="1" t="s">
        <v>11242</v>
      </c>
      <c r="C3886">
        <f>(1-(B7/100))*35.38</f>
        <v>35.38</v>
      </c>
      <c r="D3886" s="1">
        <v>0</v>
      </c>
      <c r="E3886">
        <f>D3886*C3886</f>
        <v>0</v>
      </c>
      <c r="F3886" s="1" t="s">
        <v>11243</v>
      </c>
      <c r="G3886" s="17">
        <v>67627</v>
      </c>
    </row>
    <row r="3887" spans="1:7">
      <c r="A3887" s="1" t="s">
        <v>11244</v>
      </c>
      <c r="B3887" s="1" t="s">
        <v>11245</v>
      </c>
      <c r="C3887">
        <f>(1-(B7/100))*3645.74</f>
        <v>3645.74</v>
      </c>
      <c r="D3887" s="1">
        <v>0</v>
      </c>
      <c r="E3887">
        <f>D3887*C3887</f>
        <v>0</v>
      </c>
      <c r="F3887" s="1" t="s">
        <v>11246</v>
      </c>
      <c r="G3887" s="17">
        <v>67637</v>
      </c>
    </row>
    <row r="3888" spans="1:7">
      <c r="A3888" s="1" t="s">
        <v>11247</v>
      </c>
      <c r="B3888" s="1" t="s">
        <v>11248</v>
      </c>
      <c r="C3888">
        <f>(1-(B7/100))*2342.1</f>
        <v>2342.1</v>
      </c>
      <c r="D3888" s="1">
        <v>0</v>
      </c>
      <c r="E3888">
        <f>D3888*C3888</f>
        <v>0</v>
      </c>
      <c r="F3888" s="1" t="s">
        <v>11249</v>
      </c>
      <c r="G3888" s="17">
        <v>67638</v>
      </c>
    </row>
    <row r="3889" spans="1:7">
      <c r="A3889" s="1" t="s">
        <v>11250</v>
      </c>
      <c r="B3889" s="1" t="s">
        <v>11251</v>
      </c>
      <c r="C3889">
        <f>(1-(B7/100))*2862.57</f>
        <v>2862.57</v>
      </c>
      <c r="D3889" s="1">
        <v>0</v>
      </c>
      <c r="E3889">
        <f>D3889*C3889</f>
        <v>0</v>
      </c>
      <c r="F3889" s="1" t="s">
        <v>11252</v>
      </c>
      <c r="G3889" s="17">
        <v>67643</v>
      </c>
    </row>
    <row r="3890" spans="1:7">
      <c r="A3890" s="1" t="s">
        <v>11253</v>
      </c>
      <c r="B3890" s="1" t="s">
        <v>11254</v>
      </c>
      <c r="C3890">
        <f>(1-(B7/100))*1353.75</f>
        <v>1353.75</v>
      </c>
      <c r="D3890" s="1">
        <v>0</v>
      </c>
      <c r="E3890">
        <f>D3890*C3890</f>
        <v>0</v>
      </c>
      <c r="F3890" s="1" t="s">
        <v>11255</v>
      </c>
      <c r="G3890" s="17">
        <v>67645</v>
      </c>
    </row>
    <row r="3891" spans="1:7">
      <c r="A3891" s="1" t="s">
        <v>11256</v>
      </c>
      <c r="B3891" s="1" t="s">
        <v>11257</v>
      </c>
      <c r="C3891">
        <f>(1-(B7/100))*1024.82</f>
        <v>1024.82</v>
      </c>
      <c r="D3891" s="1">
        <v>0</v>
      </c>
      <c r="E3891">
        <f>D3891*C3891</f>
        <v>0</v>
      </c>
      <c r="F3891" s="1" t="s">
        <v>11258</v>
      </c>
      <c r="G3891" s="17">
        <v>67653</v>
      </c>
    </row>
    <row r="3892" spans="1:7">
      <c r="A3892" s="1" t="s">
        <v>11259</v>
      </c>
      <c r="B3892" s="1" t="s">
        <v>11260</v>
      </c>
      <c r="C3892">
        <f>(1-(B7/100))*604.16</f>
        <v>604.16</v>
      </c>
      <c r="D3892" s="1">
        <v>0</v>
      </c>
      <c r="E3892">
        <f>D3892*C3892</f>
        <v>0</v>
      </c>
      <c r="F3892" s="1" t="s">
        <v>11261</v>
      </c>
      <c r="G3892" s="17">
        <v>67654</v>
      </c>
    </row>
    <row r="3893" spans="1:7">
      <c r="A3893" s="1" t="s">
        <v>11262</v>
      </c>
      <c r="B3893" s="1" t="s">
        <v>11263</v>
      </c>
      <c r="C3893">
        <f>(1-(B7/100))*143.58</f>
        <v>143.58</v>
      </c>
      <c r="D3893" s="1">
        <v>0</v>
      </c>
      <c r="E3893">
        <f>D3893*C3893</f>
        <v>0</v>
      </c>
      <c r="F3893" s="1" t="s">
        <v>11264</v>
      </c>
      <c r="G3893" s="17">
        <v>67656</v>
      </c>
    </row>
    <row r="3894" spans="1:7">
      <c r="A3894" s="1" t="s">
        <v>11265</v>
      </c>
      <c r="B3894" s="1" t="s">
        <v>11266</v>
      </c>
      <c r="C3894">
        <f>(1-(B7/100))*143.58</f>
        <v>143.58</v>
      </c>
      <c r="D3894" s="1">
        <v>0</v>
      </c>
      <c r="E3894">
        <f>D3894*C3894</f>
        <v>0</v>
      </c>
      <c r="F3894" s="1" t="s">
        <v>11267</v>
      </c>
      <c r="G3894" s="17">
        <v>67657</v>
      </c>
    </row>
    <row r="3895" spans="1:7">
      <c r="A3895" s="1" t="s">
        <v>11268</v>
      </c>
      <c r="B3895" s="1" t="s">
        <v>11269</v>
      </c>
      <c r="C3895">
        <f>(1-(B7/100))*655.7</f>
        <v>655.7</v>
      </c>
      <c r="D3895" s="1">
        <v>0</v>
      </c>
      <c r="E3895">
        <f>D3895*C3895</f>
        <v>0</v>
      </c>
      <c r="F3895" s="1" t="s">
        <v>11270</v>
      </c>
      <c r="G3895" s="17">
        <v>67665</v>
      </c>
    </row>
    <row r="3896" spans="1:7">
      <c r="A3896" s="1" t="s">
        <v>11271</v>
      </c>
      <c r="B3896" s="1" t="s">
        <v>11272</v>
      </c>
      <c r="C3896">
        <f>(1-(B7/100))*106.37</f>
        <v>106.37</v>
      </c>
      <c r="D3896" s="1">
        <v>0</v>
      </c>
      <c r="E3896">
        <f>D3896*C3896</f>
        <v>0</v>
      </c>
      <c r="F3896" s="1" t="s">
        <v>11273</v>
      </c>
      <c r="G3896" s="17">
        <v>67675</v>
      </c>
    </row>
    <row r="3897" spans="1:7">
      <c r="A3897" s="1" t="s">
        <v>11274</v>
      </c>
      <c r="B3897" s="1" t="s">
        <v>11275</v>
      </c>
      <c r="C3897">
        <f>(1-(B7/100))*1713.89</f>
        <v>1713.89</v>
      </c>
      <c r="D3897" s="1">
        <v>0</v>
      </c>
      <c r="E3897">
        <f>D3897*C3897</f>
        <v>0</v>
      </c>
      <c r="F3897" s="1" t="s">
        <v>11276</v>
      </c>
      <c r="G3897" s="17">
        <v>67680</v>
      </c>
    </row>
    <row r="3898" spans="1:7">
      <c r="A3898" s="1" t="s">
        <v>11277</v>
      </c>
      <c r="B3898" s="1" t="s">
        <v>11278</v>
      </c>
      <c r="C3898">
        <f>(1-(B7/100))*303.89</f>
        <v>303.89</v>
      </c>
      <c r="D3898" s="1">
        <v>0</v>
      </c>
      <c r="E3898">
        <f>D3898*C3898</f>
        <v>0</v>
      </c>
      <c r="F3898" s="1" t="s">
        <v>11279</v>
      </c>
      <c r="G3898" s="17">
        <v>67695</v>
      </c>
    </row>
    <row r="3899" spans="1:7">
      <c r="A3899" s="1" t="s">
        <v>11280</v>
      </c>
      <c r="B3899" s="1" t="s">
        <v>11281</v>
      </c>
      <c r="C3899">
        <f>(1-(B7/100))*313.32</f>
        <v>313.32</v>
      </c>
      <c r="D3899" s="1">
        <v>0</v>
      </c>
      <c r="E3899">
        <f>D3899*C3899</f>
        <v>0</v>
      </c>
      <c r="F3899" s="1" t="s">
        <v>11282</v>
      </c>
      <c r="G3899" s="17">
        <v>67697</v>
      </c>
    </row>
    <row r="3900" spans="1:7">
      <c r="A3900" s="1" t="s">
        <v>11283</v>
      </c>
      <c r="B3900" s="1" t="s">
        <v>11284</v>
      </c>
      <c r="C3900">
        <f>(1-(B7/100))*226.89</f>
        <v>226.89</v>
      </c>
      <c r="D3900" s="1">
        <v>0</v>
      </c>
      <c r="E3900">
        <f>D3900*C3900</f>
        <v>0</v>
      </c>
      <c r="F3900" s="1" t="s">
        <v>11285</v>
      </c>
      <c r="G3900" s="17">
        <v>67698</v>
      </c>
    </row>
    <row r="3901" spans="1:7">
      <c r="A3901" s="1" t="s">
        <v>11286</v>
      </c>
      <c r="B3901" s="1" t="s">
        <v>11287</v>
      </c>
      <c r="C3901">
        <f>(1-(B7/100))*125.72</f>
        <v>125.72</v>
      </c>
      <c r="D3901" s="1">
        <v>0</v>
      </c>
      <c r="E3901">
        <f>D3901*C3901</f>
        <v>0</v>
      </c>
      <c r="F3901" s="1" t="s">
        <v>11288</v>
      </c>
      <c r="G3901" s="17">
        <v>67701</v>
      </c>
    </row>
    <row r="3902" spans="1:7">
      <c r="A3902" s="1" t="s">
        <v>11289</v>
      </c>
      <c r="B3902" s="1" t="s">
        <v>11290</v>
      </c>
      <c r="C3902">
        <f>(1-(B7/100))*126.14</f>
        <v>126.14</v>
      </c>
      <c r="D3902" s="1">
        <v>0</v>
      </c>
      <c r="E3902">
        <f>D3902*C3902</f>
        <v>0</v>
      </c>
      <c r="F3902" s="1" t="s">
        <v>11291</v>
      </c>
      <c r="G3902" s="17">
        <v>67702</v>
      </c>
    </row>
    <row r="3903" spans="1:7">
      <c r="A3903" s="1" t="s">
        <v>11292</v>
      </c>
      <c r="B3903" s="1" t="s">
        <v>11293</v>
      </c>
      <c r="C3903">
        <f>(1-(B7/100))*1628.52</f>
        <v>1628.52</v>
      </c>
      <c r="D3903" s="1">
        <v>0</v>
      </c>
      <c r="E3903">
        <f>D3903*C3903</f>
        <v>0</v>
      </c>
      <c r="F3903" s="1" t="s">
        <v>11294</v>
      </c>
      <c r="G3903" s="17">
        <v>67716</v>
      </c>
    </row>
    <row r="3904" spans="1:7">
      <c r="A3904" s="1" t="s">
        <v>11295</v>
      </c>
      <c r="B3904" s="1" t="s">
        <v>11296</v>
      </c>
      <c r="C3904">
        <f>(1-(B7/100))*2057.94</f>
        <v>2057.94</v>
      </c>
      <c r="D3904" s="1">
        <v>0</v>
      </c>
      <c r="E3904">
        <f>D3904*C3904</f>
        <v>0</v>
      </c>
      <c r="F3904" s="1" t="s">
        <v>11297</v>
      </c>
      <c r="G3904" s="17">
        <v>67720</v>
      </c>
    </row>
    <row r="3905" spans="1:7">
      <c r="A3905" s="1" t="s">
        <v>11298</v>
      </c>
      <c r="B3905" s="1" t="s">
        <v>11299</v>
      </c>
      <c r="C3905">
        <f>(1-(B7/100))*1522.19</f>
        <v>1522.19</v>
      </c>
      <c r="D3905" s="1">
        <v>0</v>
      </c>
      <c r="E3905">
        <f>D3905*C3905</f>
        <v>0</v>
      </c>
      <c r="F3905" s="1" t="s">
        <v>11300</v>
      </c>
      <c r="G3905" s="17">
        <v>67730</v>
      </c>
    </row>
    <row r="3906" spans="1:7">
      <c r="A3906" s="1" t="s">
        <v>11301</v>
      </c>
      <c r="B3906" s="1" t="s">
        <v>11302</v>
      </c>
      <c r="C3906">
        <f>(1-(B7/100))*2353.11</f>
        <v>2353.11</v>
      </c>
      <c r="D3906" s="1">
        <v>0</v>
      </c>
      <c r="E3906">
        <f>D3906*C3906</f>
        <v>0</v>
      </c>
      <c r="F3906" s="1" t="s">
        <v>11303</v>
      </c>
      <c r="G3906" s="17">
        <v>67734</v>
      </c>
    </row>
    <row r="3907" spans="1:7">
      <c r="A3907" s="1" t="s">
        <v>11304</v>
      </c>
      <c r="B3907" s="1" t="s">
        <v>11305</v>
      </c>
      <c r="C3907">
        <f>(1-(B7/100))*1924.34</f>
        <v>1924.34</v>
      </c>
      <c r="D3907" s="1">
        <v>0</v>
      </c>
      <c r="E3907">
        <f>D3907*C3907</f>
        <v>0</v>
      </c>
      <c r="F3907" s="1" t="s">
        <v>11306</v>
      </c>
      <c r="G3907" s="17">
        <v>67737</v>
      </c>
    </row>
    <row r="3908" spans="1:7">
      <c r="A3908" s="1" t="s">
        <v>11307</v>
      </c>
      <c r="B3908" s="1" t="s">
        <v>11308</v>
      </c>
      <c r="C3908">
        <f>(1-(B7/100))*1821.63</f>
        <v>1821.63</v>
      </c>
      <c r="D3908" s="1">
        <v>0</v>
      </c>
      <c r="E3908">
        <f>D3908*C3908</f>
        <v>0</v>
      </c>
      <c r="F3908" s="1" t="s">
        <v>11309</v>
      </c>
      <c r="G3908" s="17">
        <v>67742</v>
      </c>
    </row>
    <row r="3909" spans="1:7">
      <c r="A3909" s="1" t="s">
        <v>11310</v>
      </c>
      <c r="B3909" s="1" t="s">
        <v>11311</v>
      </c>
      <c r="C3909">
        <f>(1-(B7/100))*1658.45</f>
        <v>1658.45</v>
      </c>
      <c r="D3909" s="1">
        <v>0</v>
      </c>
      <c r="E3909">
        <f>D3909*C3909</f>
        <v>0</v>
      </c>
      <c r="F3909" s="1" t="s">
        <v>11312</v>
      </c>
      <c r="G3909" s="17">
        <v>67744</v>
      </c>
    </row>
    <row r="3910" spans="1:7">
      <c r="A3910" s="1" t="s">
        <v>11313</v>
      </c>
      <c r="B3910" s="1" t="s">
        <v>11314</v>
      </c>
      <c r="C3910">
        <f>(1-(B7/100))*1401.09</f>
        <v>1401.09</v>
      </c>
      <c r="D3910" s="1">
        <v>0</v>
      </c>
      <c r="E3910">
        <f>D3910*C3910</f>
        <v>0</v>
      </c>
      <c r="F3910" s="1" t="s">
        <v>11315</v>
      </c>
      <c r="G3910" s="17">
        <v>67747</v>
      </c>
    </row>
    <row r="3911" spans="1:7">
      <c r="A3911" s="1" t="s">
        <v>11316</v>
      </c>
      <c r="B3911" s="1" t="s">
        <v>11317</v>
      </c>
      <c r="C3911">
        <f>(1-(B7/100))*2195.98</f>
        <v>2195.98</v>
      </c>
      <c r="D3911" s="1">
        <v>0</v>
      </c>
      <c r="E3911">
        <f>D3911*C3911</f>
        <v>0</v>
      </c>
      <c r="F3911" s="1" t="s">
        <v>11318</v>
      </c>
      <c r="G3911" s="17">
        <v>67751</v>
      </c>
    </row>
    <row r="3912" spans="1:7">
      <c r="A3912" s="1" t="s">
        <v>11319</v>
      </c>
      <c r="B3912" s="1" t="s">
        <v>11320</v>
      </c>
      <c r="C3912">
        <f>(1-(B7/100))*1660.95</f>
        <v>1660.95</v>
      </c>
      <c r="D3912" s="1">
        <v>0</v>
      </c>
      <c r="E3912">
        <f>D3912*C3912</f>
        <v>0</v>
      </c>
      <c r="F3912" s="1" t="s">
        <v>11321</v>
      </c>
      <c r="G3912" s="17">
        <v>67754</v>
      </c>
    </row>
    <row r="3913" spans="1:7">
      <c r="A3913" s="1" t="s">
        <v>11322</v>
      </c>
      <c r="B3913" s="1" t="s">
        <v>11323</v>
      </c>
      <c r="C3913">
        <f>(1-(B7/100))*1450.61</f>
        <v>1450.61</v>
      </c>
      <c r="D3913" s="1">
        <v>0</v>
      </c>
      <c r="E3913">
        <f>D3913*C3913</f>
        <v>0</v>
      </c>
      <c r="F3913" s="1" t="s">
        <v>11324</v>
      </c>
      <c r="G3913" s="17">
        <v>67759</v>
      </c>
    </row>
    <row r="3914" spans="1:7">
      <c r="A3914" s="1" t="s">
        <v>11325</v>
      </c>
      <c r="B3914" s="1" t="s">
        <v>11326</v>
      </c>
      <c r="C3914">
        <f>(1-(B7/100))*89.05</f>
        <v>89.05</v>
      </c>
      <c r="D3914" s="1">
        <v>0</v>
      </c>
      <c r="E3914">
        <f>D3914*C3914</f>
        <v>0</v>
      </c>
      <c r="F3914" s="1" t="s">
        <v>11327</v>
      </c>
      <c r="G3914" s="17">
        <v>67782</v>
      </c>
    </row>
    <row r="3915" spans="1:7">
      <c r="A3915" s="1" t="s">
        <v>11328</v>
      </c>
      <c r="B3915" s="1" t="s">
        <v>11329</v>
      </c>
      <c r="C3915">
        <f>(1-(B7/100))*115.52</f>
        <v>115.52</v>
      </c>
      <c r="D3915" s="1">
        <v>0</v>
      </c>
      <c r="E3915">
        <f>D3915*C3915</f>
        <v>0</v>
      </c>
      <c r="F3915" s="1" t="s">
        <v>11330</v>
      </c>
      <c r="G3915" s="17">
        <v>67785</v>
      </c>
    </row>
    <row r="3916" spans="1:7">
      <c r="A3916" s="1" t="s">
        <v>11331</v>
      </c>
      <c r="B3916" s="1" t="s">
        <v>11332</v>
      </c>
      <c r="C3916">
        <f>(1-(B7/100))*115.52</f>
        <v>115.52</v>
      </c>
      <c r="D3916" s="1">
        <v>0</v>
      </c>
      <c r="E3916">
        <f>D3916*C3916</f>
        <v>0</v>
      </c>
      <c r="F3916" s="1" t="s">
        <v>11333</v>
      </c>
      <c r="G3916" s="17">
        <v>67789</v>
      </c>
    </row>
    <row r="3917" spans="1:7">
      <c r="A3917" s="1" t="s">
        <v>11334</v>
      </c>
      <c r="B3917" s="1" t="s">
        <v>11335</v>
      </c>
      <c r="C3917">
        <f>(1-(B7/100))*115.52</f>
        <v>115.52</v>
      </c>
      <c r="D3917" s="1">
        <v>0</v>
      </c>
      <c r="E3917">
        <f>D3917*C3917</f>
        <v>0</v>
      </c>
      <c r="F3917" s="1" t="s">
        <v>11336</v>
      </c>
      <c r="G3917" s="17">
        <v>67790</v>
      </c>
    </row>
    <row r="3918" spans="1:7">
      <c r="A3918" s="1" t="s">
        <v>11337</v>
      </c>
      <c r="B3918" s="1" t="s">
        <v>11338</v>
      </c>
      <c r="C3918">
        <f>(1-(B7/100))*749.33</f>
        <v>749.33</v>
      </c>
      <c r="D3918" s="1">
        <v>0</v>
      </c>
      <c r="E3918">
        <f>D3918*C3918</f>
        <v>0</v>
      </c>
      <c r="F3918" s="1" t="s">
        <v>11339</v>
      </c>
      <c r="G3918" s="17">
        <v>67801</v>
      </c>
    </row>
    <row r="3919" spans="1:7">
      <c r="A3919" s="1" t="s">
        <v>11340</v>
      </c>
      <c r="B3919" s="1" t="s">
        <v>11341</v>
      </c>
      <c r="C3919">
        <f>(1-(B7/100))*158.39</f>
        <v>158.39</v>
      </c>
      <c r="D3919" s="1">
        <v>0</v>
      </c>
      <c r="E3919">
        <f>D3919*C3919</f>
        <v>0</v>
      </c>
      <c r="F3919" s="1" t="s">
        <v>11342</v>
      </c>
      <c r="G3919" s="17">
        <v>67836</v>
      </c>
    </row>
    <row r="3920" spans="1:7">
      <c r="A3920" s="1" t="s">
        <v>11343</v>
      </c>
      <c r="B3920" s="1" t="s">
        <v>11344</v>
      </c>
      <c r="C3920">
        <f>(1-(B7/100))*536.38</f>
        <v>536.38</v>
      </c>
      <c r="D3920" s="1">
        <v>0</v>
      </c>
      <c r="E3920">
        <f>D3920*C3920</f>
        <v>0</v>
      </c>
      <c r="F3920" s="1" t="s">
        <v>11345</v>
      </c>
      <c r="G3920" s="17">
        <v>67852</v>
      </c>
    </row>
    <row r="3921" spans="1:7">
      <c r="A3921" s="1" t="s">
        <v>11346</v>
      </c>
      <c r="B3921" s="1" t="s">
        <v>11347</v>
      </c>
      <c r="C3921">
        <f>(1-(B7/100))*606.76</f>
        <v>606.76</v>
      </c>
      <c r="D3921" s="1">
        <v>0</v>
      </c>
      <c r="E3921">
        <f>D3921*C3921</f>
        <v>0</v>
      </c>
      <c r="F3921" s="1" t="s">
        <v>11348</v>
      </c>
      <c r="G3921" s="17">
        <v>67865</v>
      </c>
    </row>
    <row r="3922" spans="1:7">
      <c r="A3922" s="1" t="s">
        <v>11349</v>
      </c>
      <c r="B3922" s="1" t="s">
        <v>11350</v>
      </c>
      <c r="C3922">
        <f>(1-(B7/100))*766.03</f>
        <v>766.03</v>
      </c>
      <c r="D3922" s="1">
        <v>0</v>
      </c>
      <c r="E3922">
        <f>D3922*C3922</f>
        <v>0</v>
      </c>
      <c r="F3922" s="1" t="s">
        <v>11351</v>
      </c>
      <c r="G3922" s="17">
        <v>67871</v>
      </c>
    </row>
    <row r="3923" spans="1:7">
      <c r="A3923" s="1" t="s">
        <v>11352</v>
      </c>
      <c r="B3923" s="1" t="s">
        <v>11353</v>
      </c>
      <c r="C3923">
        <f>(1-(B7/100))*191</f>
        <v>191</v>
      </c>
      <c r="D3923" s="1">
        <v>0</v>
      </c>
      <c r="E3923">
        <f>D3923*C3923</f>
        <v>0</v>
      </c>
      <c r="F3923" s="1" t="s">
        <v>11354</v>
      </c>
      <c r="G3923" s="17">
        <v>67881</v>
      </c>
    </row>
    <row r="3924" spans="1:7">
      <c r="A3924" s="1" t="s">
        <v>11355</v>
      </c>
      <c r="B3924" s="1" t="s">
        <v>11356</v>
      </c>
      <c r="C3924">
        <f>(1-(B7/100))*318.02</f>
        <v>318.02</v>
      </c>
      <c r="D3924" s="1">
        <v>0</v>
      </c>
      <c r="E3924">
        <f>D3924*C3924</f>
        <v>0</v>
      </c>
      <c r="F3924" s="1" t="s">
        <v>11357</v>
      </c>
      <c r="G3924" s="17">
        <v>67886</v>
      </c>
    </row>
    <row r="3925" spans="1:7">
      <c r="A3925" s="1" t="s">
        <v>11358</v>
      </c>
      <c r="B3925" s="1" t="s">
        <v>11359</v>
      </c>
      <c r="C3925">
        <f>(1-(B7/100))*218.25</f>
        <v>218.25</v>
      </c>
      <c r="D3925" s="1">
        <v>0</v>
      </c>
      <c r="E3925">
        <f>D3925*C3925</f>
        <v>0</v>
      </c>
      <c r="F3925" s="1" t="s">
        <v>11360</v>
      </c>
      <c r="G3925" s="17">
        <v>67888</v>
      </c>
    </row>
    <row r="3926" spans="1:7">
      <c r="A3926" s="1" t="s">
        <v>11361</v>
      </c>
      <c r="B3926" s="1" t="s">
        <v>11362</v>
      </c>
      <c r="C3926">
        <f>(1-(B7/100))*117.33</f>
        <v>117.33</v>
      </c>
      <c r="D3926" s="1">
        <v>0</v>
      </c>
      <c r="E3926">
        <f>D3926*C3926</f>
        <v>0</v>
      </c>
      <c r="F3926" s="1" t="s">
        <v>11363</v>
      </c>
      <c r="G3926" s="17">
        <v>67892</v>
      </c>
    </row>
    <row r="3927" spans="1:7">
      <c r="A3927" s="1" t="s">
        <v>11364</v>
      </c>
      <c r="B3927" s="1" t="s">
        <v>11365</v>
      </c>
      <c r="C3927">
        <f>(1-(B7/100))*104.09</f>
        <v>104.09</v>
      </c>
      <c r="D3927" s="1">
        <v>0</v>
      </c>
      <c r="E3927">
        <f>D3927*C3927</f>
        <v>0</v>
      </c>
      <c r="F3927" s="1" t="s">
        <v>11366</v>
      </c>
      <c r="G3927" s="17">
        <v>67893</v>
      </c>
    </row>
    <row r="3928" spans="1:7">
      <c r="A3928" s="1" t="s">
        <v>11367</v>
      </c>
      <c r="B3928" s="1" t="s">
        <v>11368</v>
      </c>
      <c r="C3928">
        <f>(1-(B7/100))*300.05</f>
        <v>300.05</v>
      </c>
      <c r="D3928" s="1">
        <v>0</v>
      </c>
      <c r="E3928">
        <f>D3928*C3928</f>
        <v>0</v>
      </c>
      <c r="F3928" s="1" t="s">
        <v>11369</v>
      </c>
      <c r="G3928" s="17">
        <v>67896</v>
      </c>
    </row>
    <row r="3929" spans="1:7">
      <c r="A3929" s="1" t="s">
        <v>11370</v>
      </c>
      <c r="B3929" s="1" t="s">
        <v>11371</v>
      </c>
      <c r="C3929">
        <f>(1-(B7/100))*287.07</f>
        <v>287.07</v>
      </c>
      <c r="D3929" s="1">
        <v>0</v>
      </c>
      <c r="E3929">
        <f>D3929*C3929</f>
        <v>0</v>
      </c>
      <c r="F3929" s="1" t="s">
        <v>11372</v>
      </c>
      <c r="G3929" s="17">
        <v>67898</v>
      </c>
    </row>
    <row r="3930" spans="1:7">
      <c r="A3930" s="1" t="s">
        <v>11373</v>
      </c>
      <c r="B3930" s="1" t="s">
        <v>11374</v>
      </c>
      <c r="C3930">
        <f>(1-(B7/100))*1016.8</f>
        <v>1016.8</v>
      </c>
      <c r="D3930" s="1">
        <v>0</v>
      </c>
      <c r="E3930">
        <f>D3930*C3930</f>
        <v>0</v>
      </c>
      <c r="F3930" s="1" t="s">
        <v>11375</v>
      </c>
      <c r="G3930" s="17">
        <v>67911</v>
      </c>
    </row>
    <row r="3931" spans="1:7">
      <c r="A3931" s="1" t="s">
        <v>11376</v>
      </c>
      <c r="B3931" s="1" t="s">
        <v>11377</v>
      </c>
      <c r="C3931">
        <f>(1-(B7/100))*189.02</f>
        <v>189.02</v>
      </c>
      <c r="D3931" s="1">
        <v>0</v>
      </c>
      <c r="E3931">
        <f>D3931*C3931</f>
        <v>0</v>
      </c>
      <c r="F3931" s="1" t="s">
        <v>11378</v>
      </c>
      <c r="G3931" s="17">
        <v>67991</v>
      </c>
    </row>
    <row r="3932" spans="1:7">
      <c r="A3932" s="1" t="s">
        <v>11379</v>
      </c>
      <c r="B3932" s="1" t="s">
        <v>11380</v>
      </c>
      <c r="C3932">
        <f>(1-(B7/100))*411.54</f>
        <v>411.54</v>
      </c>
      <c r="D3932" s="1">
        <v>0</v>
      </c>
      <c r="E3932">
        <f>D3932*C3932</f>
        <v>0</v>
      </c>
      <c r="F3932" s="1" t="s">
        <v>11381</v>
      </c>
      <c r="G3932" s="17">
        <v>67993</v>
      </c>
    </row>
    <row r="3933" spans="1:7">
      <c r="A3933" s="1" t="s">
        <v>11382</v>
      </c>
      <c r="B3933" s="1" t="s">
        <v>11383</v>
      </c>
      <c r="C3933">
        <f>(1-(B7/100))*457.16</f>
        <v>457.16</v>
      </c>
      <c r="D3933" s="1">
        <v>0</v>
      </c>
      <c r="E3933">
        <f>D3933*C3933</f>
        <v>0</v>
      </c>
      <c r="F3933" s="1" t="s">
        <v>11384</v>
      </c>
      <c r="G3933" s="17">
        <v>68002</v>
      </c>
    </row>
    <row r="3934" spans="1:7">
      <c r="A3934" s="1" t="s">
        <v>11385</v>
      </c>
      <c r="B3934" s="1" t="s">
        <v>11386</v>
      </c>
      <c r="C3934">
        <f>(1-(B7/100))*309.03</f>
        <v>309.03</v>
      </c>
      <c r="D3934" s="1">
        <v>0</v>
      </c>
      <c r="E3934">
        <f>D3934*C3934</f>
        <v>0</v>
      </c>
      <c r="F3934" s="1" t="s">
        <v>11387</v>
      </c>
      <c r="G3934" s="17">
        <v>68005</v>
      </c>
    </row>
    <row r="3935" spans="1:7">
      <c r="A3935" s="1" t="s">
        <v>11388</v>
      </c>
      <c r="B3935" s="1" t="s">
        <v>11389</v>
      </c>
      <c r="C3935">
        <f>(1-(B7/100))*372.33</f>
        <v>372.33</v>
      </c>
      <c r="D3935" s="1">
        <v>0</v>
      </c>
      <c r="E3935">
        <f>D3935*C3935</f>
        <v>0</v>
      </c>
      <c r="F3935" s="1" t="s">
        <v>11390</v>
      </c>
      <c r="G3935" s="17">
        <v>68006</v>
      </c>
    </row>
    <row r="3936" spans="1:7">
      <c r="A3936" s="1" t="s">
        <v>11391</v>
      </c>
      <c r="B3936" s="1" t="s">
        <v>11392</v>
      </c>
      <c r="C3936">
        <f>(1-(B7/100))*410</f>
        <v>410</v>
      </c>
      <c r="D3936" s="1">
        <v>0</v>
      </c>
      <c r="E3936">
        <f>D3936*C3936</f>
        <v>0</v>
      </c>
      <c r="F3936" s="1" t="s">
        <v>11393</v>
      </c>
      <c r="G3936" s="17">
        <v>68077</v>
      </c>
    </row>
    <row r="3937" spans="1:7">
      <c r="A3937" s="1" t="s">
        <v>11394</v>
      </c>
      <c r="B3937" s="1" t="s">
        <v>11395</v>
      </c>
      <c r="C3937">
        <f>(1-(B7/100))*372.33</f>
        <v>372.33</v>
      </c>
      <c r="D3937" s="1">
        <v>0</v>
      </c>
      <c r="E3937">
        <f>D3937*C3937</f>
        <v>0</v>
      </c>
      <c r="F3937" s="1" t="s">
        <v>11396</v>
      </c>
      <c r="G3937" s="17">
        <v>68124</v>
      </c>
    </row>
    <row r="3938" spans="1:7">
      <c r="A3938" s="1" t="s">
        <v>11397</v>
      </c>
      <c r="B3938" s="1" t="s">
        <v>11398</v>
      </c>
      <c r="C3938">
        <f>(1-(B7/100))*243.12</f>
        <v>243.12</v>
      </c>
      <c r="D3938" s="1">
        <v>0</v>
      </c>
      <c r="E3938">
        <f>D3938*C3938</f>
        <v>0</v>
      </c>
      <c r="F3938" s="1" t="s">
        <v>11399</v>
      </c>
      <c r="G3938" s="17">
        <v>68136</v>
      </c>
    </row>
    <row r="3939" spans="1:7">
      <c r="A3939" s="1" t="s">
        <v>11400</v>
      </c>
      <c r="B3939" s="1" t="s">
        <v>11401</v>
      </c>
      <c r="C3939">
        <f>(1-(B7/100))*415.24</f>
        <v>415.24</v>
      </c>
      <c r="D3939" s="1">
        <v>0</v>
      </c>
      <c r="E3939">
        <f>D3939*C3939</f>
        <v>0</v>
      </c>
      <c r="F3939" s="1" t="s">
        <v>11402</v>
      </c>
      <c r="G3939" s="17">
        <v>68157</v>
      </c>
    </row>
    <row r="3940" spans="1:7">
      <c r="A3940" s="1" t="s">
        <v>11403</v>
      </c>
      <c r="B3940" s="1" t="s">
        <v>11404</v>
      </c>
      <c r="C3940">
        <f>(1-(B7/100))*378.86</f>
        <v>378.86</v>
      </c>
      <c r="D3940" s="1">
        <v>0</v>
      </c>
      <c r="E3940">
        <f>D3940*C3940</f>
        <v>0</v>
      </c>
      <c r="F3940" s="1" t="s">
        <v>11405</v>
      </c>
      <c r="G3940" s="17">
        <v>68175</v>
      </c>
    </row>
    <row r="3941" spans="1:7">
      <c r="A3941" s="1" t="s">
        <v>11406</v>
      </c>
      <c r="B3941" s="1" t="s">
        <v>11407</v>
      </c>
      <c r="C3941">
        <f>(1-(B7/100))*1887.77</f>
        <v>1887.77</v>
      </c>
      <c r="D3941" s="1">
        <v>0</v>
      </c>
      <c r="E3941">
        <f>D3941*C3941</f>
        <v>0</v>
      </c>
      <c r="F3941" s="1" t="s">
        <v>11408</v>
      </c>
      <c r="G3941" s="17">
        <v>68186</v>
      </c>
    </row>
    <row r="3942" spans="1:7">
      <c r="A3942" s="1" t="s">
        <v>11409</v>
      </c>
      <c r="B3942" s="1" t="s">
        <v>11410</v>
      </c>
      <c r="C3942">
        <f>(1-(B7/100))*1691.34</f>
        <v>1691.34</v>
      </c>
      <c r="D3942" s="1">
        <v>0</v>
      </c>
      <c r="E3942">
        <f>D3942*C3942</f>
        <v>0</v>
      </c>
      <c r="F3942" s="1" t="s">
        <v>11411</v>
      </c>
      <c r="G3942" s="17">
        <v>68189</v>
      </c>
    </row>
    <row r="3943" spans="1:7">
      <c r="A3943" s="1" t="s">
        <v>11412</v>
      </c>
      <c r="B3943" s="1" t="s">
        <v>11413</v>
      </c>
      <c r="C3943">
        <f>(1-(B7/100))*1691.34</f>
        <v>1691.34</v>
      </c>
      <c r="D3943" s="1">
        <v>0</v>
      </c>
      <c r="E3943">
        <f>D3943*C3943</f>
        <v>0</v>
      </c>
      <c r="F3943" s="1" t="s">
        <v>11414</v>
      </c>
      <c r="G3943" s="17">
        <v>68196</v>
      </c>
    </row>
    <row r="3944" spans="1:7">
      <c r="A3944" s="1" t="s">
        <v>11415</v>
      </c>
      <c r="B3944" s="1" t="s">
        <v>11416</v>
      </c>
      <c r="C3944">
        <f>(1-(B7/100))*1634.95</f>
        <v>1634.95</v>
      </c>
      <c r="D3944" s="1">
        <v>0</v>
      </c>
      <c r="E3944">
        <f>D3944*C3944</f>
        <v>0</v>
      </c>
      <c r="F3944" s="1" t="s">
        <v>11417</v>
      </c>
      <c r="G3944" s="17">
        <v>68197</v>
      </c>
    </row>
    <row r="3945" spans="1:7">
      <c r="A3945" s="1" t="s">
        <v>11418</v>
      </c>
      <c r="B3945" s="1" t="s">
        <v>11419</v>
      </c>
      <c r="C3945">
        <f>(1-(B7/100))*1517.36</f>
        <v>1517.36</v>
      </c>
      <c r="D3945" s="1">
        <v>0</v>
      </c>
      <c r="E3945">
        <f>D3945*C3945</f>
        <v>0</v>
      </c>
      <c r="F3945" s="1" t="s">
        <v>11420</v>
      </c>
      <c r="G3945" s="17">
        <v>68207</v>
      </c>
    </row>
    <row r="3946" spans="1:7">
      <c r="A3946" s="1" t="s">
        <v>11421</v>
      </c>
      <c r="B3946" s="1" t="s">
        <v>11422</v>
      </c>
      <c r="C3946">
        <f>(1-(B7/100))*1804.08</f>
        <v>1804.08</v>
      </c>
      <c r="D3946" s="1">
        <v>0</v>
      </c>
      <c r="E3946">
        <f>D3946*C3946</f>
        <v>0</v>
      </c>
      <c r="F3946" s="1" t="s">
        <v>11423</v>
      </c>
      <c r="G3946" s="17">
        <v>68211</v>
      </c>
    </row>
    <row r="3947" spans="1:7">
      <c r="A3947" s="1" t="s">
        <v>11424</v>
      </c>
      <c r="B3947" s="1" t="s">
        <v>11425</v>
      </c>
      <c r="C3947">
        <f>(1-(B7/100))*1804.08</f>
        <v>1804.08</v>
      </c>
      <c r="D3947" s="1">
        <v>0</v>
      </c>
      <c r="E3947">
        <f>D3947*C3947</f>
        <v>0</v>
      </c>
      <c r="F3947" s="1" t="s">
        <v>11426</v>
      </c>
      <c r="G3947" s="17">
        <v>68214</v>
      </c>
    </row>
    <row r="3948" spans="1:7">
      <c r="A3948" s="1" t="s">
        <v>11427</v>
      </c>
      <c r="B3948" s="1" t="s">
        <v>11428</v>
      </c>
      <c r="C3948">
        <f>(1-(B7/100))*1522.19</f>
        <v>1522.19</v>
      </c>
      <c r="D3948" s="1">
        <v>0</v>
      </c>
      <c r="E3948">
        <f>D3948*C3948</f>
        <v>0</v>
      </c>
      <c r="F3948" s="1" t="s">
        <v>11429</v>
      </c>
      <c r="G3948" s="17">
        <v>68215</v>
      </c>
    </row>
    <row r="3949" spans="1:7">
      <c r="A3949" s="1" t="s">
        <v>11430</v>
      </c>
      <c r="B3949" s="1" t="s">
        <v>11431</v>
      </c>
      <c r="C3949">
        <f>(1-(B7/100))*2279.15</f>
        <v>2279.15</v>
      </c>
      <c r="D3949" s="1">
        <v>0</v>
      </c>
      <c r="E3949">
        <f>D3949*C3949</f>
        <v>0</v>
      </c>
      <c r="F3949" s="1" t="s">
        <v>11432</v>
      </c>
      <c r="G3949" s="17">
        <v>68231</v>
      </c>
    </row>
    <row r="3950" spans="1:7">
      <c r="A3950" s="1" t="s">
        <v>11433</v>
      </c>
      <c r="B3950" s="1" t="s">
        <v>11434</v>
      </c>
      <c r="C3950">
        <f>(1-(B7/100))*1865.49</f>
        <v>1865.49</v>
      </c>
      <c r="D3950" s="1">
        <v>0</v>
      </c>
      <c r="E3950">
        <f>D3950*C3950</f>
        <v>0</v>
      </c>
      <c r="F3950" s="1" t="s">
        <v>11435</v>
      </c>
      <c r="G3950" s="17">
        <v>68266</v>
      </c>
    </row>
    <row r="3951" spans="1:7">
      <c r="A3951" s="1" t="s">
        <v>11436</v>
      </c>
      <c r="B3951" s="1" t="s">
        <v>11437</v>
      </c>
      <c r="C3951">
        <f>(1-(B7/100))*2524.01</f>
        <v>2524.01</v>
      </c>
      <c r="D3951" s="1">
        <v>0</v>
      </c>
      <c r="E3951">
        <f>D3951*C3951</f>
        <v>0</v>
      </c>
      <c r="F3951" s="1" t="s">
        <v>11438</v>
      </c>
      <c r="G3951" s="17">
        <v>68277</v>
      </c>
    </row>
    <row r="3952" spans="1:7">
      <c r="A3952" s="1" t="s">
        <v>11439</v>
      </c>
      <c r="B3952" s="1" t="s">
        <v>11440</v>
      </c>
      <c r="C3952">
        <f>(1-(B7/100))*1634.95</f>
        <v>1634.95</v>
      </c>
      <c r="D3952" s="1">
        <v>0</v>
      </c>
      <c r="E3952">
        <f>D3952*C3952</f>
        <v>0</v>
      </c>
      <c r="F3952" s="1" t="s">
        <v>11441</v>
      </c>
      <c r="G3952" s="17">
        <v>68282</v>
      </c>
    </row>
    <row r="3953" spans="1:7">
      <c r="A3953" s="1" t="s">
        <v>11442</v>
      </c>
      <c r="B3953" s="1" t="s">
        <v>11443</v>
      </c>
      <c r="C3953">
        <f>(1-(B7/100))*1721.44</f>
        <v>1721.44</v>
      </c>
      <c r="D3953" s="1">
        <v>0</v>
      </c>
      <c r="E3953">
        <f>D3953*C3953</f>
        <v>0</v>
      </c>
      <c r="F3953" s="1" t="s">
        <v>11444</v>
      </c>
      <c r="G3953" s="17">
        <v>68289</v>
      </c>
    </row>
    <row r="3954" spans="1:7">
      <c r="A3954" s="1" t="s">
        <v>11445</v>
      </c>
      <c r="B3954" s="1" t="s">
        <v>11446</v>
      </c>
      <c r="C3954">
        <f>(1-(B7/100))*1685.42</f>
        <v>1685.42</v>
      </c>
      <c r="D3954" s="1">
        <v>0</v>
      </c>
      <c r="E3954">
        <f>D3954*C3954</f>
        <v>0</v>
      </c>
      <c r="F3954" s="1" t="s">
        <v>11447</v>
      </c>
      <c r="G3954" s="17">
        <v>68303</v>
      </c>
    </row>
    <row r="3955" spans="1:7">
      <c r="A3955" s="1" t="s">
        <v>11448</v>
      </c>
      <c r="B3955" s="1" t="s">
        <v>11449</v>
      </c>
      <c r="C3955">
        <f>(1-(B7/100))*12.36</f>
        <v>12.36</v>
      </c>
      <c r="D3955" s="1">
        <v>0</v>
      </c>
      <c r="E3955">
        <f>D3955*C3955</f>
        <v>0</v>
      </c>
      <c r="F3955" s="1" t="s">
        <v>11450</v>
      </c>
      <c r="G3955" s="17">
        <v>68325</v>
      </c>
    </row>
    <row r="3956" spans="1:7">
      <c r="A3956" s="1" t="s">
        <v>11451</v>
      </c>
      <c r="B3956" s="1" t="s">
        <v>11452</v>
      </c>
      <c r="C3956">
        <f>(1-(B7/100))*12.36</f>
        <v>12.36</v>
      </c>
      <c r="D3956" s="1">
        <v>0</v>
      </c>
      <c r="E3956">
        <f>D3956*C3956</f>
        <v>0</v>
      </c>
      <c r="F3956" s="1" t="s">
        <v>11453</v>
      </c>
      <c r="G3956" s="17">
        <v>68348</v>
      </c>
    </row>
    <row r="3957" spans="1:7">
      <c r="A3957" s="1">
        <v>10095341</v>
      </c>
      <c r="B3957" s="1" t="s">
        <v>11454</v>
      </c>
      <c r="C3957">
        <f>(1-(B7/100))*188.61</f>
        <v>188.61</v>
      </c>
      <c r="D3957" s="1">
        <v>0</v>
      </c>
      <c r="E3957">
        <f>D3957*C3957</f>
        <v>0</v>
      </c>
      <c r="F3957" s="1" t="s">
        <v>11455</v>
      </c>
      <c r="G3957" s="17">
        <v>68358</v>
      </c>
    </row>
    <row r="3958" spans="1:7">
      <c r="A3958" s="1" t="s">
        <v>11456</v>
      </c>
      <c r="B3958" s="1" t="s">
        <v>11457</v>
      </c>
      <c r="C3958">
        <f>(1-(B7/100))*161.85</f>
        <v>161.85</v>
      </c>
      <c r="D3958" s="1">
        <v>0</v>
      </c>
      <c r="E3958">
        <f>D3958*C3958</f>
        <v>0</v>
      </c>
      <c r="F3958" s="1" t="s">
        <v>11458</v>
      </c>
      <c r="G3958" s="17">
        <v>68374</v>
      </c>
    </row>
    <row r="3959" spans="1:7">
      <c r="A3959" s="1" t="s">
        <v>11459</v>
      </c>
      <c r="B3959" s="1" t="s">
        <v>11460</v>
      </c>
      <c r="C3959">
        <f>(1-(B7/100))*47.86</f>
        <v>47.86</v>
      </c>
      <c r="D3959" s="1">
        <v>0</v>
      </c>
      <c r="E3959">
        <f>D3959*C3959</f>
        <v>0</v>
      </c>
      <c r="F3959" s="1" t="s">
        <v>11461</v>
      </c>
      <c r="G3959" s="17">
        <v>68394</v>
      </c>
    </row>
    <row r="3960" spans="1:7">
      <c r="A3960" s="1" t="s">
        <v>11462</v>
      </c>
      <c r="B3960" s="1" t="s">
        <v>11463</v>
      </c>
      <c r="C3960">
        <f>(1-(B7/100))*47.86</f>
        <v>47.86</v>
      </c>
      <c r="D3960" s="1">
        <v>0</v>
      </c>
      <c r="E3960">
        <f>D3960*C3960</f>
        <v>0</v>
      </c>
      <c r="F3960" s="1" t="s">
        <v>11464</v>
      </c>
      <c r="G3960" s="17">
        <v>68417</v>
      </c>
    </row>
    <row r="3961" spans="1:7">
      <c r="A3961" s="1" t="s">
        <v>11465</v>
      </c>
      <c r="B3961" s="1" t="s">
        <v>11466</v>
      </c>
      <c r="C3961">
        <f>(1-(B7/100))*281.88</f>
        <v>281.88</v>
      </c>
      <c r="D3961" s="1">
        <v>0</v>
      </c>
      <c r="E3961">
        <f>D3961*C3961</f>
        <v>0</v>
      </c>
      <c r="F3961" s="1" t="s">
        <v>11467</v>
      </c>
      <c r="G3961" s="17">
        <v>68428</v>
      </c>
    </row>
    <row r="3962" spans="1:7">
      <c r="A3962" s="1" t="s">
        <v>11468</v>
      </c>
      <c r="B3962" s="1" t="s">
        <v>11469</v>
      </c>
      <c r="C3962">
        <f>(1-(B7/100))*82.66</f>
        <v>82.66</v>
      </c>
      <c r="D3962" s="1">
        <v>0</v>
      </c>
      <c r="E3962">
        <f>D3962*C3962</f>
        <v>0</v>
      </c>
      <c r="F3962" s="1" t="s">
        <v>11470</v>
      </c>
      <c r="G3962" s="17">
        <v>68432</v>
      </c>
    </row>
    <row r="3963" spans="1:7">
      <c r="A3963" s="1" t="s">
        <v>11471</v>
      </c>
      <c r="B3963" s="1" t="s">
        <v>11472</v>
      </c>
      <c r="C3963">
        <f>(1-(B7/100))*185.81</f>
        <v>185.81</v>
      </c>
      <c r="D3963" s="1">
        <v>0</v>
      </c>
      <c r="E3963">
        <f>D3963*C3963</f>
        <v>0</v>
      </c>
      <c r="F3963" s="1" t="s">
        <v>11473</v>
      </c>
      <c r="G3963" s="17">
        <v>68445</v>
      </c>
    </row>
    <row r="3964" spans="1:7">
      <c r="A3964" s="1" t="s">
        <v>11474</v>
      </c>
      <c r="B3964" s="1" t="s">
        <v>11475</v>
      </c>
      <c r="C3964">
        <f>(1-(B7/100))*105.74</f>
        <v>105.74</v>
      </c>
      <c r="D3964" s="1">
        <v>0</v>
      </c>
      <c r="E3964">
        <f>D3964*C3964</f>
        <v>0</v>
      </c>
      <c r="F3964" s="1" t="s">
        <v>11476</v>
      </c>
      <c r="G3964" s="17">
        <v>68447</v>
      </c>
    </row>
    <row r="3965" spans="1:7">
      <c r="A3965" s="1" t="s">
        <v>11477</v>
      </c>
      <c r="B3965" s="1" t="s">
        <v>11478</v>
      </c>
      <c r="C3965">
        <f>(1-(B7/100))*124.91</f>
        <v>124.91</v>
      </c>
      <c r="D3965" s="1">
        <v>0</v>
      </c>
      <c r="E3965">
        <f>D3965*C3965</f>
        <v>0</v>
      </c>
      <c r="F3965" s="1" t="s">
        <v>11479</v>
      </c>
      <c r="G3965" s="17">
        <v>68448</v>
      </c>
    </row>
    <row r="3966" spans="1:7">
      <c r="A3966" s="1" t="s">
        <v>11480</v>
      </c>
      <c r="B3966" s="1" t="s">
        <v>11481</v>
      </c>
      <c r="C3966">
        <f>(1-(B7/100))*257.07</f>
        <v>257.07</v>
      </c>
      <c r="D3966" s="1">
        <v>0</v>
      </c>
      <c r="E3966">
        <f>D3966*C3966</f>
        <v>0</v>
      </c>
      <c r="F3966" s="1" t="s">
        <v>11482</v>
      </c>
      <c r="G3966" s="17">
        <v>68449</v>
      </c>
    </row>
    <row r="3967" spans="1:7">
      <c r="A3967" s="1" t="s">
        <v>11483</v>
      </c>
      <c r="B3967" s="1" t="s">
        <v>11484</v>
      </c>
      <c r="C3967">
        <f>(1-(B7/100))*260.23</f>
        <v>260.23</v>
      </c>
      <c r="D3967" s="1">
        <v>0</v>
      </c>
      <c r="E3967">
        <f>D3967*C3967</f>
        <v>0</v>
      </c>
      <c r="F3967" s="1" t="s">
        <v>11485</v>
      </c>
      <c r="G3967" s="17">
        <v>68460</v>
      </c>
    </row>
    <row r="3968" spans="1:7">
      <c r="A3968" s="1" t="s">
        <v>11486</v>
      </c>
      <c r="B3968" s="1" t="s">
        <v>11487</v>
      </c>
      <c r="C3968">
        <f>(1-(B7/100))*260.23</f>
        <v>260.23</v>
      </c>
      <c r="D3968" s="1">
        <v>0</v>
      </c>
      <c r="E3968">
        <f>D3968*C3968</f>
        <v>0</v>
      </c>
      <c r="F3968" s="1" t="s">
        <v>11488</v>
      </c>
      <c r="G3968" s="17">
        <v>68469</v>
      </c>
    </row>
    <row r="3969" spans="1:7">
      <c r="A3969" s="1" t="s">
        <v>11489</v>
      </c>
      <c r="B3969" s="1" t="s">
        <v>11490</v>
      </c>
      <c r="C3969">
        <f>(1-(B7/100))*270.75</f>
        <v>270.75</v>
      </c>
      <c r="D3969" s="1">
        <v>0</v>
      </c>
      <c r="E3969">
        <f>D3969*C3969</f>
        <v>0</v>
      </c>
      <c r="F3969" s="1" t="s">
        <v>11491</v>
      </c>
      <c r="G3969" s="17">
        <v>68474</v>
      </c>
    </row>
    <row r="3970" spans="1:7">
      <c r="A3970" s="1" t="s">
        <v>11492</v>
      </c>
      <c r="B3970" s="1" t="s">
        <v>11493</v>
      </c>
      <c r="C3970">
        <f>(1-(B7/100))*641.79</f>
        <v>641.79</v>
      </c>
      <c r="D3970" s="1">
        <v>0</v>
      </c>
      <c r="E3970">
        <f>D3970*C3970</f>
        <v>0</v>
      </c>
      <c r="F3970" s="1" t="s">
        <v>11494</v>
      </c>
      <c r="G3970" s="17">
        <v>68475</v>
      </c>
    </row>
    <row r="3971" spans="1:7">
      <c r="A3971" s="1" t="s">
        <v>11495</v>
      </c>
      <c r="B3971" s="1" t="s">
        <v>11496</v>
      </c>
      <c r="C3971">
        <f>(1-(B7/100))*371.53</f>
        <v>371.53</v>
      </c>
      <c r="D3971" s="1">
        <v>0</v>
      </c>
      <c r="E3971">
        <f>D3971*C3971</f>
        <v>0</v>
      </c>
      <c r="F3971" s="1" t="s">
        <v>11497</v>
      </c>
      <c r="G3971" s="17">
        <v>68488</v>
      </c>
    </row>
    <row r="3972" spans="1:7">
      <c r="A3972" s="1" t="s">
        <v>11498</v>
      </c>
      <c r="B3972" s="1" t="s">
        <v>11499</v>
      </c>
      <c r="C3972">
        <f>(1-(B7/100))*260.23</f>
        <v>260.23</v>
      </c>
      <c r="D3972" s="1">
        <v>0</v>
      </c>
      <c r="E3972">
        <f>D3972*C3972</f>
        <v>0</v>
      </c>
      <c r="F3972" s="1" t="s">
        <v>11500</v>
      </c>
      <c r="G3972" s="17">
        <v>68490</v>
      </c>
    </row>
    <row r="3973" spans="1:7">
      <c r="A3973" s="1" t="s">
        <v>11501</v>
      </c>
      <c r="B3973" s="1" t="s">
        <v>11502</v>
      </c>
      <c r="C3973">
        <f>(1-(B7/100))*625.9</f>
        <v>625.9</v>
      </c>
      <c r="D3973" s="1">
        <v>0</v>
      </c>
      <c r="E3973">
        <f>D3973*C3973</f>
        <v>0</v>
      </c>
      <c r="F3973" s="1" t="s">
        <v>11503</v>
      </c>
      <c r="G3973" s="17">
        <v>68494</v>
      </c>
    </row>
    <row r="3974" spans="1:7">
      <c r="A3974" s="1" t="s">
        <v>11504</v>
      </c>
      <c r="B3974" s="1" t="s">
        <v>11505</v>
      </c>
      <c r="C3974">
        <f>(1-(B7/100))*270.8</f>
        <v>270.8</v>
      </c>
      <c r="D3974" s="1">
        <v>0</v>
      </c>
      <c r="E3974">
        <f>D3974*C3974</f>
        <v>0</v>
      </c>
      <c r="F3974" s="1" t="s">
        <v>11506</v>
      </c>
      <c r="G3974" s="17">
        <v>68496</v>
      </c>
    </row>
    <row r="3975" spans="1:7">
      <c r="A3975" s="1" t="s">
        <v>11507</v>
      </c>
      <c r="B3975" s="1" t="s">
        <v>11508</v>
      </c>
      <c r="C3975">
        <f>(1-(B7/100))*611.76</f>
        <v>611.76</v>
      </c>
      <c r="D3975" s="1">
        <v>0</v>
      </c>
      <c r="E3975">
        <f>D3975*C3975</f>
        <v>0</v>
      </c>
      <c r="F3975" s="1" t="s">
        <v>11509</v>
      </c>
      <c r="G3975" s="17">
        <v>68509</v>
      </c>
    </row>
    <row r="3976" spans="1:7">
      <c r="A3976" s="1" t="s">
        <v>11510</v>
      </c>
      <c r="B3976" s="1" t="s">
        <v>11511</v>
      </c>
      <c r="C3976">
        <f>(1-(B7/100))*339.52</f>
        <v>339.52</v>
      </c>
      <c r="D3976" s="1">
        <v>0</v>
      </c>
      <c r="E3976">
        <f>D3976*C3976</f>
        <v>0</v>
      </c>
      <c r="F3976" s="1" t="s">
        <v>11512</v>
      </c>
      <c r="G3976" s="17">
        <v>68514</v>
      </c>
    </row>
    <row r="3977" spans="1:7">
      <c r="A3977" s="1" t="s">
        <v>11513</v>
      </c>
      <c r="B3977" s="1" t="s">
        <v>11514</v>
      </c>
      <c r="C3977">
        <f>(1-(B7/100))*291.67</f>
        <v>291.67</v>
      </c>
      <c r="D3977" s="1">
        <v>0</v>
      </c>
      <c r="E3977">
        <f>D3977*C3977</f>
        <v>0</v>
      </c>
      <c r="F3977" s="1" t="s">
        <v>11515</v>
      </c>
      <c r="G3977" s="17">
        <v>68525</v>
      </c>
    </row>
    <row r="3978" spans="1:7">
      <c r="A3978" s="1" t="s">
        <v>11516</v>
      </c>
      <c r="B3978" s="1" t="s">
        <v>11517</v>
      </c>
      <c r="C3978">
        <f>(1-(B7/100))*245.18</f>
        <v>245.18</v>
      </c>
      <c r="D3978" s="1">
        <v>0</v>
      </c>
      <c r="E3978">
        <f>D3978*C3978</f>
        <v>0</v>
      </c>
      <c r="F3978" s="1" t="s">
        <v>11518</v>
      </c>
      <c r="G3978" s="17">
        <v>68554</v>
      </c>
    </row>
    <row r="3979" spans="1:7">
      <c r="A3979" s="1" t="s">
        <v>11519</v>
      </c>
      <c r="B3979" s="1" t="s">
        <v>11520</v>
      </c>
      <c r="C3979">
        <f>(1-(B7/100))*159.06</f>
        <v>159.06</v>
      </c>
      <c r="D3979" s="1">
        <v>0</v>
      </c>
      <c r="E3979">
        <f>D3979*C3979</f>
        <v>0</v>
      </c>
      <c r="F3979" s="1" t="s">
        <v>11521</v>
      </c>
      <c r="G3979" s="17">
        <v>68561</v>
      </c>
    </row>
    <row r="3980" spans="1:7">
      <c r="A3980" s="1" t="s">
        <v>11522</v>
      </c>
      <c r="B3980" s="1" t="s">
        <v>11523</v>
      </c>
      <c r="C3980">
        <f>(1-(B7/100))*92.78</f>
        <v>92.78</v>
      </c>
      <c r="D3980" s="1">
        <v>0</v>
      </c>
      <c r="E3980">
        <f>D3980*C3980</f>
        <v>0</v>
      </c>
      <c r="F3980" s="1" t="s">
        <v>11524</v>
      </c>
      <c r="G3980" s="17">
        <v>68577</v>
      </c>
    </row>
    <row r="3981" spans="1:7">
      <c r="A3981" s="1" t="s">
        <v>11525</v>
      </c>
      <c r="B3981" s="1" t="s">
        <v>11526</v>
      </c>
      <c r="C3981">
        <f>(1-(B7/100))*263.29</f>
        <v>263.29</v>
      </c>
      <c r="D3981" s="1">
        <v>0</v>
      </c>
      <c r="E3981">
        <f>D3981*C3981</f>
        <v>0</v>
      </c>
      <c r="F3981" s="1" t="s">
        <v>11527</v>
      </c>
      <c r="G3981" s="17">
        <v>68600</v>
      </c>
    </row>
    <row r="3982" spans="1:7">
      <c r="A3982" s="1" t="s">
        <v>11528</v>
      </c>
      <c r="B3982" s="1" t="s">
        <v>11529</v>
      </c>
      <c r="C3982">
        <f>(1-(B7/100))*136.82</f>
        <v>136.82</v>
      </c>
      <c r="D3982" s="1">
        <v>0</v>
      </c>
      <c r="E3982">
        <f>D3982*C3982</f>
        <v>0</v>
      </c>
      <c r="F3982" s="1" t="s">
        <v>11530</v>
      </c>
      <c r="G3982" s="17">
        <v>68606</v>
      </c>
    </row>
    <row r="3983" spans="1:7">
      <c r="A3983" s="1" t="s">
        <v>11531</v>
      </c>
      <c r="B3983" s="1" t="s">
        <v>11532</v>
      </c>
      <c r="C3983">
        <f>(1-(B7/100))*28.02</f>
        <v>28.02</v>
      </c>
      <c r="D3983" s="1">
        <v>0</v>
      </c>
      <c r="E3983">
        <f>D3983*C3983</f>
        <v>0</v>
      </c>
      <c r="F3983" s="1" t="s">
        <v>11533</v>
      </c>
      <c r="G3983" s="17">
        <v>68624</v>
      </c>
    </row>
    <row r="3984" spans="1:7">
      <c r="A3984" s="1" t="s">
        <v>11534</v>
      </c>
      <c r="B3984" s="1" t="s">
        <v>11535</v>
      </c>
      <c r="C3984">
        <f>(1-(B7/100))*19.82</f>
        <v>19.82</v>
      </c>
      <c r="D3984" s="1">
        <v>0</v>
      </c>
      <c r="E3984">
        <f>D3984*C3984</f>
        <v>0</v>
      </c>
      <c r="F3984" s="1" t="s">
        <v>11536</v>
      </c>
      <c r="G3984" s="17">
        <v>68627</v>
      </c>
    </row>
    <row r="3985" spans="1:7">
      <c r="A3985" s="1" t="s">
        <v>11537</v>
      </c>
      <c r="B3985" s="1" t="s">
        <v>11538</v>
      </c>
      <c r="C3985">
        <f>(1-(B7/100))*14.3</f>
        <v>14.3</v>
      </c>
      <c r="D3985" s="1">
        <v>0</v>
      </c>
      <c r="E3985">
        <f>D3985*C3985</f>
        <v>0</v>
      </c>
      <c r="F3985" s="1" t="s">
        <v>11539</v>
      </c>
      <c r="G3985" s="17">
        <v>68628</v>
      </c>
    </row>
    <row r="3986" spans="1:7">
      <c r="A3986" s="1" t="s">
        <v>11540</v>
      </c>
      <c r="B3986" s="1" t="s">
        <v>11541</v>
      </c>
      <c r="C3986">
        <f>(1-(B7/100))*26.61</f>
        <v>26.61</v>
      </c>
      <c r="D3986" s="1">
        <v>0</v>
      </c>
      <c r="E3986">
        <f>D3986*C3986</f>
        <v>0</v>
      </c>
      <c r="F3986" s="1" t="s">
        <v>11542</v>
      </c>
      <c r="G3986" s="17">
        <v>68637</v>
      </c>
    </row>
    <row r="3987" spans="1:7">
      <c r="A3987" s="1" t="s">
        <v>11543</v>
      </c>
      <c r="B3987" s="1" t="s">
        <v>11544</v>
      </c>
      <c r="C3987">
        <f>(1-(B7/100))*52.52</f>
        <v>52.52</v>
      </c>
      <c r="D3987" s="1">
        <v>0</v>
      </c>
      <c r="E3987">
        <f>D3987*C3987</f>
        <v>0</v>
      </c>
      <c r="F3987" s="1" t="s">
        <v>11545</v>
      </c>
      <c r="G3987" s="17">
        <v>68644</v>
      </c>
    </row>
    <row r="3988" spans="1:7">
      <c r="A3988" s="1" t="s">
        <v>11546</v>
      </c>
      <c r="B3988" s="1" t="s">
        <v>11547</v>
      </c>
      <c r="C3988">
        <f>(1-(B7/100))*67.66</f>
        <v>67.66</v>
      </c>
      <c r="D3988" s="1">
        <v>0</v>
      </c>
      <c r="E3988">
        <f>D3988*C3988</f>
        <v>0</v>
      </c>
      <c r="F3988" s="1" t="s">
        <v>11548</v>
      </c>
      <c r="G3988" s="17">
        <v>68647</v>
      </c>
    </row>
    <row r="3989" spans="1:7">
      <c r="A3989" s="1" t="s">
        <v>11549</v>
      </c>
      <c r="B3989" s="1" t="s">
        <v>11550</v>
      </c>
      <c r="C3989">
        <f>(1-(B7/100))*99.93</f>
        <v>99.93</v>
      </c>
      <c r="D3989" s="1">
        <v>0</v>
      </c>
      <c r="E3989">
        <f>D3989*C3989</f>
        <v>0</v>
      </c>
      <c r="F3989" s="1" t="s">
        <v>11551</v>
      </c>
      <c r="G3989" s="17">
        <v>68662</v>
      </c>
    </row>
    <row r="3990" spans="1:7">
      <c r="A3990" s="1" t="s">
        <v>11552</v>
      </c>
      <c r="B3990" s="1" t="s">
        <v>11553</v>
      </c>
      <c r="C3990">
        <f>(1-(B7/100))*55.76</f>
        <v>55.76</v>
      </c>
      <c r="D3990" s="1">
        <v>0</v>
      </c>
      <c r="E3990">
        <f>D3990*C3990</f>
        <v>0</v>
      </c>
      <c r="F3990" s="1" t="s">
        <v>11554</v>
      </c>
      <c r="G3990" s="17">
        <v>68663</v>
      </c>
    </row>
    <row r="3991" spans="1:7">
      <c r="A3991" s="1" t="s">
        <v>11555</v>
      </c>
      <c r="B3991" s="1" t="s">
        <v>11556</v>
      </c>
      <c r="C3991">
        <f>(1-(B7/100))*47.88</f>
        <v>47.88</v>
      </c>
      <c r="D3991" s="1">
        <v>0</v>
      </c>
      <c r="E3991">
        <f>D3991*C3991</f>
        <v>0</v>
      </c>
      <c r="F3991" s="1" t="s">
        <v>11557</v>
      </c>
      <c r="G3991" s="17">
        <v>68666</v>
      </c>
    </row>
    <row r="3992" spans="1:7">
      <c r="A3992" s="1" t="s">
        <v>11558</v>
      </c>
      <c r="B3992" s="1" t="s">
        <v>11559</v>
      </c>
      <c r="C3992">
        <f>(1-(B7/100))*53.93</f>
        <v>53.93</v>
      </c>
      <c r="D3992" s="1">
        <v>0</v>
      </c>
      <c r="E3992">
        <f>D3992*C3992</f>
        <v>0</v>
      </c>
      <c r="F3992" s="1" t="s">
        <v>11560</v>
      </c>
      <c r="G3992" s="17">
        <v>68670</v>
      </c>
    </row>
    <row r="3993" spans="1:7">
      <c r="A3993" s="1" t="s">
        <v>11561</v>
      </c>
      <c r="B3993" s="1" t="s">
        <v>11562</v>
      </c>
      <c r="C3993">
        <f>(1-(B7/100))*23.94</f>
        <v>23.94</v>
      </c>
      <c r="D3993" s="1">
        <v>0</v>
      </c>
      <c r="E3993">
        <f>D3993*C3993</f>
        <v>0</v>
      </c>
      <c r="F3993" s="1" t="s">
        <v>11563</v>
      </c>
      <c r="G3993" s="17">
        <v>68675</v>
      </c>
    </row>
    <row r="3994" spans="1:7">
      <c r="A3994" s="1" t="s">
        <v>11564</v>
      </c>
      <c r="B3994" s="1" t="s">
        <v>11565</v>
      </c>
      <c r="C3994">
        <f>(1-(B7/100))*394.63</f>
        <v>394.63</v>
      </c>
      <c r="D3994" s="1">
        <v>0</v>
      </c>
      <c r="E3994">
        <f>D3994*C3994</f>
        <v>0</v>
      </c>
      <c r="F3994" s="1" t="s">
        <v>11566</v>
      </c>
      <c r="G3994" s="17">
        <v>68688</v>
      </c>
    </row>
    <row r="3995" spans="1:7">
      <c r="A3995" s="1" t="s">
        <v>11567</v>
      </c>
      <c r="B3995" s="1" t="s">
        <v>11568</v>
      </c>
      <c r="C3995">
        <f>(1-(B7/100))*45.6</f>
        <v>45.6</v>
      </c>
      <c r="D3995" s="1">
        <v>0</v>
      </c>
      <c r="E3995">
        <f>D3995*C3995</f>
        <v>0</v>
      </c>
      <c r="F3995" s="1" t="s">
        <v>11569</v>
      </c>
      <c r="G3995" s="17">
        <v>68697</v>
      </c>
    </row>
    <row r="3996" spans="1:7">
      <c r="A3996" s="1" t="s">
        <v>11570</v>
      </c>
      <c r="B3996" s="1" t="s">
        <v>11571</v>
      </c>
      <c r="C3996">
        <f>(1-(B7/100))*64.34</f>
        <v>64.34</v>
      </c>
      <c r="D3996" s="1">
        <v>0</v>
      </c>
      <c r="E3996">
        <f>D3996*C3996</f>
        <v>0</v>
      </c>
      <c r="F3996" s="1" t="s">
        <v>11572</v>
      </c>
      <c r="G3996" s="17">
        <v>68700</v>
      </c>
    </row>
    <row r="3997" spans="1:7">
      <c r="A3997" s="1" t="s">
        <v>11573</v>
      </c>
      <c r="B3997" s="1" t="s">
        <v>11574</v>
      </c>
      <c r="C3997">
        <f>(1-(B7/100))*64.34</f>
        <v>64.34</v>
      </c>
      <c r="D3997" s="1">
        <v>0</v>
      </c>
      <c r="E3997">
        <f>D3997*C3997</f>
        <v>0</v>
      </c>
      <c r="F3997" s="1" t="s">
        <v>11575</v>
      </c>
      <c r="G3997" s="17">
        <v>68702</v>
      </c>
    </row>
    <row r="3998" spans="1:7">
      <c r="A3998" s="1" t="s">
        <v>11576</v>
      </c>
      <c r="B3998" s="1" t="s">
        <v>11577</v>
      </c>
      <c r="C3998">
        <f>(1-(B7/100))*42.78</f>
        <v>42.78</v>
      </c>
      <c r="D3998" s="1">
        <v>0</v>
      </c>
      <c r="E3998">
        <f>D3998*C3998</f>
        <v>0</v>
      </c>
      <c r="F3998" s="1" t="s">
        <v>11578</v>
      </c>
      <c r="G3998" s="17">
        <v>68707</v>
      </c>
    </row>
    <row r="3999" spans="1:7">
      <c r="A3999" s="1" t="s">
        <v>11579</v>
      </c>
      <c r="B3999" s="1" t="s">
        <v>11580</v>
      </c>
      <c r="C3999">
        <f>(1-(B7/100))*494.44</f>
        <v>494.44</v>
      </c>
      <c r="D3999" s="1">
        <v>0</v>
      </c>
      <c r="E3999">
        <f>D3999*C3999</f>
        <v>0</v>
      </c>
      <c r="F3999" s="1" t="s">
        <v>11581</v>
      </c>
      <c r="G3999" s="17">
        <v>68735</v>
      </c>
    </row>
    <row r="4000" spans="1:7">
      <c r="A4000" s="1" t="s">
        <v>11582</v>
      </c>
      <c r="B4000" s="1" t="s">
        <v>11583</v>
      </c>
      <c r="C4000">
        <f>(1-(B7/100))*281.53</f>
        <v>281.53</v>
      </c>
      <c r="D4000" s="1">
        <v>0</v>
      </c>
      <c r="E4000">
        <f>D4000*C4000</f>
        <v>0</v>
      </c>
      <c r="F4000" s="1" t="s">
        <v>11584</v>
      </c>
      <c r="G4000" s="17">
        <v>68763</v>
      </c>
    </row>
    <row r="4001" spans="1:7">
      <c r="A4001" s="1" t="s">
        <v>11585</v>
      </c>
      <c r="B4001" s="1" t="s">
        <v>11586</v>
      </c>
      <c r="C4001">
        <f>(1-(B7/100))*135.44</f>
        <v>135.44</v>
      </c>
      <c r="D4001" s="1">
        <v>0</v>
      </c>
      <c r="E4001">
        <f>D4001*C4001</f>
        <v>0</v>
      </c>
      <c r="F4001" s="1" t="s">
        <v>11587</v>
      </c>
      <c r="G4001" s="17">
        <v>68772</v>
      </c>
    </row>
    <row r="4002" spans="1:7">
      <c r="A4002" s="1" t="s">
        <v>11588</v>
      </c>
      <c r="B4002" s="1" t="s">
        <v>11589</v>
      </c>
      <c r="C4002">
        <f>(1-(B7/100))*165.44</f>
        <v>165.44</v>
      </c>
      <c r="D4002" s="1">
        <v>0</v>
      </c>
      <c r="E4002">
        <f>D4002*C4002</f>
        <v>0</v>
      </c>
      <c r="F4002" s="1" t="s">
        <v>11590</v>
      </c>
      <c r="G4002" s="17">
        <v>68775</v>
      </c>
    </row>
    <row r="4003" spans="1:7">
      <c r="A4003" s="1" t="s">
        <v>11591</v>
      </c>
      <c r="B4003" s="1" t="s">
        <v>11592</v>
      </c>
      <c r="C4003">
        <f>(1-(B7/100))*136.87</f>
        <v>136.87</v>
      </c>
      <c r="D4003" s="1">
        <v>0</v>
      </c>
      <c r="E4003">
        <f>D4003*C4003</f>
        <v>0</v>
      </c>
      <c r="F4003" s="1" t="s">
        <v>11593</v>
      </c>
      <c r="G4003" s="17">
        <v>68777</v>
      </c>
    </row>
    <row r="4004" spans="1:7">
      <c r="A4004" s="1" t="s">
        <v>11594</v>
      </c>
      <c r="B4004" s="1" t="s">
        <v>11595</v>
      </c>
      <c r="C4004">
        <f>(1-(B7/100))*156.14</f>
        <v>156.14</v>
      </c>
      <c r="D4004" s="1">
        <v>0</v>
      </c>
      <c r="E4004">
        <f>D4004*C4004</f>
        <v>0</v>
      </c>
      <c r="F4004" s="1" t="s">
        <v>11596</v>
      </c>
      <c r="G4004" s="17">
        <v>68810</v>
      </c>
    </row>
    <row r="4005" spans="1:7">
      <c r="A4005" s="1" t="s">
        <v>11597</v>
      </c>
      <c r="B4005" s="1" t="s">
        <v>11598</v>
      </c>
      <c r="C4005">
        <f>(1-(B7/100))*395.55</f>
        <v>395.55</v>
      </c>
      <c r="D4005" s="1">
        <v>0</v>
      </c>
      <c r="E4005">
        <f>D4005*C4005</f>
        <v>0</v>
      </c>
      <c r="F4005" s="1" t="s">
        <v>11599</v>
      </c>
      <c r="G4005" s="17">
        <v>68811</v>
      </c>
    </row>
    <row r="4006" spans="1:7">
      <c r="A4006" s="1" t="s">
        <v>11600</v>
      </c>
      <c r="B4006" s="1" t="s">
        <v>11601</v>
      </c>
      <c r="C4006">
        <f>(1-(B7/100))*321.4</f>
        <v>321.4</v>
      </c>
      <c r="D4006" s="1">
        <v>0</v>
      </c>
      <c r="E4006">
        <f>D4006*C4006</f>
        <v>0</v>
      </c>
      <c r="F4006" s="1" t="s">
        <v>11602</v>
      </c>
      <c r="G4006" s="17">
        <v>68827</v>
      </c>
    </row>
    <row r="4007" spans="1:7">
      <c r="A4007" s="1" t="s">
        <v>11603</v>
      </c>
      <c r="B4007" s="1" t="s">
        <v>11604</v>
      </c>
      <c r="C4007">
        <f>(1-(B7/100))*309.28</f>
        <v>309.28</v>
      </c>
      <c r="D4007" s="1">
        <v>0</v>
      </c>
      <c r="E4007">
        <f>D4007*C4007</f>
        <v>0</v>
      </c>
      <c r="F4007" s="1" t="s">
        <v>11605</v>
      </c>
      <c r="G4007" s="17">
        <v>68828</v>
      </c>
    </row>
    <row r="4008" spans="1:7">
      <c r="A4008" s="1" t="s">
        <v>11606</v>
      </c>
      <c r="B4008" s="1" t="s">
        <v>11607</v>
      </c>
      <c r="C4008">
        <f>(1-(B7/100))*319.58</f>
        <v>319.58</v>
      </c>
      <c r="D4008" s="1">
        <v>0</v>
      </c>
      <c r="E4008">
        <f>D4008*C4008</f>
        <v>0</v>
      </c>
      <c r="F4008" s="1" t="s">
        <v>11608</v>
      </c>
      <c r="G4008" s="17">
        <v>68831</v>
      </c>
    </row>
    <row r="4009" spans="1:7">
      <c r="A4009" s="1" t="s">
        <v>11609</v>
      </c>
      <c r="B4009" s="1" t="s">
        <v>11610</v>
      </c>
      <c r="C4009">
        <f>(1-(B7/100))*309.28</f>
        <v>309.28</v>
      </c>
      <c r="D4009" s="1">
        <v>0</v>
      </c>
      <c r="E4009">
        <f>D4009*C4009</f>
        <v>0</v>
      </c>
      <c r="F4009" s="1" t="s">
        <v>11611</v>
      </c>
      <c r="G4009" s="17">
        <v>68846</v>
      </c>
    </row>
    <row r="4010" spans="1:7">
      <c r="A4010" s="1" t="s">
        <v>11612</v>
      </c>
      <c r="B4010" s="1" t="s">
        <v>11613</v>
      </c>
      <c r="C4010">
        <f>(1-(B7/100))*341.58</f>
        <v>341.58</v>
      </c>
      <c r="D4010" s="1">
        <v>0</v>
      </c>
      <c r="E4010">
        <f>D4010*C4010</f>
        <v>0</v>
      </c>
      <c r="F4010" s="1" t="s">
        <v>11614</v>
      </c>
      <c r="G4010" s="17">
        <v>68851</v>
      </c>
    </row>
    <row r="4011" spans="1:7">
      <c r="A4011" s="1" t="s">
        <v>11615</v>
      </c>
      <c r="B4011" s="1" t="s">
        <v>11616</v>
      </c>
      <c r="C4011">
        <f>(1-(B7/100))*478.71</f>
        <v>478.71</v>
      </c>
      <c r="D4011" s="1">
        <v>0</v>
      </c>
      <c r="E4011">
        <f>D4011*C4011</f>
        <v>0</v>
      </c>
      <c r="F4011" s="1" t="s">
        <v>11617</v>
      </c>
      <c r="G4011" s="17">
        <v>68875</v>
      </c>
    </row>
    <row r="4012" spans="1:7">
      <c r="A4012" s="1" t="s">
        <v>11618</v>
      </c>
      <c r="B4012" s="1" t="s">
        <v>11619</v>
      </c>
      <c r="C4012">
        <f>(1-(B7/100))*67.69</f>
        <v>67.69</v>
      </c>
      <c r="D4012" s="1">
        <v>0</v>
      </c>
      <c r="E4012">
        <f>D4012*C4012</f>
        <v>0</v>
      </c>
      <c r="F4012" s="1" t="s">
        <v>11620</v>
      </c>
      <c r="G4012" s="17">
        <v>68895</v>
      </c>
    </row>
    <row r="4013" spans="1:7">
      <c r="A4013" s="1" t="s">
        <v>11621</v>
      </c>
      <c r="B4013" s="1" t="s">
        <v>11622</v>
      </c>
      <c r="C4013">
        <f>(1-(B7/100))*112.75</f>
        <v>112.75</v>
      </c>
      <c r="D4013" s="1">
        <v>0</v>
      </c>
      <c r="E4013">
        <f>D4013*C4013</f>
        <v>0</v>
      </c>
      <c r="F4013" s="1" t="s">
        <v>11623</v>
      </c>
      <c r="G4013" s="17">
        <v>69075</v>
      </c>
    </row>
    <row r="4014" spans="1:7">
      <c r="A4014" s="1" t="s">
        <v>11624</v>
      </c>
      <c r="B4014" s="1" t="s">
        <v>11625</v>
      </c>
      <c r="C4014">
        <f>(1-(B7/100))*180.65</f>
        <v>180.65</v>
      </c>
      <c r="D4014" s="1">
        <v>0</v>
      </c>
      <c r="E4014">
        <f>D4014*C4014</f>
        <v>0</v>
      </c>
      <c r="F4014" s="1" t="s">
        <v>11626</v>
      </c>
      <c r="G4014" s="17">
        <v>69108</v>
      </c>
    </row>
    <row r="4015" spans="1:7">
      <c r="A4015" s="1" t="s">
        <v>11627</v>
      </c>
      <c r="B4015" s="1" t="s">
        <v>11628</v>
      </c>
      <c r="C4015">
        <f>(1-(B7/100))*911.83</f>
        <v>911.83</v>
      </c>
      <c r="D4015" s="1">
        <v>0</v>
      </c>
      <c r="E4015">
        <f>D4015*C4015</f>
        <v>0</v>
      </c>
      <c r="F4015" s="1" t="s">
        <v>11629</v>
      </c>
      <c r="G4015" s="17">
        <v>69264</v>
      </c>
    </row>
    <row r="4016" spans="1:7">
      <c r="A4016" s="1" t="s">
        <v>11630</v>
      </c>
      <c r="B4016" s="1" t="s">
        <v>11631</v>
      </c>
      <c r="C4016">
        <f>(1-(B7/100))*911.83</f>
        <v>911.83</v>
      </c>
      <c r="D4016" s="1">
        <v>0</v>
      </c>
      <c r="E4016">
        <f>D4016*C4016</f>
        <v>0</v>
      </c>
      <c r="F4016" s="1" t="s">
        <v>11632</v>
      </c>
      <c r="G4016" s="17">
        <v>69267</v>
      </c>
    </row>
    <row r="4017" spans="1:7">
      <c r="A4017" s="1" t="s">
        <v>11633</v>
      </c>
      <c r="B4017" s="1" t="s">
        <v>11634</v>
      </c>
      <c r="C4017">
        <f>(1-(B7/100))*911.83</f>
        <v>911.83</v>
      </c>
      <c r="D4017" s="1">
        <v>0</v>
      </c>
      <c r="E4017">
        <f>D4017*C4017</f>
        <v>0</v>
      </c>
      <c r="F4017" s="1" t="s">
        <v>11635</v>
      </c>
      <c r="G4017" s="17">
        <v>69269</v>
      </c>
    </row>
    <row r="4018" spans="1:7">
      <c r="A4018" s="1" t="s">
        <v>11636</v>
      </c>
      <c r="B4018" s="1" t="s">
        <v>11637</v>
      </c>
      <c r="C4018">
        <f>(1-(B7/100))*721.83</f>
        <v>721.83</v>
      </c>
      <c r="D4018" s="1">
        <v>0</v>
      </c>
      <c r="E4018">
        <f>D4018*C4018</f>
        <v>0</v>
      </c>
      <c r="F4018" s="1" t="s">
        <v>16</v>
      </c>
      <c r="G4018" s="17">
        <v>70245</v>
      </c>
    </row>
    <row r="4019" spans="1:7">
      <c r="A4019" s="1" t="s">
        <v>11638</v>
      </c>
      <c r="B4019" s="1" t="s">
        <v>11639</v>
      </c>
      <c r="C4019">
        <f>(1-(B7/100))*2195.98</f>
        <v>2195.98</v>
      </c>
      <c r="D4019" s="1">
        <v>0</v>
      </c>
      <c r="E4019">
        <f>D4019*C4019</f>
        <v>0</v>
      </c>
      <c r="F4019" s="1" t="s">
        <v>11640</v>
      </c>
      <c r="G4019" s="17">
        <v>70406</v>
      </c>
    </row>
    <row r="4020" spans="1:7">
      <c r="A4020" s="1" t="s">
        <v>11641</v>
      </c>
      <c r="B4020" s="1" t="s">
        <v>11642</v>
      </c>
      <c r="C4020">
        <f>(1-(B7/100))*5100</f>
        <v>5100</v>
      </c>
      <c r="D4020" s="1">
        <v>0</v>
      </c>
      <c r="E4020">
        <f>D4020*C4020</f>
        <v>0</v>
      </c>
      <c r="F4020" s="1" t="s">
        <v>11643</v>
      </c>
      <c r="G4020" s="17">
        <v>70649</v>
      </c>
    </row>
    <row r="4021" spans="1:7">
      <c r="A4021" s="1" t="s">
        <v>11644</v>
      </c>
      <c r="B4021" s="1" t="s">
        <v>11645</v>
      </c>
      <c r="C4021">
        <f>(1-(B7/100))*5386.94</f>
        <v>5386.94</v>
      </c>
      <c r="D4021" s="1">
        <v>0</v>
      </c>
      <c r="E4021">
        <f>D4021*C4021</f>
        <v>0</v>
      </c>
      <c r="F4021" s="1" t="s">
        <v>11646</v>
      </c>
      <c r="G4021" s="17">
        <v>70650</v>
      </c>
    </row>
    <row r="4022" spans="1:7">
      <c r="A4022" s="1" t="s">
        <v>11647</v>
      </c>
      <c r="B4022" s="1" t="s">
        <v>11648</v>
      </c>
      <c r="C4022">
        <f>(1-(B7/100))*3851.45</f>
        <v>3851.45</v>
      </c>
      <c r="D4022" s="1">
        <v>0</v>
      </c>
      <c r="E4022">
        <f>D4022*C4022</f>
        <v>0</v>
      </c>
      <c r="F4022" s="1" t="s">
        <v>11649</v>
      </c>
      <c r="G4022" s="17">
        <v>70665</v>
      </c>
    </row>
    <row r="4023" spans="1:7">
      <c r="A4023" s="1" t="s">
        <v>11650</v>
      </c>
      <c r="B4023" s="1" t="s">
        <v>11651</v>
      </c>
      <c r="C4023">
        <f>(1-(B7/100))*1416.94</f>
        <v>1416.94</v>
      </c>
      <c r="D4023" s="1">
        <v>0</v>
      </c>
      <c r="E4023">
        <f>D4023*C4023</f>
        <v>0</v>
      </c>
      <c r="F4023" s="1" t="s">
        <v>16</v>
      </c>
      <c r="G4023" s="17">
        <v>70761</v>
      </c>
    </row>
    <row r="4024" spans="1:7">
      <c r="A4024" s="1" t="s">
        <v>11652</v>
      </c>
      <c r="B4024" s="1" t="s">
        <v>10989</v>
      </c>
      <c r="C4024">
        <f>(1-(B7/100))*85.11</f>
        <v>85.11</v>
      </c>
      <c r="D4024" s="1">
        <v>0</v>
      </c>
      <c r="E4024">
        <f>D4024*C4024</f>
        <v>0</v>
      </c>
      <c r="F4024" s="1" t="s">
        <v>11653</v>
      </c>
      <c r="G4024" s="17">
        <v>70792</v>
      </c>
    </row>
    <row r="4025" spans="1:7">
      <c r="A4025" s="1" t="s">
        <v>11654</v>
      </c>
      <c r="B4025" s="1" t="s">
        <v>11655</v>
      </c>
      <c r="C4025">
        <f>(1-(B7/100))*1145.03</f>
        <v>1145.03</v>
      </c>
      <c r="D4025" s="1">
        <v>0</v>
      </c>
      <c r="E4025">
        <f>D4025*C4025</f>
        <v>0</v>
      </c>
      <c r="F4025" s="1" t="s">
        <v>11656</v>
      </c>
      <c r="G4025" s="17">
        <v>70800</v>
      </c>
    </row>
    <row r="4026" spans="1:7">
      <c r="A4026" s="1" t="s">
        <v>11657</v>
      </c>
      <c r="B4026" s="1" t="s">
        <v>11658</v>
      </c>
      <c r="C4026">
        <f>(1-(B7/100))*1295.07</f>
        <v>1295.07</v>
      </c>
      <c r="D4026" s="1">
        <v>0</v>
      </c>
      <c r="E4026">
        <f>D4026*C4026</f>
        <v>0</v>
      </c>
      <c r="F4026" s="1" t="s">
        <v>11659</v>
      </c>
      <c r="G4026" s="17">
        <v>71017</v>
      </c>
    </row>
    <row r="4027" spans="1:7">
      <c r="A4027" s="1" t="s">
        <v>11660</v>
      </c>
      <c r="B4027" s="1" t="s">
        <v>11661</v>
      </c>
      <c r="C4027">
        <f>(1-(B7/100))*125</f>
        <v>125</v>
      </c>
      <c r="D4027" s="1">
        <v>0</v>
      </c>
      <c r="E4027">
        <f>D4027*C4027</f>
        <v>0</v>
      </c>
      <c r="F4027" s="1" t="s">
        <v>11662</v>
      </c>
      <c r="G4027" s="17">
        <v>71061</v>
      </c>
    </row>
    <row r="4028" spans="1:7">
      <c r="A4028" s="1" t="s">
        <v>11663</v>
      </c>
      <c r="B4028" s="1" t="s">
        <v>11664</v>
      </c>
      <c r="C4028">
        <f>(1-(B7/100))*851.01</f>
        <v>851.01</v>
      </c>
      <c r="D4028" s="1">
        <v>0</v>
      </c>
      <c r="E4028">
        <f>D4028*C4028</f>
        <v>0</v>
      </c>
      <c r="F4028" s="1" t="s">
        <v>11665</v>
      </c>
      <c r="G4028" s="17">
        <v>71077</v>
      </c>
    </row>
    <row r="4029" spans="1:7">
      <c r="A4029" s="1" t="s">
        <v>11666</v>
      </c>
      <c r="B4029" s="1" t="s">
        <v>11667</v>
      </c>
      <c r="C4029">
        <f>(1-(B7/100))*31.44</f>
        <v>31.44</v>
      </c>
      <c r="D4029" s="1">
        <v>0</v>
      </c>
      <c r="E4029">
        <f>D4029*C4029</f>
        <v>0</v>
      </c>
      <c r="F4029" s="1" t="s">
        <v>11668</v>
      </c>
      <c r="G4029" s="17">
        <v>71098</v>
      </c>
    </row>
    <row r="4030" spans="1:7">
      <c r="A4030" s="1" t="s">
        <v>11669</v>
      </c>
      <c r="B4030" s="1" t="s">
        <v>11670</v>
      </c>
      <c r="C4030">
        <f>(1-(B7/100))*468.42</f>
        <v>468.42</v>
      </c>
      <c r="D4030" s="1">
        <v>0</v>
      </c>
      <c r="E4030">
        <f>D4030*C4030</f>
        <v>0</v>
      </c>
      <c r="F4030" s="1" t="s">
        <v>11671</v>
      </c>
      <c r="G4030" s="17">
        <v>71115</v>
      </c>
    </row>
    <row r="4031" spans="1:7">
      <c r="A4031" s="1" t="s">
        <v>11672</v>
      </c>
      <c r="B4031" s="1" t="s">
        <v>11673</v>
      </c>
      <c r="C4031">
        <f>(1-(B7/100))*1040.93</f>
        <v>1040.93</v>
      </c>
      <c r="D4031" s="1">
        <v>0</v>
      </c>
      <c r="E4031">
        <f>D4031*C4031</f>
        <v>0</v>
      </c>
      <c r="F4031" s="1" t="s">
        <v>16</v>
      </c>
      <c r="G4031" s="17">
        <v>71378</v>
      </c>
    </row>
    <row r="4032" spans="1:7">
      <c r="A4032" s="1" t="s">
        <v>11674</v>
      </c>
      <c r="B4032" s="1" t="s">
        <v>11675</v>
      </c>
      <c r="C4032">
        <f>(1-(B7/100))*1770.26</f>
        <v>1770.26</v>
      </c>
      <c r="D4032" s="1">
        <v>0</v>
      </c>
      <c r="E4032">
        <f>D4032*C4032</f>
        <v>0</v>
      </c>
      <c r="F4032" s="1" t="s">
        <v>11676</v>
      </c>
      <c r="G4032" s="17">
        <v>71490</v>
      </c>
    </row>
    <row r="4033" spans="1:7">
      <c r="A4033" s="1" t="s">
        <v>11677</v>
      </c>
      <c r="B4033" s="1" t="s">
        <v>11678</v>
      </c>
      <c r="C4033">
        <f>(1-(B7/100))*1649.85</f>
        <v>1649.85</v>
      </c>
      <c r="D4033" s="1">
        <v>0</v>
      </c>
      <c r="E4033">
        <f>D4033*C4033</f>
        <v>0</v>
      </c>
      <c r="F4033" s="1" t="s">
        <v>11679</v>
      </c>
      <c r="G4033" s="17">
        <v>71548</v>
      </c>
    </row>
    <row r="4034" spans="1:7">
      <c r="A4034" s="1" t="s">
        <v>11680</v>
      </c>
      <c r="B4034" s="1" t="s">
        <v>11681</v>
      </c>
      <c r="C4034">
        <f>(1-(B7/100))*1848.78</f>
        <v>1848.78</v>
      </c>
      <c r="D4034" s="1">
        <v>0</v>
      </c>
      <c r="E4034">
        <f>D4034*C4034</f>
        <v>0</v>
      </c>
      <c r="F4034" s="1" t="s">
        <v>11682</v>
      </c>
      <c r="G4034" s="17">
        <v>71592</v>
      </c>
    </row>
    <row r="4035" spans="1:7">
      <c r="A4035" s="1" t="s">
        <v>11683</v>
      </c>
      <c r="B4035" s="1" t="s">
        <v>11684</v>
      </c>
      <c r="C4035">
        <f>(1-(B7/100))*228.67</f>
        <v>228.67</v>
      </c>
      <c r="D4035" s="1">
        <v>0</v>
      </c>
      <c r="E4035">
        <f>D4035*C4035</f>
        <v>0</v>
      </c>
      <c r="F4035" s="1" t="s">
        <v>11685</v>
      </c>
      <c r="G4035" s="17">
        <v>71595</v>
      </c>
    </row>
    <row r="4036" spans="1:7">
      <c r="A4036" s="1" t="s">
        <v>11686</v>
      </c>
      <c r="B4036" s="1" t="s">
        <v>11687</v>
      </c>
      <c r="C4036">
        <f>(1-(B7/100))*1236.73</f>
        <v>1236.73</v>
      </c>
      <c r="D4036" s="1">
        <v>0</v>
      </c>
      <c r="E4036">
        <f>D4036*C4036</f>
        <v>0</v>
      </c>
      <c r="F4036" s="1" t="s">
        <v>11688</v>
      </c>
      <c r="G4036" s="17">
        <v>71603</v>
      </c>
    </row>
    <row r="4037" spans="1:7">
      <c r="A4037" s="1" t="s">
        <v>11689</v>
      </c>
      <c r="B4037" s="1" t="s">
        <v>11690</v>
      </c>
      <c r="C4037">
        <f>(1-(B7/100))*1788.48</f>
        <v>1788.48</v>
      </c>
      <c r="D4037" s="1">
        <v>0</v>
      </c>
      <c r="E4037">
        <f>D4037*C4037</f>
        <v>0</v>
      </c>
      <c r="F4037" s="1" t="s">
        <v>11691</v>
      </c>
      <c r="G4037" s="17">
        <v>71811</v>
      </c>
    </row>
    <row r="4038" spans="1:7">
      <c r="A4038" s="1" t="s">
        <v>11692</v>
      </c>
      <c r="B4038" s="1" t="s">
        <v>11693</v>
      </c>
      <c r="C4038">
        <f>(1-(B7/100))*1818.77</f>
        <v>1818.77</v>
      </c>
      <c r="D4038" s="1">
        <v>0</v>
      </c>
      <c r="E4038">
        <f>D4038*C4038</f>
        <v>0</v>
      </c>
      <c r="F4038" s="1" t="s">
        <v>11694</v>
      </c>
      <c r="G4038" s="17">
        <v>71812</v>
      </c>
    </row>
    <row r="4039" spans="1:7">
      <c r="A4039" s="1" t="s">
        <v>11695</v>
      </c>
      <c r="B4039" s="1" t="s">
        <v>11696</v>
      </c>
      <c r="C4039">
        <f>(1-(B7/100))*1040.93</f>
        <v>1040.93</v>
      </c>
      <c r="D4039" s="1">
        <v>0</v>
      </c>
      <c r="E4039">
        <f>D4039*C4039</f>
        <v>0</v>
      </c>
      <c r="F4039" s="1" t="s">
        <v>16</v>
      </c>
      <c r="G4039" s="17">
        <v>71820</v>
      </c>
    </row>
    <row r="4040" spans="1:7">
      <c r="A4040" s="1" t="s">
        <v>11697</v>
      </c>
      <c r="B4040" s="1" t="s">
        <v>11698</v>
      </c>
      <c r="C4040">
        <f>(1-(B7/100))*260.23</f>
        <v>260.23</v>
      </c>
      <c r="D4040" s="1">
        <v>0</v>
      </c>
      <c r="E4040">
        <f>D4040*C4040</f>
        <v>0</v>
      </c>
      <c r="F4040" s="1" t="s">
        <v>16</v>
      </c>
      <c r="G4040" s="17">
        <v>71827</v>
      </c>
    </row>
    <row r="4041" spans="1:7">
      <c r="A4041" s="1" t="s">
        <v>11699</v>
      </c>
      <c r="B4041" s="1" t="s">
        <v>11700</v>
      </c>
      <c r="C4041">
        <f>(1-(B7/100))*1561.4</f>
        <v>1561.4</v>
      </c>
      <c r="D4041" s="1">
        <v>0</v>
      </c>
      <c r="E4041">
        <f>D4041*C4041</f>
        <v>0</v>
      </c>
      <c r="F4041" s="1" t="s">
        <v>16</v>
      </c>
      <c r="G4041" s="17">
        <v>71845</v>
      </c>
    </row>
    <row r="4042" spans="1:7">
      <c r="A4042" s="1" t="s">
        <v>11701</v>
      </c>
      <c r="B4042" s="1" t="s">
        <v>11702</v>
      </c>
      <c r="C4042">
        <f>(1-(B7/100))*112.75</f>
        <v>112.75</v>
      </c>
      <c r="D4042" s="1">
        <v>0</v>
      </c>
      <c r="E4042">
        <f>D4042*C4042</f>
        <v>0</v>
      </c>
      <c r="F4042" s="1" t="s">
        <v>11703</v>
      </c>
      <c r="G4042" s="17">
        <v>71850</v>
      </c>
    </row>
    <row r="4043" spans="1:7">
      <c r="A4043" s="1" t="s">
        <v>11704</v>
      </c>
      <c r="B4043" s="1" t="s">
        <v>11705</v>
      </c>
      <c r="C4043">
        <f>(1-(B7/100))*63.84</f>
        <v>63.84</v>
      </c>
      <c r="D4043" s="1">
        <v>0</v>
      </c>
      <c r="E4043">
        <f>D4043*C4043</f>
        <v>0</v>
      </c>
      <c r="F4043" s="1" t="s">
        <v>11706</v>
      </c>
      <c r="G4043" s="17">
        <v>71880</v>
      </c>
    </row>
    <row r="4044" spans="1:7">
      <c r="A4044" s="1" t="s">
        <v>11707</v>
      </c>
      <c r="B4044" s="1" t="s">
        <v>11708</v>
      </c>
      <c r="C4044">
        <f>(1-(B7/100))*631.43</f>
        <v>631.43</v>
      </c>
      <c r="D4044" s="1">
        <v>0</v>
      </c>
      <c r="E4044">
        <f>D4044*C4044</f>
        <v>0</v>
      </c>
      <c r="F4044" s="1" t="s">
        <v>16</v>
      </c>
      <c r="G4044" s="17">
        <v>71926</v>
      </c>
    </row>
    <row r="4045" spans="1:7">
      <c r="A4045" s="1" t="s">
        <v>11709</v>
      </c>
      <c r="B4045" s="1" t="s">
        <v>11710</v>
      </c>
      <c r="C4045">
        <f>(1-(B7/100))*156.14</f>
        <v>156.14</v>
      </c>
      <c r="D4045" s="1">
        <v>0</v>
      </c>
      <c r="E4045">
        <f>D4045*C4045</f>
        <v>0</v>
      </c>
      <c r="F4045" s="1" t="s">
        <v>16</v>
      </c>
      <c r="G4045" s="17">
        <v>71927</v>
      </c>
    </row>
    <row r="4046" spans="1:7">
      <c r="A4046" s="1" t="s">
        <v>11711</v>
      </c>
      <c r="B4046" s="1" t="s">
        <v>11712</v>
      </c>
      <c r="C4046">
        <f>(1-(B7/100))*1578.24</f>
        <v>1578.24</v>
      </c>
      <c r="D4046" s="1">
        <v>0</v>
      </c>
      <c r="E4046">
        <f>D4046*C4046</f>
        <v>0</v>
      </c>
      <c r="F4046" s="1" t="s">
        <v>11713</v>
      </c>
      <c r="G4046" s="17">
        <v>71932</v>
      </c>
    </row>
    <row r="4047" spans="1:7">
      <c r="A4047" s="1" t="s">
        <v>11714</v>
      </c>
      <c r="B4047" s="1" t="s">
        <v>11715</v>
      </c>
      <c r="C4047">
        <f>(1-(B7/100))*229.3</f>
        <v>229.3</v>
      </c>
      <c r="D4047" s="1">
        <v>0</v>
      </c>
      <c r="E4047">
        <f>D4047*C4047</f>
        <v>0</v>
      </c>
      <c r="F4047" s="1" t="s">
        <v>11716</v>
      </c>
      <c r="G4047" s="17">
        <v>71934</v>
      </c>
    </row>
    <row r="4048" spans="1:7">
      <c r="A4048" s="1" t="s">
        <v>11717</v>
      </c>
      <c r="B4048" s="1" t="s">
        <v>11718</v>
      </c>
      <c r="C4048">
        <f>(1-(B7/100))*988.89</f>
        <v>988.89</v>
      </c>
      <c r="D4048" s="1">
        <v>0</v>
      </c>
      <c r="E4048">
        <f>D4048*C4048</f>
        <v>0</v>
      </c>
      <c r="F4048" s="1" t="s">
        <v>11719</v>
      </c>
      <c r="G4048" s="17">
        <v>71953</v>
      </c>
    </row>
    <row r="4049" spans="1:7">
      <c r="A4049" s="1" t="s">
        <v>11720</v>
      </c>
      <c r="B4049" s="1" t="s">
        <v>11721</v>
      </c>
      <c r="C4049">
        <f>(1-(B7/100))*331.02</f>
        <v>331.02</v>
      </c>
      <c r="D4049" s="1">
        <v>0</v>
      </c>
      <c r="E4049">
        <f>D4049*C4049</f>
        <v>0</v>
      </c>
      <c r="F4049" s="1" t="s">
        <v>11722</v>
      </c>
      <c r="G4049" s="17">
        <v>71963</v>
      </c>
    </row>
    <row r="4050" spans="1:7">
      <c r="A4050" s="1" t="s">
        <v>11723</v>
      </c>
      <c r="B4050" s="1" t="s">
        <v>11724</v>
      </c>
      <c r="C4050">
        <f>(1-(B7/100))*1465.81</f>
        <v>1465.81</v>
      </c>
      <c r="D4050" s="1">
        <v>0</v>
      </c>
      <c r="E4050">
        <f>D4050*C4050</f>
        <v>0</v>
      </c>
      <c r="F4050" s="1" t="s">
        <v>11725</v>
      </c>
      <c r="G4050" s="17">
        <v>72004</v>
      </c>
    </row>
    <row r="4051" spans="1:7">
      <c r="A4051" s="1" t="s">
        <v>11726</v>
      </c>
      <c r="B4051" s="1" t="s">
        <v>11727</v>
      </c>
      <c r="C4051">
        <f>(1-(B7/100))*1196.28</f>
        <v>1196.28</v>
      </c>
      <c r="D4051" s="1">
        <v>0</v>
      </c>
      <c r="E4051">
        <f>D4051*C4051</f>
        <v>0</v>
      </c>
      <c r="F4051" s="1" t="s">
        <v>16</v>
      </c>
      <c r="G4051" s="17">
        <v>72017</v>
      </c>
    </row>
    <row r="4052" spans="1:7">
      <c r="A4052" s="1" t="s">
        <v>11728</v>
      </c>
      <c r="B4052" s="1" t="s">
        <v>11729</v>
      </c>
      <c r="C4052">
        <f>(1-(B7/100))*1145.03</f>
        <v>1145.03</v>
      </c>
      <c r="D4052" s="1">
        <v>0</v>
      </c>
      <c r="E4052">
        <f>D4052*C4052</f>
        <v>0</v>
      </c>
      <c r="F4052" s="1" t="s">
        <v>16</v>
      </c>
      <c r="G4052" s="17">
        <v>72026</v>
      </c>
    </row>
    <row r="4053" spans="1:7">
      <c r="A4053" s="1" t="s">
        <v>11730</v>
      </c>
      <c r="B4053" s="1" t="s">
        <v>11731</v>
      </c>
      <c r="C4053">
        <f>(1-(B7/100))*281.05</f>
        <v>281.05</v>
      </c>
      <c r="D4053" s="1">
        <v>0</v>
      </c>
      <c r="E4053">
        <f>D4053*C4053</f>
        <v>0</v>
      </c>
      <c r="F4053" s="1" t="s">
        <v>16</v>
      </c>
      <c r="G4053" s="17">
        <v>72071</v>
      </c>
    </row>
    <row r="4054" spans="1:7">
      <c r="A4054" s="1" t="s">
        <v>11732</v>
      </c>
      <c r="B4054" s="1" t="s">
        <v>11733</v>
      </c>
      <c r="C4054">
        <f>(1-(B7/100))*1249.12</f>
        <v>1249.12</v>
      </c>
      <c r="D4054" s="1">
        <v>0</v>
      </c>
      <c r="E4054">
        <f>D4054*C4054</f>
        <v>0</v>
      </c>
      <c r="F4054" s="1" t="s">
        <v>16</v>
      </c>
      <c r="G4054" s="17">
        <v>72083</v>
      </c>
    </row>
    <row r="4055" spans="1:7">
      <c r="A4055" s="1" t="s">
        <v>11734</v>
      </c>
      <c r="B4055" s="1" t="s">
        <v>11735</v>
      </c>
      <c r="C4055">
        <f>(1-(B7/100))*1665.49</f>
        <v>1665.49</v>
      </c>
      <c r="D4055" s="1">
        <v>0</v>
      </c>
      <c r="E4055">
        <f>D4055*C4055</f>
        <v>0</v>
      </c>
      <c r="F4055" s="1" t="s">
        <v>16</v>
      </c>
      <c r="G4055" s="17">
        <v>72090</v>
      </c>
    </row>
    <row r="4056" spans="1:7">
      <c r="A4056" s="1" t="s">
        <v>11736</v>
      </c>
      <c r="B4056" s="1" t="s">
        <v>11737</v>
      </c>
      <c r="C4056">
        <f>(1-(B7/100))*1000</f>
        <v>1000</v>
      </c>
      <c r="D4056" s="1">
        <v>0</v>
      </c>
      <c r="E4056">
        <f>D4056*C4056</f>
        <v>0</v>
      </c>
      <c r="F4056" s="1" t="s">
        <v>16</v>
      </c>
      <c r="G4056" s="17">
        <v>72160</v>
      </c>
    </row>
    <row r="4057" spans="1:7">
      <c r="A4057" s="1" t="s">
        <v>11738</v>
      </c>
      <c r="B4057" s="1" t="s">
        <v>11739</v>
      </c>
      <c r="C4057">
        <f>(1-(B7/100))*1100</f>
        <v>1100</v>
      </c>
      <c r="D4057" s="1">
        <v>0</v>
      </c>
      <c r="E4057">
        <f>D4057*C4057</f>
        <v>0</v>
      </c>
      <c r="F4057" s="1" t="s">
        <v>16</v>
      </c>
      <c r="G4057" s="17">
        <v>72168</v>
      </c>
    </row>
    <row r="4058" spans="1:7">
      <c r="A4058" s="1" t="s">
        <v>11740</v>
      </c>
      <c r="B4058" s="1" t="s">
        <v>11741</v>
      </c>
      <c r="C4058">
        <f>(1-(B7/100))*1006.22</f>
        <v>1006.22</v>
      </c>
      <c r="D4058" s="1">
        <v>0</v>
      </c>
      <c r="E4058">
        <f>D4058*C4058</f>
        <v>0</v>
      </c>
      <c r="F4058" s="1" t="s">
        <v>16</v>
      </c>
      <c r="G4058" s="17">
        <v>72210</v>
      </c>
    </row>
    <row r="4059" spans="1:7">
      <c r="A4059" s="1" t="s">
        <v>11742</v>
      </c>
      <c r="B4059" s="1" t="s">
        <v>11743</v>
      </c>
      <c r="C4059">
        <f>(1-(B7/100))*1655.08</f>
        <v>1655.08</v>
      </c>
      <c r="D4059" s="1">
        <v>0</v>
      </c>
      <c r="E4059">
        <f>D4059*C4059</f>
        <v>0</v>
      </c>
      <c r="F4059" s="1" t="s">
        <v>11744</v>
      </c>
      <c r="G4059" s="17">
        <v>72227</v>
      </c>
    </row>
    <row r="4060" spans="1:7">
      <c r="A4060" s="1" t="s">
        <v>11745</v>
      </c>
      <c r="B4060" s="1" t="s">
        <v>11746</v>
      </c>
      <c r="C4060">
        <f>(1-(B7/100))*1548.57</f>
        <v>1548.57</v>
      </c>
      <c r="D4060" s="1">
        <v>0</v>
      </c>
      <c r="E4060">
        <f>D4060*C4060</f>
        <v>0</v>
      </c>
      <c r="F4060" s="1" t="s">
        <v>11747</v>
      </c>
      <c r="G4060" s="17">
        <v>72235</v>
      </c>
    </row>
    <row r="4061" spans="1:7">
      <c r="A4061" s="1" t="s">
        <v>11748</v>
      </c>
      <c r="B4061" s="1" t="s">
        <v>11749</v>
      </c>
      <c r="C4061">
        <f>(1-(B7/100))*124.69</f>
        <v>124.69</v>
      </c>
      <c r="D4061" s="1">
        <v>0</v>
      </c>
      <c r="E4061">
        <f>D4061*C4061</f>
        <v>0</v>
      </c>
      <c r="F4061" s="1" t="s">
        <v>11750</v>
      </c>
      <c r="G4061" s="17">
        <v>72279</v>
      </c>
    </row>
    <row r="4062" spans="1:7">
      <c r="A4062" s="1" t="s">
        <v>11751</v>
      </c>
      <c r="B4062" s="1" t="s">
        <v>11752</v>
      </c>
      <c r="C4062">
        <f>(1-(B7/100))*1084.51</f>
        <v>1084.51</v>
      </c>
      <c r="D4062" s="1">
        <v>0</v>
      </c>
      <c r="E4062">
        <f>D4062*C4062</f>
        <v>0</v>
      </c>
      <c r="F4062" s="1" t="s">
        <v>16</v>
      </c>
      <c r="G4062" s="17">
        <v>72302</v>
      </c>
    </row>
    <row r="4063" spans="1:7">
      <c r="A4063" s="1" t="s">
        <v>11753</v>
      </c>
      <c r="B4063" s="1" t="s">
        <v>11754</v>
      </c>
      <c r="C4063">
        <f>(1-(B7/100))*3007.76</f>
        <v>3007.76</v>
      </c>
      <c r="D4063" s="1">
        <v>0</v>
      </c>
      <c r="E4063">
        <f>D4063*C4063</f>
        <v>0</v>
      </c>
      <c r="F4063" s="1" t="s">
        <v>16</v>
      </c>
      <c r="G4063" s="17">
        <v>72303</v>
      </c>
    </row>
    <row r="4064" spans="1:7">
      <c r="A4064" s="1" t="s">
        <v>11755</v>
      </c>
      <c r="B4064" s="1" t="s">
        <v>11756</v>
      </c>
      <c r="C4064">
        <f>(1-(B7/100))*246.25</f>
        <v>246.25</v>
      </c>
      <c r="D4064" s="1">
        <v>0</v>
      </c>
      <c r="E4064">
        <f>D4064*C4064</f>
        <v>0</v>
      </c>
      <c r="F4064" s="1" t="s">
        <v>16</v>
      </c>
      <c r="G4064" s="17">
        <v>72320</v>
      </c>
    </row>
    <row r="4065" spans="1:7">
      <c r="A4065" s="1" t="s">
        <v>11757</v>
      </c>
      <c r="B4065" s="1" t="s">
        <v>11758</v>
      </c>
      <c r="C4065">
        <f>(1-(B7/100))*169.88</f>
        <v>169.88</v>
      </c>
      <c r="D4065" s="1">
        <v>0</v>
      </c>
      <c r="E4065">
        <f>D4065*C4065</f>
        <v>0</v>
      </c>
      <c r="F4065" s="1" t="s">
        <v>16</v>
      </c>
      <c r="G4065" s="17">
        <v>72325</v>
      </c>
    </row>
    <row r="4066" spans="1:7">
      <c r="A4066" s="1" t="s">
        <v>11759</v>
      </c>
      <c r="B4066" s="1" t="s">
        <v>11760</v>
      </c>
      <c r="C4066">
        <f>(1-(B7/100))*223.4</f>
        <v>223.4</v>
      </c>
      <c r="D4066" s="1">
        <v>0</v>
      </c>
      <c r="E4066">
        <f>D4066*C4066</f>
        <v>0</v>
      </c>
      <c r="F4066" s="1" t="s">
        <v>16</v>
      </c>
      <c r="G4066" s="17">
        <v>72326</v>
      </c>
    </row>
    <row r="4067" spans="1:7">
      <c r="A4067" s="1" t="s">
        <v>11761</v>
      </c>
      <c r="B4067" s="1" t="s">
        <v>11762</v>
      </c>
      <c r="C4067">
        <f>(1-(B7/100))*426.29</f>
        <v>426.29</v>
      </c>
      <c r="D4067" s="1">
        <v>0</v>
      </c>
      <c r="E4067">
        <f>D4067*C4067</f>
        <v>0</v>
      </c>
      <c r="F4067" s="1" t="s">
        <v>16</v>
      </c>
      <c r="G4067" s="17">
        <v>72342</v>
      </c>
    </row>
    <row r="4068" spans="1:7">
      <c r="A4068" s="1" t="s">
        <v>11763</v>
      </c>
      <c r="B4068" s="1" t="s">
        <v>11764</v>
      </c>
      <c r="C4068">
        <f>(1-(B7/100))*1578.57</f>
        <v>1578.57</v>
      </c>
      <c r="D4068" s="1">
        <v>0</v>
      </c>
      <c r="E4068">
        <f>D4068*C4068</f>
        <v>0</v>
      </c>
      <c r="F4068" s="1" t="s">
        <v>11765</v>
      </c>
      <c r="G4068" s="17">
        <v>72413</v>
      </c>
    </row>
    <row r="4069" spans="1:7">
      <c r="A4069" s="1" t="s">
        <v>11766</v>
      </c>
      <c r="B4069" s="1" t="s">
        <v>11767</v>
      </c>
      <c r="C4069">
        <f>(1-(B7/100))*1199.35</f>
        <v>1199.35</v>
      </c>
      <c r="D4069" s="1">
        <v>0</v>
      </c>
      <c r="E4069">
        <f>D4069*C4069</f>
        <v>0</v>
      </c>
      <c r="F4069" s="1" t="s">
        <v>11768</v>
      </c>
      <c r="G4069" s="17">
        <v>72442</v>
      </c>
    </row>
    <row r="4070" spans="1:7">
      <c r="A4070" s="1" t="s">
        <v>11769</v>
      </c>
      <c r="B4070" s="1" t="s">
        <v>11770</v>
      </c>
      <c r="C4070">
        <f>(1-(B7/100))*257.35</f>
        <v>257.35</v>
      </c>
      <c r="D4070" s="1">
        <v>0</v>
      </c>
      <c r="E4070">
        <f>D4070*C4070</f>
        <v>0</v>
      </c>
      <c r="F4070" s="1" t="s">
        <v>11771</v>
      </c>
      <c r="G4070" s="17">
        <v>72443</v>
      </c>
    </row>
    <row r="4071" spans="1:7">
      <c r="A4071" s="1" t="s">
        <v>11772</v>
      </c>
      <c r="B4071" s="1" t="s">
        <v>11773</v>
      </c>
      <c r="C4071">
        <f>(1-(B7/100))*1050.67</f>
        <v>1050.67</v>
      </c>
      <c r="D4071" s="1">
        <v>0</v>
      </c>
      <c r="E4071">
        <f>D4071*C4071</f>
        <v>0</v>
      </c>
      <c r="F4071" s="1" t="s">
        <v>11774</v>
      </c>
      <c r="G4071" s="17">
        <v>72445</v>
      </c>
    </row>
    <row r="4072" spans="1:7">
      <c r="A4072" s="1" t="s">
        <v>11775</v>
      </c>
      <c r="B4072" s="1" t="s">
        <v>11776</v>
      </c>
      <c r="C4072">
        <f>(1-(B7/100))*1013.52</f>
        <v>1013.52</v>
      </c>
      <c r="D4072" s="1">
        <v>0</v>
      </c>
      <c r="E4072">
        <f>D4072*C4072</f>
        <v>0</v>
      </c>
      <c r="F4072" s="1" t="s">
        <v>11777</v>
      </c>
      <c r="G4072" s="17">
        <v>72457</v>
      </c>
    </row>
    <row r="4073" spans="1:7">
      <c r="A4073" s="1" t="s">
        <v>11778</v>
      </c>
      <c r="B4073" s="1" t="s">
        <v>11779</v>
      </c>
      <c r="C4073">
        <f>(1-(B7/100))*1013.52</f>
        <v>1013.52</v>
      </c>
      <c r="D4073" s="1">
        <v>0</v>
      </c>
      <c r="E4073">
        <f>D4073*C4073</f>
        <v>0</v>
      </c>
      <c r="F4073" s="1" t="s">
        <v>11780</v>
      </c>
      <c r="G4073" s="17">
        <v>72458</v>
      </c>
    </row>
    <row r="4074" spans="1:7">
      <c r="A4074" s="1" t="s">
        <v>11781</v>
      </c>
      <c r="B4074" s="1" t="s">
        <v>11782</v>
      </c>
      <c r="C4074">
        <f>(1-(B7/100))*1013.52</f>
        <v>1013.52</v>
      </c>
      <c r="D4074" s="1">
        <v>0</v>
      </c>
      <c r="E4074">
        <f>D4074*C4074</f>
        <v>0</v>
      </c>
      <c r="F4074" s="1" t="s">
        <v>11783</v>
      </c>
      <c r="G4074" s="17">
        <v>72459</v>
      </c>
    </row>
    <row r="4075" spans="1:7">
      <c r="A4075" s="1" t="s">
        <v>11784</v>
      </c>
      <c r="B4075" s="1" t="s">
        <v>11785</v>
      </c>
      <c r="C4075">
        <f>(1-(B7/100))*1013.52</f>
        <v>1013.52</v>
      </c>
      <c r="D4075" s="1">
        <v>0</v>
      </c>
      <c r="E4075">
        <f>D4075*C4075</f>
        <v>0</v>
      </c>
      <c r="F4075" s="1" t="s">
        <v>11786</v>
      </c>
      <c r="G4075" s="17">
        <v>72460</v>
      </c>
    </row>
    <row r="4076" spans="1:7">
      <c r="A4076" s="1" t="s">
        <v>11787</v>
      </c>
      <c r="B4076" s="1" t="s">
        <v>11788</v>
      </c>
      <c r="C4076">
        <f>(1-(B7/100))*1013.52</f>
        <v>1013.52</v>
      </c>
      <c r="D4076" s="1">
        <v>0</v>
      </c>
      <c r="E4076">
        <f>D4076*C4076</f>
        <v>0</v>
      </c>
      <c r="F4076" s="1" t="s">
        <v>11789</v>
      </c>
      <c r="G4076" s="17">
        <v>72461</v>
      </c>
    </row>
    <row r="4077" spans="1:7">
      <c r="A4077" s="1" t="s">
        <v>11790</v>
      </c>
      <c r="B4077" s="1" t="s">
        <v>11791</v>
      </c>
      <c r="C4077">
        <f>(1-(B7/100))*957.22</f>
        <v>957.22</v>
      </c>
      <c r="D4077" s="1">
        <v>0</v>
      </c>
      <c r="E4077">
        <f>D4077*C4077</f>
        <v>0</v>
      </c>
      <c r="F4077" s="1" t="s">
        <v>11792</v>
      </c>
      <c r="G4077" s="17">
        <v>72462</v>
      </c>
    </row>
    <row r="4078" spans="1:7">
      <c r="A4078" s="1" t="s">
        <v>11793</v>
      </c>
      <c r="B4078" s="1" t="s">
        <v>11794</v>
      </c>
      <c r="C4078">
        <f>(1-(B7/100))*957.22</f>
        <v>957.22</v>
      </c>
      <c r="D4078" s="1">
        <v>0</v>
      </c>
      <c r="E4078">
        <f>D4078*C4078</f>
        <v>0</v>
      </c>
      <c r="F4078" s="1" t="s">
        <v>11795</v>
      </c>
      <c r="G4078" s="17">
        <v>72463</v>
      </c>
    </row>
    <row r="4079" spans="1:7">
      <c r="A4079" s="1" t="s">
        <v>11796</v>
      </c>
      <c r="B4079" s="1" t="s">
        <v>11797</v>
      </c>
      <c r="C4079">
        <f>(1-(B7/100))*991</f>
        <v>991</v>
      </c>
      <c r="D4079" s="1">
        <v>0</v>
      </c>
      <c r="E4079">
        <f>D4079*C4079</f>
        <v>0</v>
      </c>
      <c r="F4079" s="1" t="s">
        <v>11798</v>
      </c>
      <c r="G4079" s="17">
        <v>72464</v>
      </c>
    </row>
    <row r="4080" spans="1:7">
      <c r="A4080" s="1" t="s">
        <v>11799</v>
      </c>
      <c r="B4080" s="1" t="s">
        <v>11800</v>
      </c>
      <c r="C4080">
        <f>(1-(B7/100))*957.22</f>
        <v>957.22</v>
      </c>
      <c r="D4080" s="1">
        <v>0</v>
      </c>
      <c r="E4080">
        <f>D4080*C4080</f>
        <v>0</v>
      </c>
      <c r="F4080" s="1" t="s">
        <v>11801</v>
      </c>
      <c r="G4080" s="17">
        <v>72465</v>
      </c>
    </row>
    <row r="4081" spans="1:7">
      <c r="A4081" s="1" t="s">
        <v>11802</v>
      </c>
      <c r="B4081" s="1" t="s">
        <v>11803</v>
      </c>
      <c r="C4081">
        <f>(1-(B7/100))*1013.52</f>
        <v>1013.52</v>
      </c>
      <c r="D4081" s="1">
        <v>0</v>
      </c>
      <c r="E4081">
        <f>D4081*C4081</f>
        <v>0</v>
      </c>
      <c r="F4081" s="1" t="s">
        <v>11804</v>
      </c>
      <c r="G4081" s="17">
        <v>72466</v>
      </c>
    </row>
    <row r="4082" spans="1:7">
      <c r="A4082" s="1" t="s">
        <v>11805</v>
      </c>
      <c r="B4082" s="1" t="s">
        <v>11806</v>
      </c>
      <c r="C4082">
        <f>(1-(B7/100))*1613.45</f>
        <v>1613.45</v>
      </c>
      <c r="D4082" s="1">
        <v>0</v>
      </c>
      <c r="E4082">
        <f>D4082*C4082</f>
        <v>0</v>
      </c>
      <c r="F4082" s="1" t="s">
        <v>11807</v>
      </c>
      <c r="G4082" s="17">
        <v>72562</v>
      </c>
    </row>
    <row r="4083" spans="1:7">
      <c r="A4083" s="1" t="s">
        <v>11808</v>
      </c>
      <c r="B4083" s="1" t="s">
        <v>11809</v>
      </c>
      <c r="C4083">
        <f>(1-(B7/100))*1463.99</f>
        <v>1463.99</v>
      </c>
      <c r="D4083" s="1">
        <v>0</v>
      </c>
      <c r="E4083">
        <f>D4083*C4083</f>
        <v>0</v>
      </c>
      <c r="F4083" s="1" t="s">
        <v>11810</v>
      </c>
      <c r="G4083" s="17">
        <v>72575</v>
      </c>
    </row>
    <row r="4084" spans="1:7">
      <c r="A4084" s="1" t="s">
        <v>11811</v>
      </c>
      <c r="B4084" s="1" t="s">
        <v>11812</v>
      </c>
      <c r="C4084">
        <f>(1-(B7/100))*189.89</f>
        <v>189.89</v>
      </c>
      <c r="D4084" s="1">
        <v>0</v>
      </c>
      <c r="E4084">
        <f>D4084*C4084</f>
        <v>0</v>
      </c>
      <c r="F4084" s="1" t="s">
        <v>11813</v>
      </c>
      <c r="G4084" s="17">
        <v>72603</v>
      </c>
    </row>
    <row r="4085" spans="1:7">
      <c r="A4085" s="1" t="s">
        <v>11814</v>
      </c>
      <c r="B4085" s="1" t="s">
        <v>11815</v>
      </c>
      <c r="C4085">
        <f>(1-(B7/100))*2607.48</f>
        <v>2607.48</v>
      </c>
      <c r="D4085" s="1">
        <v>0</v>
      </c>
      <c r="E4085">
        <f>D4085*C4085</f>
        <v>0</v>
      </c>
      <c r="F4085" s="1" t="s">
        <v>11816</v>
      </c>
      <c r="G4085" s="17">
        <v>72713</v>
      </c>
    </row>
    <row r="4086" spans="1:7">
      <c r="A4086" s="1" t="s">
        <v>11817</v>
      </c>
      <c r="B4086" s="1" t="s">
        <v>11818</v>
      </c>
      <c r="C4086">
        <f>(1-(B7/100))*1792.4</f>
        <v>1792.4</v>
      </c>
      <c r="D4086" s="1">
        <v>0</v>
      </c>
      <c r="E4086">
        <f>D4086*C4086</f>
        <v>0</v>
      </c>
      <c r="F4086" s="1" t="s">
        <v>11819</v>
      </c>
      <c r="G4086" s="17">
        <v>72720</v>
      </c>
    </row>
    <row r="4087" spans="1:7">
      <c r="A4087" s="1" t="s">
        <v>11820</v>
      </c>
      <c r="B4087" s="1" t="s">
        <v>11821</v>
      </c>
      <c r="C4087">
        <f>(1-(B7/100))*2160.17</f>
        <v>2160.17</v>
      </c>
      <c r="D4087" s="1">
        <v>0</v>
      </c>
      <c r="E4087">
        <f>D4087*C4087</f>
        <v>0</v>
      </c>
      <c r="F4087" s="1" t="s">
        <v>11822</v>
      </c>
      <c r="G4087" s="17">
        <v>72721</v>
      </c>
    </row>
    <row r="4088" spans="1:7">
      <c r="A4088" s="1" t="s">
        <v>11823</v>
      </c>
      <c r="B4088" s="1" t="s">
        <v>11824</v>
      </c>
      <c r="C4088">
        <f>(1-(B7/100))*1856.65</f>
        <v>1856.65</v>
      </c>
      <c r="D4088" s="1">
        <v>0</v>
      </c>
      <c r="E4088">
        <f>D4088*C4088</f>
        <v>0</v>
      </c>
      <c r="F4088" s="1" t="s">
        <v>11825</v>
      </c>
      <c r="G4088" s="17">
        <v>72723</v>
      </c>
    </row>
    <row r="4089" spans="1:7">
      <c r="A4089" s="1" t="s">
        <v>11826</v>
      </c>
      <c r="B4089" s="1" t="s">
        <v>11827</v>
      </c>
      <c r="C4089">
        <f>(1-(B7/100))*2627.5</f>
        <v>2627.5</v>
      </c>
      <c r="D4089" s="1">
        <v>0</v>
      </c>
      <c r="E4089">
        <f>D4089*C4089</f>
        <v>0</v>
      </c>
      <c r="F4089" s="1" t="s">
        <v>11828</v>
      </c>
      <c r="G4089" s="17">
        <v>72727</v>
      </c>
    </row>
    <row r="4090" spans="1:7">
      <c r="A4090" s="1" t="s">
        <v>11829</v>
      </c>
      <c r="B4090" s="1" t="s">
        <v>11830</v>
      </c>
      <c r="C4090">
        <f>(1-(B7/100))*1039.43</f>
        <v>1039.43</v>
      </c>
      <c r="D4090" s="1">
        <v>0</v>
      </c>
      <c r="E4090">
        <f>D4090*C4090</f>
        <v>0</v>
      </c>
      <c r="F4090" s="1" t="s">
        <v>11831</v>
      </c>
      <c r="G4090" s="17">
        <v>72754</v>
      </c>
    </row>
    <row r="4091" spans="1:7">
      <c r="A4091" s="1" t="s">
        <v>11832</v>
      </c>
      <c r="B4091" s="1" t="s">
        <v>11833</v>
      </c>
      <c r="C4091">
        <f>(1-(B7/100))*127.97</f>
        <v>127.97</v>
      </c>
      <c r="D4091" s="1">
        <v>0</v>
      </c>
      <c r="E4091">
        <f>D4091*C4091</f>
        <v>0</v>
      </c>
      <c r="F4091" s="1" t="s">
        <v>11834</v>
      </c>
      <c r="G4091" s="17">
        <v>72788</v>
      </c>
    </row>
    <row r="4092" spans="1:7">
      <c r="A4092" s="1" t="s">
        <v>11835</v>
      </c>
      <c r="B4092" s="1" t="s">
        <v>11836</v>
      </c>
      <c r="C4092">
        <f>(1-(B7/100))*103.22</f>
        <v>103.22</v>
      </c>
      <c r="D4092" s="1">
        <v>0</v>
      </c>
      <c r="E4092">
        <f>D4092*C4092</f>
        <v>0</v>
      </c>
      <c r="F4092" s="1" t="s">
        <v>11837</v>
      </c>
      <c r="G4092" s="17">
        <v>72897</v>
      </c>
    </row>
    <row r="4093" spans="1:7">
      <c r="A4093" s="1" t="s">
        <v>11838</v>
      </c>
      <c r="B4093" s="1" t="s">
        <v>11839</v>
      </c>
      <c r="C4093">
        <f>(1-(B7/100))*210.17</f>
        <v>210.17</v>
      </c>
      <c r="D4093" s="1">
        <v>0</v>
      </c>
      <c r="E4093">
        <f>D4093*C4093</f>
        <v>0</v>
      </c>
      <c r="F4093" s="1" t="s">
        <v>11840</v>
      </c>
      <c r="G4093" s="17">
        <v>72931</v>
      </c>
    </row>
    <row r="4094" spans="1:7">
      <c r="A4094" s="1" t="s">
        <v>11841</v>
      </c>
      <c r="B4094" s="1" t="s">
        <v>11842</v>
      </c>
      <c r="C4094">
        <f>(1-(B7/100))*292.4</f>
        <v>292.4</v>
      </c>
      <c r="D4094" s="1">
        <v>0</v>
      </c>
      <c r="E4094">
        <f>D4094*C4094</f>
        <v>0</v>
      </c>
      <c r="F4094" s="1" t="s">
        <v>11843</v>
      </c>
      <c r="G4094" s="17">
        <v>72938</v>
      </c>
    </row>
    <row r="4095" spans="1:7">
      <c r="A4095" s="1" t="s">
        <v>11844</v>
      </c>
      <c r="B4095" s="1" t="s">
        <v>11845</v>
      </c>
      <c r="C4095">
        <f>(1-(B7/100))*292.5</f>
        <v>292.5</v>
      </c>
      <c r="D4095" s="1">
        <v>0</v>
      </c>
      <c r="E4095">
        <f>D4095*C4095</f>
        <v>0</v>
      </c>
      <c r="F4095" s="1" t="s">
        <v>11846</v>
      </c>
      <c r="G4095" s="17">
        <v>72945</v>
      </c>
    </row>
    <row r="4096" spans="1:7">
      <c r="A4096" s="1" t="s">
        <v>11847</v>
      </c>
      <c r="B4096" s="1" t="s">
        <v>11848</v>
      </c>
      <c r="C4096">
        <f>(1-(B7/100))*493.83</f>
        <v>493.83</v>
      </c>
      <c r="D4096" s="1">
        <v>0</v>
      </c>
      <c r="E4096">
        <f>D4096*C4096</f>
        <v>0</v>
      </c>
      <c r="F4096" s="1" t="s">
        <v>11849</v>
      </c>
      <c r="G4096" s="17">
        <v>73012</v>
      </c>
    </row>
    <row r="4097" spans="1:7">
      <c r="A4097" s="1" t="s">
        <v>11850</v>
      </c>
      <c r="B4097" s="1" t="s">
        <v>11851</v>
      </c>
      <c r="C4097">
        <f>(1-(B7/100))*297.87</f>
        <v>297.87</v>
      </c>
      <c r="D4097" s="1">
        <v>0</v>
      </c>
      <c r="E4097">
        <f>D4097*C4097</f>
        <v>0</v>
      </c>
      <c r="F4097" s="1" t="s">
        <v>11852</v>
      </c>
      <c r="G4097" s="17">
        <v>73027</v>
      </c>
    </row>
    <row r="4098" spans="1:7">
      <c r="A4098" s="1" t="s">
        <v>11853</v>
      </c>
      <c r="B4098" s="1" t="s">
        <v>11854</v>
      </c>
      <c r="C4098">
        <f>(1-(B7/100))*625.93</f>
        <v>625.93</v>
      </c>
      <c r="D4098" s="1">
        <v>0</v>
      </c>
      <c r="E4098">
        <f>D4098*C4098</f>
        <v>0</v>
      </c>
      <c r="F4098" s="1" t="s">
        <v>11855</v>
      </c>
      <c r="G4098" s="17">
        <v>73095</v>
      </c>
    </row>
    <row r="4099" spans="1:7">
      <c r="A4099" s="1" t="s">
        <v>11856</v>
      </c>
      <c r="B4099" s="1" t="s">
        <v>11857</v>
      </c>
      <c r="C4099">
        <f>(1-(B7/100))*625.93</f>
        <v>625.93</v>
      </c>
      <c r="D4099" s="1">
        <v>0</v>
      </c>
      <c r="E4099">
        <f>D4099*C4099</f>
        <v>0</v>
      </c>
      <c r="F4099" s="1" t="s">
        <v>11858</v>
      </c>
      <c r="G4099" s="17">
        <v>73096</v>
      </c>
    </row>
    <row r="4100" spans="1:7">
      <c r="A4100" s="1" t="s">
        <v>11859</v>
      </c>
      <c r="B4100" s="1" t="s">
        <v>11860</v>
      </c>
      <c r="C4100">
        <f>(1-(B7/100))*625.93</f>
        <v>625.93</v>
      </c>
      <c r="D4100" s="1">
        <v>0</v>
      </c>
      <c r="E4100">
        <f>D4100*C4100</f>
        <v>0</v>
      </c>
      <c r="F4100" s="1" t="s">
        <v>11861</v>
      </c>
      <c r="G4100" s="17">
        <v>73097</v>
      </c>
    </row>
    <row r="4101" spans="1:7">
      <c r="A4101" s="1" t="s">
        <v>11862</v>
      </c>
      <c r="B4101" s="1" t="s">
        <v>11863</v>
      </c>
      <c r="C4101">
        <f>(1-(B7/100))*302.05</f>
        <v>302.05</v>
      </c>
      <c r="D4101" s="1">
        <v>0</v>
      </c>
      <c r="E4101">
        <f>D4101*C4101</f>
        <v>0</v>
      </c>
      <c r="F4101" s="1" t="s">
        <v>11864</v>
      </c>
      <c r="G4101" s="17">
        <v>73098</v>
      </c>
    </row>
    <row r="4102" spans="1:7">
      <c r="A4102" s="1" t="s">
        <v>11865</v>
      </c>
      <c r="B4102" s="1" t="s">
        <v>11866</v>
      </c>
      <c r="C4102">
        <f>(1-(B7/100))*302.05</f>
        <v>302.05</v>
      </c>
      <c r="D4102" s="1">
        <v>0</v>
      </c>
      <c r="E4102">
        <f>D4102*C4102</f>
        <v>0</v>
      </c>
      <c r="F4102" s="1" t="s">
        <v>11867</v>
      </c>
      <c r="G4102" s="17">
        <v>73099</v>
      </c>
    </row>
    <row r="4103" spans="1:7">
      <c r="A4103" s="1" t="s">
        <v>11868</v>
      </c>
      <c r="B4103" s="1" t="s">
        <v>11869</v>
      </c>
      <c r="C4103">
        <f>(1-(B7/100))*302.05</f>
        <v>302.05</v>
      </c>
      <c r="D4103" s="1">
        <v>0</v>
      </c>
      <c r="E4103">
        <f>D4103*C4103</f>
        <v>0</v>
      </c>
      <c r="F4103" s="1" t="s">
        <v>11870</v>
      </c>
      <c r="G4103" s="17">
        <v>73100</v>
      </c>
    </row>
    <row r="4104" spans="1:7">
      <c r="A4104" s="1" t="s">
        <v>11871</v>
      </c>
      <c r="B4104" s="1" t="s">
        <v>11872</v>
      </c>
      <c r="C4104">
        <f>(1-(B7/100))*360.95</f>
        <v>360.95</v>
      </c>
      <c r="D4104" s="1">
        <v>0</v>
      </c>
      <c r="E4104">
        <f>D4104*C4104</f>
        <v>0</v>
      </c>
      <c r="F4104" s="1" t="s">
        <v>11873</v>
      </c>
      <c r="G4104" s="17">
        <v>73103</v>
      </c>
    </row>
    <row r="4105" spans="1:7">
      <c r="A4105" s="1" t="s">
        <v>11874</v>
      </c>
      <c r="B4105" s="1" t="s">
        <v>11875</v>
      </c>
      <c r="C4105">
        <f>(1-(B7/100))*625.93</f>
        <v>625.93</v>
      </c>
      <c r="D4105" s="1">
        <v>0</v>
      </c>
      <c r="E4105">
        <f>D4105*C4105</f>
        <v>0</v>
      </c>
      <c r="F4105" s="1" t="s">
        <v>11876</v>
      </c>
      <c r="G4105" s="17">
        <v>73114</v>
      </c>
    </row>
    <row r="4106" spans="1:7">
      <c r="A4106" s="1" t="s">
        <v>11877</v>
      </c>
      <c r="B4106" s="1" t="s">
        <v>11878</v>
      </c>
      <c r="C4106">
        <f>(1-(B7/100))*292.29</f>
        <v>292.29</v>
      </c>
      <c r="D4106" s="1">
        <v>0</v>
      </c>
      <c r="E4106">
        <f>D4106*C4106</f>
        <v>0</v>
      </c>
      <c r="F4106" s="1" t="s">
        <v>11879</v>
      </c>
      <c r="G4106" s="17">
        <v>73122</v>
      </c>
    </row>
    <row r="4107" spans="1:7">
      <c r="A4107" s="1" t="s">
        <v>11880</v>
      </c>
      <c r="B4107" s="1" t="s">
        <v>11881</v>
      </c>
      <c r="C4107">
        <f>(1-(B7/100))*390.38</f>
        <v>390.38</v>
      </c>
      <c r="D4107" s="1">
        <v>0</v>
      </c>
      <c r="E4107">
        <f>D4107*C4107</f>
        <v>0</v>
      </c>
      <c r="F4107" s="1" t="s">
        <v>11882</v>
      </c>
      <c r="G4107" s="17">
        <v>73126</v>
      </c>
    </row>
    <row r="4108" spans="1:7">
      <c r="A4108" s="1" t="s">
        <v>11883</v>
      </c>
      <c r="B4108" s="1" t="s">
        <v>11884</v>
      </c>
      <c r="C4108">
        <f>(1-(B7/100))*2553.57</f>
        <v>2553.57</v>
      </c>
      <c r="D4108" s="1">
        <v>0</v>
      </c>
      <c r="E4108">
        <f>D4108*C4108</f>
        <v>0</v>
      </c>
      <c r="F4108" s="1" t="s">
        <v>11885</v>
      </c>
      <c r="G4108" s="17">
        <v>73180</v>
      </c>
    </row>
    <row r="4109" spans="1:7">
      <c r="A4109" s="1" t="s">
        <v>11886</v>
      </c>
      <c r="B4109" s="1" t="s">
        <v>11887</v>
      </c>
      <c r="C4109">
        <f>(1-(B7/100))*1457.31</f>
        <v>1457.31</v>
      </c>
      <c r="D4109" s="1">
        <v>0</v>
      </c>
      <c r="E4109">
        <f>D4109*C4109</f>
        <v>0</v>
      </c>
      <c r="F4109" s="1" t="s">
        <v>11888</v>
      </c>
      <c r="G4109" s="17">
        <v>73182</v>
      </c>
    </row>
    <row r="4110" spans="1:7">
      <c r="A4110" s="1" t="s">
        <v>11889</v>
      </c>
      <c r="B4110" s="1" t="s">
        <v>11890</v>
      </c>
      <c r="C4110">
        <f>(1-(B7/100))*78.42</f>
        <v>78.42</v>
      </c>
      <c r="D4110" s="1">
        <v>0</v>
      </c>
      <c r="E4110">
        <f>D4110*C4110</f>
        <v>0</v>
      </c>
      <c r="F4110" s="1" t="s">
        <v>11891</v>
      </c>
      <c r="G4110" s="17">
        <v>73186</v>
      </c>
    </row>
    <row r="4111" spans="1:7">
      <c r="A4111" s="1" t="s">
        <v>11892</v>
      </c>
      <c r="B4111" s="1" t="s">
        <v>11893</v>
      </c>
      <c r="C4111">
        <f>(1-(B7/100))*49.48</f>
        <v>49.48</v>
      </c>
      <c r="D4111" s="1">
        <v>0</v>
      </c>
      <c r="E4111">
        <f>D4111*C4111</f>
        <v>0</v>
      </c>
      <c r="F4111" s="1" t="s">
        <v>11894</v>
      </c>
      <c r="G4111" s="17">
        <v>73188</v>
      </c>
    </row>
    <row r="4112" spans="1:7">
      <c r="A4112" s="1" t="s">
        <v>11895</v>
      </c>
      <c r="B4112" s="1" t="s">
        <v>11896</v>
      </c>
      <c r="C4112">
        <f>(1-(B7/100))*59.45</f>
        <v>59.45</v>
      </c>
      <c r="D4112" s="1">
        <v>0</v>
      </c>
      <c r="E4112">
        <f>D4112*C4112</f>
        <v>0</v>
      </c>
      <c r="F4112" s="1" t="s">
        <v>11897</v>
      </c>
      <c r="G4112" s="17">
        <v>73189</v>
      </c>
    </row>
    <row r="4113" spans="1:7">
      <c r="A4113" s="1" t="s">
        <v>11898</v>
      </c>
      <c r="B4113" s="1" t="s">
        <v>11899</v>
      </c>
      <c r="C4113">
        <f>(1-(B7/100))*49.48</f>
        <v>49.48</v>
      </c>
      <c r="D4113" s="1">
        <v>0</v>
      </c>
      <c r="E4113">
        <f>D4113*C4113</f>
        <v>0</v>
      </c>
      <c r="F4113" s="1" t="s">
        <v>11900</v>
      </c>
      <c r="G4113" s="17">
        <v>73190</v>
      </c>
    </row>
    <row r="4114" spans="1:7">
      <c r="A4114" s="1">
        <v>161093737</v>
      </c>
      <c r="B4114" s="1" t="s">
        <v>11901</v>
      </c>
      <c r="C4114">
        <f>(1-(B7/100))*7265.87</f>
        <v>7265.87</v>
      </c>
      <c r="D4114" s="1">
        <v>0</v>
      </c>
      <c r="E4114">
        <f>D4114*C4114</f>
        <v>0</v>
      </c>
      <c r="F4114" s="1" t="s">
        <v>16</v>
      </c>
      <c r="G4114" s="17">
        <v>73273</v>
      </c>
    </row>
    <row r="4115" spans="1:7">
      <c r="A4115" s="1" t="s">
        <v>11902</v>
      </c>
      <c r="B4115" s="1" t="s">
        <v>11903</v>
      </c>
      <c r="C4115">
        <f>(1-(B7/100))*10638</f>
        <v>10638</v>
      </c>
      <c r="D4115" s="1">
        <v>0</v>
      </c>
      <c r="E4115">
        <f>D4115*C4115</f>
        <v>0</v>
      </c>
      <c r="F4115" s="1" t="s">
        <v>16</v>
      </c>
      <c r="G4115" s="17">
        <v>73418</v>
      </c>
    </row>
    <row r="4116" spans="1:7">
      <c r="A4116" s="1" t="s">
        <v>11904</v>
      </c>
      <c r="B4116" s="1" t="s">
        <v>11905</v>
      </c>
      <c r="C4116">
        <f>(1-(B7/100))*410.41</f>
        <v>410.41</v>
      </c>
      <c r="D4116" s="1">
        <v>0</v>
      </c>
      <c r="E4116">
        <f>D4116*C4116</f>
        <v>0</v>
      </c>
      <c r="F4116" s="1" t="s">
        <v>11906</v>
      </c>
      <c r="G4116" s="17">
        <v>73635</v>
      </c>
    </row>
    <row r="4117" spans="1:7">
      <c r="A4117" s="1" t="s">
        <v>11907</v>
      </c>
      <c r="B4117" s="1" t="s">
        <v>11908</v>
      </c>
      <c r="C4117">
        <f>(1-(B7/100))*1040.93</f>
        <v>1040.93</v>
      </c>
      <c r="D4117" s="1">
        <v>0</v>
      </c>
      <c r="E4117">
        <f>D4117*C4117</f>
        <v>0</v>
      </c>
      <c r="F4117" s="1" t="s">
        <v>11909</v>
      </c>
      <c r="G4117" s="17">
        <v>73679</v>
      </c>
    </row>
    <row r="4118" spans="1:7">
      <c r="A4118" s="1">
        <v>10000724</v>
      </c>
      <c r="B4118" s="1" t="s">
        <v>11910</v>
      </c>
      <c r="C4118">
        <f>(1-(B7/100))*58.13</f>
        <v>58.13</v>
      </c>
      <c r="D4118" s="1">
        <v>0</v>
      </c>
      <c r="E4118">
        <f>D4118*C4118</f>
        <v>0</v>
      </c>
      <c r="F4118" s="1" t="s">
        <v>11911</v>
      </c>
      <c r="G4118" s="17">
        <v>73720</v>
      </c>
    </row>
    <row r="4119" spans="1:7">
      <c r="A4119" s="1" t="s">
        <v>11912</v>
      </c>
      <c r="B4119" s="1" t="s">
        <v>11913</v>
      </c>
      <c r="C4119">
        <f>(1-(B7/100))*77</f>
        <v>77</v>
      </c>
      <c r="D4119" s="1">
        <v>0</v>
      </c>
      <c r="E4119">
        <f>D4119*C4119</f>
        <v>0</v>
      </c>
      <c r="F4119" s="1" t="s">
        <v>11914</v>
      </c>
      <c r="G4119" s="17">
        <v>73721</v>
      </c>
    </row>
    <row r="4120" spans="1:7">
      <c r="A4120" s="1" t="s">
        <v>11915</v>
      </c>
      <c r="B4120" s="1" t="s">
        <v>11916</v>
      </c>
      <c r="C4120">
        <f>(1-(B7/100))*873.19</f>
        <v>873.19</v>
      </c>
      <c r="D4120" s="1">
        <v>0</v>
      </c>
      <c r="E4120">
        <f>D4120*C4120</f>
        <v>0</v>
      </c>
      <c r="F4120" s="1" t="s">
        <v>16</v>
      </c>
      <c r="G4120" s="17">
        <v>73743</v>
      </c>
    </row>
    <row r="4121" spans="1:7">
      <c r="A4121" s="1" t="s">
        <v>11917</v>
      </c>
      <c r="B4121" s="1" t="s">
        <v>11918</v>
      </c>
      <c r="C4121">
        <f>(1-(B7/100))*886.21</f>
        <v>886.21</v>
      </c>
      <c r="D4121" s="1">
        <v>0</v>
      </c>
      <c r="E4121">
        <f>D4121*C4121</f>
        <v>0</v>
      </c>
      <c r="F4121" s="1" t="s">
        <v>11919</v>
      </c>
      <c r="G4121" s="17">
        <v>73746</v>
      </c>
    </row>
    <row r="4122" spans="1:7">
      <c r="A4122" s="1" t="s">
        <v>11920</v>
      </c>
      <c r="B4122" s="1" t="s">
        <v>11921</v>
      </c>
      <c r="C4122">
        <f>(1-(B7/100))*211.47</f>
        <v>211.47</v>
      </c>
      <c r="D4122" s="1">
        <v>0</v>
      </c>
      <c r="E4122">
        <f>D4122*C4122</f>
        <v>0</v>
      </c>
      <c r="F4122" s="1" t="s">
        <v>11922</v>
      </c>
      <c r="G4122" s="17">
        <v>73753</v>
      </c>
    </row>
    <row r="4123" spans="1:7">
      <c r="A4123" s="1" t="s">
        <v>11923</v>
      </c>
      <c r="B4123" s="1" t="s">
        <v>11924</v>
      </c>
      <c r="C4123">
        <f>(1-(B7/100))*572.51</f>
        <v>572.51</v>
      </c>
      <c r="D4123" s="1">
        <v>0</v>
      </c>
      <c r="E4123">
        <f>D4123*C4123</f>
        <v>0</v>
      </c>
      <c r="F4123" s="1" t="s">
        <v>11925</v>
      </c>
      <c r="G4123" s="17">
        <v>73756</v>
      </c>
    </row>
    <row r="4124" spans="1:7">
      <c r="A4124" s="1" t="s">
        <v>11926</v>
      </c>
      <c r="B4124" s="1" t="s">
        <v>11927</v>
      </c>
      <c r="C4124">
        <f>(1-(B7/100))*611.25</f>
        <v>611.25</v>
      </c>
      <c r="D4124" s="1">
        <v>0</v>
      </c>
      <c r="E4124">
        <f>D4124*C4124</f>
        <v>0</v>
      </c>
      <c r="F4124" s="1" t="s">
        <v>16</v>
      </c>
      <c r="G4124" s="17">
        <v>73798</v>
      </c>
    </row>
    <row r="4125" spans="1:7">
      <c r="A4125" s="1" t="s">
        <v>11928</v>
      </c>
      <c r="B4125" s="1" t="s">
        <v>11929</v>
      </c>
      <c r="C4125">
        <f>(1-(B7/100))*1571.69</f>
        <v>1571.69</v>
      </c>
      <c r="D4125" s="1">
        <v>0</v>
      </c>
      <c r="E4125">
        <f>D4125*C4125</f>
        <v>0</v>
      </c>
      <c r="F4125" s="1" t="s">
        <v>16</v>
      </c>
      <c r="G4125" s="17">
        <v>73818</v>
      </c>
    </row>
    <row r="4126" spans="1:7">
      <c r="A4126" s="1" t="s">
        <v>11930</v>
      </c>
      <c r="B4126" s="1" t="s">
        <v>11931</v>
      </c>
      <c r="C4126">
        <f>(1-(B7/100))*126.49</f>
        <v>126.49</v>
      </c>
      <c r="D4126" s="1">
        <v>0</v>
      </c>
      <c r="E4126">
        <f>D4126*C4126</f>
        <v>0</v>
      </c>
      <c r="F4126" s="1" t="s">
        <v>11932</v>
      </c>
      <c r="G4126" s="17">
        <v>73825</v>
      </c>
    </row>
    <row r="4127" spans="1:7">
      <c r="A4127" s="1" t="s">
        <v>11933</v>
      </c>
      <c r="B4127" s="1" t="s">
        <v>11934</v>
      </c>
      <c r="C4127">
        <f>(1-(B7/100))*260.23</f>
        <v>260.23</v>
      </c>
      <c r="D4127" s="1">
        <v>0</v>
      </c>
      <c r="E4127">
        <f>D4127*C4127</f>
        <v>0</v>
      </c>
      <c r="F4127" s="1" t="s">
        <v>11935</v>
      </c>
      <c r="G4127" s="17">
        <v>73827</v>
      </c>
    </row>
    <row r="4128" spans="1:7">
      <c r="A4128" s="1" t="s">
        <v>11936</v>
      </c>
      <c r="B4128" s="1" t="s">
        <v>11937</v>
      </c>
      <c r="C4128">
        <f>(1-(B7/100))*183.12</f>
        <v>183.12</v>
      </c>
      <c r="D4128" s="1">
        <v>0</v>
      </c>
      <c r="E4128">
        <f>D4128*C4128</f>
        <v>0</v>
      </c>
      <c r="F4128" s="1" t="s">
        <v>11938</v>
      </c>
      <c r="G4128" s="17">
        <v>73835</v>
      </c>
    </row>
    <row r="4129" spans="1:7">
      <c r="A4129" s="1" t="s">
        <v>11939</v>
      </c>
      <c r="B4129" s="1" t="s">
        <v>11940</v>
      </c>
      <c r="C4129">
        <f>(1-(B7/100))*322.17</f>
        <v>322.17</v>
      </c>
      <c r="D4129" s="1">
        <v>0</v>
      </c>
      <c r="E4129">
        <f>D4129*C4129</f>
        <v>0</v>
      </c>
      <c r="F4129" s="1" t="s">
        <v>11941</v>
      </c>
      <c r="G4129" s="17">
        <v>74110</v>
      </c>
    </row>
    <row r="4130" spans="1:7">
      <c r="A4130" s="1">
        <v>10092467</v>
      </c>
      <c r="B4130" s="1" t="s">
        <v>11942</v>
      </c>
      <c r="C4130">
        <f>(1-(B7/100))*2995.73</f>
        <v>2995.73</v>
      </c>
      <c r="D4130" s="1">
        <v>0</v>
      </c>
      <c r="E4130">
        <f>D4130*C4130</f>
        <v>0</v>
      </c>
      <c r="F4130" s="1" t="s">
        <v>11943</v>
      </c>
      <c r="G4130" s="17">
        <v>74149</v>
      </c>
    </row>
    <row r="4131" spans="1:7">
      <c r="A4131" s="1" t="s">
        <v>11944</v>
      </c>
      <c r="B4131" s="1" t="s">
        <v>11945</v>
      </c>
      <c r="C4131">
        <f>(1-(B7/100))*27.19</f>
        <v>27.19</v>
      </c>
      <c r="D4131" s="1">
        <v>0</v>
      </c>
      <c r="E4131">
        <f>D4131*C4131</f>
        <v>0</v>
      </c>
      <c r="F4131" s="1" t="s">
        <v>11946</v>
      </c>
      <c r="G4131" s="17">
        <v>74161</v>
      </c>
    </row>
    <row r="4132" spans="1:7">
      <c r="A4132" s="1" t="s">
        <v>11947</v>
      </c>
      <c r="B4132" s="1" t="s">
        <v>11948</v>
      </c>
      <c r="C4132">
        <f>(1-(B7/100))*113.16</f>
        <v>113.16</v>
      </c>
      <c r="D4132" s="1">
        <v>0</v>
      </c>
      <c r="E4132">
        <f>D4132*C4132</f>
        <v>0</v>
      </c>
      <c r="F4132" s="1" t="s">
        <v>11949</v>
      </c>
      <c r="G4132" s="17">
        <v>74166</v>
      </c>
    </row>
    <row r="4133" spans="1:7">
      <c r="A4133" s="1" t="s">
        <v>11950</v>
      </c>
      <c r="B4133" s="1" t="s">
        <v>11951</v>
      </c>
      <c r="C4133">
        <f>(1-(B7/100))*238.89</f>
        <v>238.89</v>
      </c>
      <c r="D4133" s="1">
        <v>0</v>
      </c>
      <c r="E4133">
        <f>D4133*C4133</f>
        <v>0</v>
      </c>
      <c r="F4133" s="1" t="s">
        <v>11952</v>
      </c>
      <c r="G4133" s="17">
        <v>74266</v>
      </c>
    </row>
    <row r="4134" spans="1:7">
      <c r="A4134" s="1" t="s">
        <v>11953</v>
      </c>
      <c r="B4134" s="1" t="s">
        <v>11954</v>
      </c>
      <c r="C4134">
        <f>(1-(B7/100))*281</f>
        <v>281</v>
      </c>
      <c r="D4134" s="1">
        <v>0</v>
      </c>
      <c r="E4134">
        <f>D4134*C4134</f>
        <v>0</v>
      </c>
      <c r="F4134" s="1" t="s">
        <v>11955</v>
      </c>
      <c r="G4134" s="17">
        <v>75450</v>
      </c>
    </row>
    <row r="4135" spans="1:7">
      <c r="A4135" s="1" t="s">
        <v>11956</v>
      </c>
      <c r="B4135" s="1" t="s">
        <v>11957</v>
      </c>
      <c r="C4135">
        <f>(1-(B7/100))*63.86</f>
        <v>63.86</v>
      </c>
      <c r="D4135" s="1">
        <v>0</v>
      </c>
      <c r="E4135">
        <f>D4135*C4135</f>
        <v>0</v>
      </c>
      <c r="F4135" s="1" t="s">
        <v>11958</v>
      </c>
      <c r="G4135" s="17">
        <v>79002</v>
      </c>
    </row>
    <row r="4136" spans="1:7">
      <c r="A4136" s="1" t="s">
        <v>11959</v>
      </c>
      <c r="B4136" s="1" t="s">
        <v>11960</v>
      </c>
      <c r="C4136">
        <f>(1-(B7/100))*63.86</f>
        <v>63.86</v>
      </c>
      <c r="D4136" s="1">
        <v>0</v>
      </c>
      <c r="E4136">
        <f>D4136*C4136</f>
        <v>0</v>
      </c>
      <c r="F4136" s="1" t="s">
        <v>11961</v>
      </c>
      <c r="G4136" s="17">
        <v>79005</v>
      </c>
    </row>
    <row r="4137" spans="1:7">
      <c r="A4137" s="1" t="s">
        <v>11962</v>
      </c>
      <c r="B4137" s="1" t="s">
        <v>11963</v>
      </c>
      <c r="C4137">
        <f>(1-(B7/100))*21.97</f>
        <v>21.97</v>
      </c>
      <c r="D4137" s="1">
        <v>0</v>
      </c>
      <c r="E4137">
        <f>D4137*C4137</f>
        <v>0</v>
      </c>
      <c r="F4137" s="1" t="s">
        <v>11964</v>
      </c>
      <c r="G4137" s="17">
        <v>79060</v>
      </c>
    </row>
    <row r="4138" spans="1:7">
      <c r="A4138" s="1" t="s">
        <v>11965</v>
      </c>
      <c r="B4138" s="1" t="s">
        <v>11966</v>
      </c>
      <c r="C4138">
        <f>(1-(B7/100))*52.09</f>
        <v>52.09</v>
      </c>
      <c r="D4138" s="1">
        <v>0</v>
      </c>
      <c r="E4138">
        <f>D4138*C4138</f>
        <v>0</v>
      </c>
      <c r="F4138" s="1" t="s">
        <v>11967</v>
      </c>
      <c r="G4138" s="17">
        <v>79089</v>
      </c>
    </row>
    <row r="4139" spans="1:7">
      <c r="A4139" s="1">
        <v>16109389</v>
      </c>
      <c r="B4139" s="1" t="s">
        <v>11968</v>
      </c>
      <c r="C4139">
        <f>(1-(B7/100))*7900</f>
        <v>7900</v>
      </c>
      <c r="D4139" s="1">
        <v>0</v>
      </c>
      <c r="E4139">
        <f>D4139*C4139</f>
        <v>0</v>
      </c>
      <c r="F4139" s="1" t="s">
        <v>11969</v>
      </c>
      <c r="G4139" s="17">
        <v>79096</v>
      </c>
    </row>
    <row r="4140" spans="1:7">
      <c r="A4140" s="1" t="s">
        <v>11970</v>
      </c>
      <c r="B4140" s="1" t="s">
        <v>11971</v>
      </c>
      <c r="C4140">
        <f>(1-(B7/100))*63.86</f>
        <v>63.86</v>
      </c>
      <c r="D4140" s="1">
        <v>0</v>
      </c>
      <c r="E4140">
        <f>D4140*C4140</f>
        <v>0</v>
      </c>
      <c r="F4140" s="1" t="s">
        <v>11972</v>
      </c>
      <c r="G4140" s="17">
        <v>79390</v>
      </c>
    </row>
    <row r="4141" spans="1:7">
      <c r="A4141" s="1" t="s">
        <v>11973</v>
      </c>
      <c r="B4141" s="1" t="s">
        <v>11974</v>
      </c>
      <c r="C4141">
        <f>(1-(B7/100))*82.03</f>
        <v>82.03</v>
      </c>
      <c r="D4141" s="1">
        <v>0</v>
      </c>
      <c r="E4141">
        <f>D4141*C4141</f>
        <v>0</v>
      </c>
      <c r="F4141" s="1" t="s">
        <v>11975</v>
      </c>
      <c r="G4141" s="17">
        <v>79391</v>
      </c>
    </row>
    <row r="4142" spans="1:7">
      <c r="A4142" s="1" t="s">
        <v>11976</v>
      </c>
      <c r="B4142" s="1" t="s">
        <v>11977</v>
      </c>
      <c r="C4142">
        <f>(1-(B7/100))*22.38</f>
        <v>22.38</v>
      </c>
      <c r="D4142" s="1">
        <v>0</v>
      </c>
      <c r="E4142">
        <f>D4142*C4142</f>
        <v>0</v>
      </c>
      <c r="F4142" s="1" t="s">
        <v>11978</v>
      </c>
      <c r="G4142" s="17">
        <v>80555</v>
      </c>
    </row>
    <row r="4143" spans="1:7">
      <c r="A4143" s="1" t="s">
        <v>11979</v>
      </c>
      <c r="B4143" s="1" t="s">
        <v>11980</v>
      </c>
      <c r="C4143">
        <f>(1-(B7/100))*819.64</f>
        <v>819.64</v>
      </c>
      <c r="D4143" s="1">
        <v>0</v>
      </c>
      <c r="E4143">
        <f>D4143*C4143</f>
        <v>0</v>
      </c>
      <c r="F4143" s="1" t="s">
        <v>11981</v>
      </c>
      <c r="G4143" s="17">
        <v>81350</v>
      </c>
    </row>
    <row r="4144" spans="1:7">
      <c r="A4144" s="1" t="s">
        <v>11982</v>
      </c>
      <c r="B4144" s="1" t="s">
        <v>11983</v>
      </c>
      <c r="C4144">
        <f>(1-(B7/100))*1247.24</f>
        <v>1247.24</v>
      </c>
      <c r="D4144" s="1">
        <v>0</v>
      </c>
      <c r="E4144">
        <f>D4144*C4144</f>
        <v>0</v>
      </c>
      <c r="F4144" s="1" t="s">
        <v>11984</v>
      </c>
      <c r="G4144" s="17">
        <v>81352</v>
      </c>
    </row>
    <row r="4145" spans="1:7">
      <c r="A4145" s="1" t="s">
        <v>11985</v>
      </c>
      <c r="B4145" s="1" t="s">
        <v>11986</v>
      </c>
      <c r="C4145">
        <f>(1-(B7/100))*1246.66</f>
        <v>1246.66</v>
      </c>
      <c r="D4145" s="1">
        <v>0</v>
      </c>
      <c r="E4145">
        <f>D4145*C4145</f>
        <v>0</v>
      </c>
      <c r="F4145" s="1" t="s">
        <v>11987</v>
      </c>
      <c r="G4145" s="17">
        <v>81354</v>
      </c>
    </row>
    <row r="4146" spans="1:7">
      <c r="A4146" s="1" t="s">
        <v>11988</v>
      </c>
      <c r="B4146" s="1" t="s">
        <v>11989</v>
      </c>
      <c r="C4146">
        <f>(1-(B7/100))*1094.71</f>
        <v>1094.71</v>
      </c>
      <c r="D4146" s="1">
        <v>0</v>
      </c>
      <c r="E4146">
        <f>D4146*C4146</f>
        <v>0</v>
      </c>
      <c r="F4146" s="1" t="s">
        <v>11990</v>
      </c>
      <c r="G4146" s="17">
        <v>81376</v>
      </c>
    </row>
    <row r="4147" spans="1:7">
      <c r="A4147" s="1" t="s">
        <v>11991</v>
      </c>
      <c r="B4147" s="1" t="s">
        <v>11992</v>
      </c>
      <c r="C4147">
        <f>(1-(B7/100))*2673.01</f>
        <v>2673.01</v>
      </c>
      <c r="D4147" s="1">
        <v>0</v>
      </c>
      <c r="E4147">
        <f>D4147*C4147</f>
        <v>0</v>
      </c>
      <c r="F4147" s="1" t="s">
        <v>11993</v>
      </c>
      <c r="G4147" s="17">
        <v>81384</v>
      </c>
    </row>
    <row r="4148" spans="1:7">
      <c r="A4148" s="1" t="s">
        <v>11994</v>
      </c>
      <c r="B4148" s="1" t="s">
        <v>11995</v>
      </c>
      <c r="C4148">
        <f>(1-(B7/100))*2485.17</f>
        <v>2485.17</v>
      </c>
      <c r="D4148" s="1">
        <v>0</v>
      </c>
      <c r="E4148">
        <f>D4148*C4148</f>
        <v>0</v>
      </c>
      <c r="F4148" s="1" t="s">
        <v>11996</v>
      </c>
      <c r="G4148" s="17">
        <v>81385</v>
      </c>
    </row>
    <row r="4149" spans="1:7">
      <c r="A4149" s="1" t="s">
        <v>11997</v>
      </c>
      <c r="B4149" s="1" t="s">
        <v>11998</v>
      </c>
      <c r="C4149">
        <f>(1-(B7/100))*1104.16</f>
        <v>1104.16</v>
      </c>
      <c r="D4149" s="1">
        <v>0</v>
      </c>
      <c r="E4149">
        <f>D4149*C4149</f>
        <v>0</v>
      </c>
      <c r="F4149" s="1" t="s">
        <v>11999</v>
      </c>
      <c r="G4149" s="17">
        <v>81387</v>
      </c>
    </row>
    <row r="4150" spans="1:7">
      <c r="A4150" s="1" t="s">
        <v>12000</v>
      </c>
      <c r="B4150" s="1" t="s">
        <v>12001</v>
      </c>
      <c r="C4150">
        <f>(1-(B7/100))*1145.03</f>
        <v>1145.03</v>
      </c>
      <c r="D4150" s="1">
        <v>0</v>
      </c>
      <c r="E4150">
        <f>D4150*C4150</f>
        <v>0</v>
      </c>
      <c r="F4150" s="1" t="s">
        <v>12002</v>
      </c>
      <c r="G4150" s="17">
        <v>81406</v>
      </c>
    </row>
    <row r="4151" spans="1:7">
      <c r="A4151" s="1" t="s">
        <v>12003</v>
      </c>
      <c r="B4151" s="1" t="s">
        <v>12004</v>
      </c>
      <c r="C4151">
        <f>(1-(B7/100))*844.6</f>
        <v>844.6</v>
      </c>
      <c r="D4151" s="1">
        <v>0</v>
      </c>
      <c r="E4151">
        <f>D4151*C4151</f>
        <v>0</v>
      </c>
      <c r="F4151" s="1" t="s">
        <v>12005</v>
      </c>
      <c r="G4151" s="17">
        <v>81419</v>
      </c>
    </row>
    <row r="4152" spans="1:7">
      <c r="A4152" s="1" t="s">
        <v>12006</v>
      </c>
      <c r="B4152" s="1" t="s">
        <v>12007</v>
      </c>
      <c r="C4152">
        <f>(1-(B7/100))*1555.68</f>
        <v>1555.68</v>
      </c>
      <c r="D4152" s="1">
        <v>0</v>
      </c>
      <c r="E4152">
        <f>D4152*C4152</f>
        <v>0</v>
      </c>
      <c r="F4152" s="1" t="s">
        <v>12008</v>
      </c>
      <c r="G4152" s="17">
        <v>81426</v>
      </c>
    </row>
    <row r="4153" spans="1:7">
      <c r="A4153" s="1" t="s">
        <v>12009</v>
      </c>
      <c r="B4153" s="1" t="s">
        <v>12010</v>
      </c>
      <c r="C4153">
        <f>(1-(B7/100))*110.32</f>
        <v>110.32</v>
      </c>
      <c r="D4153" s="1">
        <v>0</v>
      </c>
      <c r="E4153">
        <f>D4153*C4153</f>
        <v>0</v>
      </c>
      <c r="F4153" s="1" t="s">
        <v>12011</v>
      </c>
      <c r="G4153" s="17">
        <v>81433</v>
      </c>
    </row>
    <row r="4154" spans="1:7">
      <c r="A4154" s="1" t="s">
        <v>12012</v>
      </c>
      <c r="B4154" s="1" t="s">
        <v>12013</v>
      </c>
      <c r="C4154">
        <f>(1-(B7/100))*22.93</f>
        <v>22.93</v>
      </c>
      <c r="D4154" s="1">
        <v>0</v>
      </c>
      <c r="E4154">
        <f>D4154*C4154</f>
        <v>0</v>
      </c>
      <c r="F4154" s="1" t="s">
        <v>12014</v>
      </c>
      <c r="G4154" s="17">
        <v>81442</v>
      </c>
    </row>
    <row r="4155" spans="1:7">
      <c r="A4155" s="1" t="s">
        <v>12015</v>
      </c>
      <c r="B4155" s="1" t="s">
        <v>12016</v>
      </c>
      <c r="C4155">
        <f>(1-(B7/100))*24.84</f>
        <v>24.84</v>
      </c>
      <c r="D4155" s="1">
        <v>0</v>
      </c>
      <c r="E4155">
        <f>D4155*C4155</f>
        <v>0</v>
      </c>
      <c r="F4155" s="1" t="s">
        <v>12017</v>
      </c>
      <c r="G4155" s="17">
        <v>81443</v>
      </c>
    </row>
    <row r="4156" spans="1:7">
      <c r="A4156" s="1" t="s">
        <v>12018</v>
      </c>
      <c r="B4156" s="1" t="s">
        <v>12019</v>
      </c>
      <c r="C4156">
        <f>(1-(B7/100))*124.91</f>
        <v>124.91</v>
      </c>
      <c r="D4156" s="1">
        <v>0</v>
      </c>
      <c r="E4156">
        <f>D4156*C4156</f>
        <v>0</v>
      </c>
      <c r="F4156" s="1" t="s">
        <v>12020</v>
      </c>
      <c r="G4156" s="17">
        <v>81444</v>
      </c>
    </row>
    <row r="4157" spans="1:7">
      <c r="A4157" s="1" t="s">
        <v>12021</v>
      </c>
      <c r="B4157" s="1" t="s">
        <v>12022</v>
      </c>
      <c r="C4157">
        <f>(1-(B7/100))*139.64</f>
        <v>139.64</v>
      </c>
      <c r="D4157" s="1">
        <v>0</v>
      </c>
      <c r="E4157">
        <f>D4157*C4157</f>
        <v>0</v>
      </c>
      <c r="F4157" s="1" t="s">
        <v>12023</v>
      </c>
      <c r="G4157" s="17">
        <v>81448</v>
      </c>
    </row>
    <row r="4158" spans="1:7">
      <c r="A4158" s="1" t="s">
        <v>12024</v>
      </c>
      <c r="B4158" s="1" t="s">
        <v>12025</v>
      </c>
      <c r="C4158">
        <f>(1-(B7/100))*63.95</f>
        <v>63.95</v>
      </c>
      <c r="D4158" s="1">
        <v>0</v>
      </c>
      <c r="E4158">
        <f>D4158*C4158</f>
        <v>0</v>
      </c>
      <c r="F4158" s="1" t="s">
        <v>12026</v>
      </c>
      <c r="G4158" s="17">
        <v>81453</v>
      </c>
    </row>
    <row r="4159" spans="1:7">
      <c r="A4159" s="1" t="s">
        <v>12027</v>
      </c>
      <c r="B4159" s="1" t="s">
        <v>12028</v>
      </c>
      <c r="C4159">
        <f>(1-(B7/100))*26.39</f>
        <v>26.39</v>
      </c>
      <c r="D4159" s="1">
        <v>0</v>
      </c>
      <c r="E4159">
        <f>D4159*C4159</f>
        <v>0</v>
      </c>
      <c r="F4159" s="1" t="s">
        <v>12029</v>
      </c>
      <c r="G4159" s="17">
        <v>81454</v>
      </c>
    </row>
    <row r="4160" spans="1:7">
      <c r="A4160" s="1" t="s">
        <v>12030</v>
      </c>
      <c r="B4160" s="1" t="s">
        <v>12031</v>
      </c>
      <c r="C4160">
        <f>(1-(B7/100))*1634.95</f>
        <v>1634.95</v>
      </c>
      <c r="D4160" s="1">
        <v>0</v>
      </c>
      <c r="E4160">
        <f>D4160*C4160</f>
        <v>0</v>
      </c>
      <c r="F4160" s="1" t="s">
        <v>12032</v>
      </c>
      <c r="G4160" s="17">
        <v>81461</v>
      </c>
    </row>
    <row r="4161" spans="1:7">
      <c r="A4161" s="1" t="s">
        <v>12033</v>
      </c>
      <c r="B4161" s="1" t="s">
        <v>12034</v>
      </c>
      <c r="C4161">
        <f>(1-(B7/100))*1811.93</f>
        <v>1811.93</v>
      </c>
      <c r="D4161" s="1">
        <v>0</v>
      </c>
      <c r="E4161">
        <f>D4161*C4161</f>
        <v>0</v>
      </c>
      <c r="F4161" s="1" t="s">
        <v>12035</v>
      </c>
      <c r="G4161" s="17">
        <v>81462</v>
      </c>
    </row>
    <row r="4162" spans="1:7">
      <c r="A4162" s="1" t="s">
        <v>12036</v>
      </c>
      <c r="B4162" s="1" t="s">
        <v>12037</v>
      </c>
      <c r="C4162">
        <f>(1-(B7/100))*1747.72</f>
        <v>1747.72</v>
      </c>
      <c r="D4162" s="1">
        <v>0</v>
      </c>
      <c r="E4162">
        <f>D4162*C4162</f>
        <v>0</v>
      </c>
      <c r="F4162" s="1" t="s">
        <v>12038</v>
      </c>
      <c r="G4162" s="17">
        <v>81469</v>
      </c>
    </row>
    <row r="4163" spans="1:7">
      <c r="A4163" s="1" t="s">
        <v>12039</v>
      </c>
      <c r="B4163" s="1" t="s">
        <v>12040</v>
      </c>
      <c r="C4163">
        <f>(1-(B7/100))*1578.57</f>
        <v>1578.57</v>
      </c>
      <c r="D4163" s="1">
        <v>0</v>
      </c>
      <c r="E4163">
        <f>D4163*C4163</f>
        <v>0</v>
      </c>
      <c r="F4163" s="1" t="s">
        <v>12041</v>
      </c>
      <c r="G4163" s="17">
        <v>81470</v>
      </c>
    </row>
    <row r="4164" spans="1:7">
      <c r="A4164" s="1" t="s">
        <v>12042</v>
      </c>
      <c r="B4164" s="1" t="s">
        <v>12043</v>
      </c>
      <c r="C4164">
        <f>(1-(B7/100))*1782.48</f>
        <v>1782.48</v>
      </c>
      <c r="D4164" s="1">
        <v>0</v>
      </c>
      <c r="E4164">
        <f>D4164*C4164</f>
        <v>0</v>
      </c>
      <c r="F4164" s="1" t="s">
        <v>12044</v>
      </c>
      <c r="G4164" s="17">
        <v>81472</v>
      </c>
    </row>
    <row r="4165" spans="1:7">
      <c r="A4165" s="1" t="s">
        <v>12045</v>
      </c>
      <c r="B4165" s="1" t="s">
        <v>12046</v>
      </c>
      <c r="C4165">
        <f>(1-(B7/100))*1717.54</f>
        <v>1717.54</v>
      </c>
      <c r="D4165" s="1">
        <v>0</v>
      </c>
      <c r="E4165">
        <f>D4165*C4165</f>
        <v>0</v>
      </c>
      <c r="F4165" s="1" t="s">
        <v>12047</v>
      </c>
      <c r="G4165" s="17">
        <v>81474</v>
      </c>
    </row>
    <row r="4166" spans="1:7">
      <c r="A4166" s="1" t="s">
        <v>12048</v>
      </c>
      <c r="B4166" s="1" t="s">
        <v>12049</v>
      </c>
      <c r="C4166">
        <f>(1-(B7/100))*1772.99</f>
        <v>1772.99</v>
      </c>
      <c r="D4166" s="1">
        <v>0</v>
      </c>
      <c r="E4166">
        <f>D4166*C4166</f>
        <v>0</v>
      </c>
      <c r="F4166" s="1" t="s">
        <v>12050</v>
      </c>
      <c r="G4166" s="17">
        <v>81486</v>
      </c>
    </row>
    <row r="4167" spans="1:7">
      <c r="A4167" s="1" t="s">
        <v>12051</v>
      </c>
      <c r="B4167" s="1" t="s">
        <v>12052</v>
      </c>
      <c r="C4167">
        <f>(1-(B7/100))*1747.72</f>
        <v>1747.72</v>
      </c>
      <c r="D4167" s="1">
        <v>0</v>
      </c>
      <c r="E4167">
        <f>D4167*C4167</f>
        <v>0</v>
      </c>
      <c r="F4167" s="1" t="s">
        <v>12053</v>
      </c>
      <c r="G4167" s="17">
        <v>81494</v>
      </c>
    </row>
    <row r="4168" spans="1:7">
      <c r="A4168" s="1" t="s">
        <v>12054</v>
      </c>
      <c r="B4168" s="1" t="s">
        <v>12055</v>
      </c>
      <c r="C4168">
        <f>(1-(B7/100))*1916.84</f>
        <v>1916.84</v>
      </c>
      <c r="D4168" s="1">
        <v>0</v>
      </c>
      <c r="E4168">
        <f>D4168*C4168</f>
        <v>0</v>
      </c>
      <c r="F4168" s="1" t="s">
        <v>12056</v>
      </c>
      <c r="G4168" s="17">
        <v>81495</v>
      </c>
    </row>
    <row r="4169" spans="1:7">
      <c r="A4169" s="1" t="s">
        <v>12057</v>
      </c>
      <c r="B4169" s="1" t="s">
        <v>12058</v>
      </c>
      <c r="C4169">
        <f>(1-(B7/100))*1712.65</f>
        <v>1712.65</v>
      </c>
      <c r="D4169" s="1">
        <v>0</v>
      </c>
      <c r="E4169">
        <f>D4169*C4169</f>
        <v>0</v>
      </c>
      <c r="F4169" s="1" t="s">
        <v>12059</v>
      </c>
      <c r="G4169" s="17">
        <v>81498</v>
      </c>
    </row>
    <row r="4170" spans="1:7">
      <c r="A4170" s="1" t="s">
        <v>12060</v>
      </c>
      <c r="B4170" s="1" t="s">
        <v>12061</v>
      </c>
      <c r="C4170">
        <f>(1-(B7/100))*523.17</f>
        <v>523.17</v>
      </c>
      <c r="D4170" s="1">
        <v>0</v>
      </c>
      <c r="E4170">
        <f>D4170*C4170</f>
        <v>0</v>
      </c>
      <c r="F4170" s="1" t="s">
        <v>12062</v>
      </c>
      <c r="G4170" s="17">
        <v>81507</v>
      </c>
    </row>
    <row r="4171" spans="1:7">
      <c r="A4171" s="1" t="s">
        <v>12063</v>
      </c>
      <c r="B4171" s="1" t="s">
        <v>12064</v>
      </c>
      <c r="C4171">
        <f>(1-(B7/100))*392.23</f>
        <v>392.23</v>
      </c>
      <c r="D4171" s="1">
        <v>0</v>
      </c>
      <c r="E4171">
        <f>D4171*C4171</f>
        <v>0</v>
      </c>
      <c r="F4171" s="1" t="s">
        <v>12065</v>
      </c>
      <c r="G4171" s="17">
        <v>81519</v>
      </c>
    </row>
    <row r="4172" spans="1:7">
      <c r="A4172" s="1" t="s">
        <v>12066</v>
      </c>
      <c r="B4172" s="1" t="s">
        <v>12067</v>
      </c>
      <c r="C4172">
        <f>(1-(B7/100))*147.13</f>
        <v>147.13</v>
      </c>
      <c r="D4172" s="1">
        <v>0</v>
      </c>
      <c r="E4172">
        <f>D4172*C4172</f>
        <v>0</v>
      </c>
      <c r="F4172" s="1" t="s">
        <v>12068</v>
      </c>
      <c r="G4172" s="17">
        <v>81520</v>
      </c>
    </row>
    <row r="4173" spans="1:7">
      <c r="A4173" s="1" t="s">
        <v>12069</v>
      </c>
      <c r="B4173" s="1" t="s">
        <v>12070</v>
      </c>
      <c r="C4173">
        <f>(1-(B7/100))*191.58</f>
        <v>191.58</v>
      </c>
      <c r="D4173" s="1">
        <v>0</v>
      </c>
      <c r="E4173">
        <f>D4173*C4173</f>
        <v>0</v>
      </c>
      <c r="F4173" s="1" t="s">
        <v>12071</v>
      </c>
      <c r="G4173" s="17">
        <v>81521</v>
      </c>
    </row>
    <row r="4174" spans="1:7">
      <c r="A4174" s="1" t="s">
        <v>12072</v>
      </c>
      <c r="B4174" s="1" t="s">
        <v>12073</v>
      </c>
      <c r="C4174">
        <f>(1-(B7/100))*620.16</f>
        <v>620.16</v>
      </c>
      <c r="D4174" s="1">
        <v>0</v>
      </c>
      <c r="E4174">
        <f>D4174*C4174</f>
        <v>0</v>
      </c>
      <c r="F4174" s="1" t="s">
        <v>12074</v>
      </c>
      <c r="G4174" s="17">
        <v>81528</v>
      </c>
    </row>
    <row r="4175" spans="1:7">
      <c r="A4175" s="1" t="s">
        <v>12075</v>
      </c>
      <c r="B4175" s="1" t="s">
        <v>12076</v>
      </c>
      <c r="C4175">
        <f>(1-(B7/100))*231.47</f>
        <v>231.47</v>
      </c>
      <c r="D4175" s="1">
        <v>0</v>
      </c>
      <c r="E4175">
        <f>D4175*C4175</f>
        <v>0</v>
      </c>
      <c r="F4175" s="1" t="s">
        <v>12077</v>
      </c>
      <c r="G4175" s="17">
        <v>81530</v>
      </c>
    </row>
    <row r="4176" spans="1:7">
      <c r="A4176" s="1" t="s">
        <v>12078</v>
      </c>
      <c r="B4176" s="1" t="s">
        <v>12079</v>
      </c>
      <c r="C4176">
        <f>(1-(B7/100))*216.78</f>
        <v>216.78</v>
      </c>
      <c r="D4176" s="1">
        <v>0</v>
      </c>
      <c r="E4176">
        <f>D4176*C4176</f>
        <v>0</v>
      </c>
      <c r="F4176" s="1" t="s">
        <v>12080</v>
      </c>
      <c r="G4176" s="17">
        <v>81531</v>
      </c>
    </row>
    <row r="4177" spans="1:7">
      <c r="A4177" s="1" t="s">
        <v>12081</v>
      </c>
      <c r="B4177" s="1" t="s">
        <v>12082</v>
      </c>
      <c r="C4177">
        <f>(1-(B7/100))*942.08</f>
        <v>942.08</v>
      </c>
      <c r="D4177" s="1">
        <v>0</v>
      </c>
      <c r="E4177">
        <f>D4177*C4177</f>
        <v>0</v>
      </c>
      <c r="F4177" s="1" t="s">
        <v>12083</v>
      </c>
      <c r="G4177" s="17">
        <v>81532</v>
      </c>
    </row>
    <row r="4178" spans="1:7">
      <c r="A4178" s="1" t="s">
        <v>12084</v>
      </c>
      <c r="B4178" s="1" t="s">
        <v>12085</v>
      </c>
      <c r="C4178">
        <f>(1-(B7/100))*963.98</f>
        <v>963.98</v>
      </c>
      <c r="D4178" s="1">
        <v>0</v>
      </c>
      <c r="E4178">
        <f>D4178*C4178</f>
        <v>0</v>
      </c>
      <c r="F4178" s="1" t="s">
        <v>12086</v>
      </c>
      <c r="G4178" s="17">
        <v>81535</v>
      </c>
    </row>
    <row r="4179" spans="1:7">
      <c r="A4179" s="1" t="s">
        <v>12087</v>
      </c>
      <c r="B4179" s="1" t="s">
        <v>12088</v>
      </c>
      <c r="C4179">
        <f>(1-(B7/100))*977.43</f>
        <v>977.43</v>
      </c>
      <c r="D4179" s="1">
        <v>0</v>
      </c>
      <c r="E4179">
        <f>D4179*C4179</f>
        <v>0</v>
      </c>
      <c r="F4179" s="1" t="s">
        <v>12089</v>
      </c>
      <c r="G4179" s="17">
        <v>81538</v>
      </c>
    </row>
    <row r="4180" spans="1:7">
      <c r="A4180" s="1" t="s">
        <v>12090</v>
      </c>
      <c r="B4180" s="1" t="s">
        <v>12091</v>
      </c>
      <c r="C4180">
        <f>(1-(B7/100))*808.97</f>
        <v>808.97</v>
      </c>
      <c r="D4180" s="1">
        <v>0</v>
      </c>
      <c r="E4180">
        <f>D4180*C4180</f>
        <v>0</v>
      </c>
      <c r="F4180" s="1" t="s">
        <v>12092</v>
      </c>
      <c r="G4180" s="17">
        <v>81540</v>
      </c>
    </row>
    <row r="4181" spans="1:7">
      <c r="A4181" s="1" t="s">
        <v>12093</v>
      </c>
      <c r="B4181" s="1" t="s">
        <v>12094</v>
      </c>
      <c r="C4181">
        <f>(1-(B7/100))*808.97</f>
        <v>808.97</v>
      </c>
      <c r="D4181" s="1">
        <v>0</v>
      </c>
      <c r="E4181">
        <f>D4181*C4181</f>
        <v>0</v>
      </c>
      <c r="F4181" s="1" t="s">
        <v>12095</v>
      </c>
      <c r="G4181" s="17">
        <v>81541</v>
      </c>
    </row>
    <row r="4182" spans="1:7">
      <c r="A4182" s="1" t="s">
        <v>12096</v>
      </c>
      <c r="B4182" s="1" t="s">
        <v>12097</v>
      </c>
      <c r="C4182">
        <f>(1-(B7/100))*253.13</f>
        <v>253.13</v>
      </c>
      <c r="D4182" s="1">
        <v>0</v>
      </c>
      <c r="E4182">
        <f>D4182*C4182</f>
        <v>0</v>
      </c>
      <c r="F4182" s="1" t="s">
        <v>12098</v>
      </c>
      <c r="G4182" s="17">
        <v>81542</v>
      </c>
    </row>
    <row r="4183" spans="1:7">
      <c r="A4183" s="1" t="s">
        <v>12099</v>
      </c>
      <c r="B4183" s="1" t="s">
        <v>12100</v>
      </c>
      <c r="C4183">
        <f>(1-(B7/100))*263.87</f>
        <v>263.87</v>
      </c>
      <c r="D4183" s="1">
        <v>0</v>
      </c>
      <c r="E4183">
        <f>D4183*C4183</f>
        <v>0</v>
      </c>
      <c r="F4183" s="1" t="s">
        <v>12101</v>
      </c>
      <c r="G4183" s="17">
        <v>81545</v>
      </c>
    </row>
    <row r="4184" spans="1:7">
      <c r="A4184" s="1" t="s">
        <v>12102</v>
      </c>
      <c r="B4184" s="1" t="s">
        <v>12103</v>
      </c>
      <c r="C4184">
        <f>(1-(B7/100))*1042.3</f>
        <v>1042.3</v>
      </c>
      <c r="D4184" s="1">
        <v>0</v>
      </c>
      <c r="E4184">
        <f>D4184*C4184</f>
        <v>0</v>
      </c>
      <c r="F4184" s="1" t="s">
        <v>12104</v>
      </c>
      <c r="G4184" s="17">
        <v>81555</v>
      </c>
    </row>
    <row r="4185" spans="1:7">
      <c r="A4185" s="1" t="s">
        <v>12105</v>
      </c>
      <c r="B4185" s="1" t="s">
        <v>12106</v>
      </c>
      <c r="C4185">
        <f>(1-(B7/100))*2740.65</f>
        <v>2740.65</v>
      </c>
      <c r="D4185" s="1">
        <v>0</v>
      </c>
      <c r="E4185">
        <f>D4185*C4185</f>
        <v>0</v>
      </c>
      <c r="F4185" s="1" t="s">
        <v>12107</v>
      </c>
      <c r="G4185" s="17">
        <v>81560</v>
      </c>
    </row>
    <row r="4186" spans="1:7">
      <c r="A4186" s="1" t="s">
        <v>12108</v>
      </c>
      <c r="B4186" s="1" t="s">
        <v>12109</v>
      </c>
      <c r="C4186">
        <f>(1-(B7/100))*209.33</f>
        <v>209.33</v>
      </c>
      <c r="D4186" s="1">
        <v>0</v>
      </c>
      <c r="E4186">
        <f>D4186*C4186</f>
        <v>0</v>
      </c>
      <c r="F4186" s="1" t="s">
        <v>12110</v>
      </c>
      <c r="G4186" s="17">
        <v>81573</v>
      </c>
    </row>
    <row r="4187" spans="1:7">
      <c r="A4187" s="1" t="s">
        <v>12111</v>
      </c>
      <c r="B4187" s="1" t="s">
        <v>12112</v>
      </c>
      <c r="C4187">
        <f>(1-(B7/100))*105.33</f>
        <v>105.33</v>
      </c>
      <c r="D4187" s="1">
        <v>0</v>
      </c>
      <c r="E4187">
        <f>D4187*C4187</f>
        <v>0</v>
      </c>
      <c r="F4187" s="1" t="s">
        <v>12113</v>
      </c>
      <c r="G4187" s="17">
        <v>81574</v>
      </c>
    </row>
    <row r="4188" spans="1:7">
      <c r="A4188" s="1" t="s">
        <v>12114</v>
      </c>
      <c r="B4188" s="1" t="s">
        <v>12115</v>
      </c>
      <c r="C4188">
        <f>(1-(B7/100))*745.97</f>
        <v>745.97</v>
      </c>
      <c r="D4188" s="1">
        <v>0</v>
      </c>
      <c r="E4188">
        <f>D4188*C4188</f>
        <v>0</v>
      </c>
      <c r="F4188" s="1" t="s">
        <v>12116</v>
      </c>
      <c r="G4188" s="17">
        <v>81589</v>
      </c>
    </row>
    <row r="4189" spans="1:7">
      <c r="A4189" s="1" t="s">
        <v>12117</v>
      </c>
      <c r="B4189" s="1" t="s">
        <v>12118</v>
      </c>
      <c r="C4189">
        <f>(1-(B7/100))*1001.34</f>
        <v>1001.34</v>
      </c>
      <c r="D4189" s="1">
        <v>0</v>
      </c>
      <c r="E4189">
        <f>D4189*C4189</f>
        <v>0</v>
      </c>
      <c r="F4189" s="1" t="s">
        <v>12119</v>
      </c>
      <c r="G4189" s="17">
        <v>81591</v>
      </c>
    </row>
    <row r="4190" spans="1:7">
      <c r="A4190" s="1" t="s">
        <v>12120</v>
      </c>
      <c r="B4190" s="1" t="s">
        <v>12121</v>
      </c>
      <c r="C4190">
        <f>(1-(B7/100))*1082.57</f>
        <v>1082.57</v>
      </c>
      <c r="D4190" s="1">
        <v>0</v>
      </c>
      <c r="E4190">
        <f>D4190*C4190</f>
        <v>0</v>
      </c>
      <c r="F4190" s="1" t="s">
        <v>12122</v>
      </c>
      <c r="G4190" s="17">
        <v>81595</v>
      </c>
    </row>
    <row r="4191" spans="1:7">
      <c r="A4191" s="1" t="s">
        <v>12123</v>
      </c>
      <c r="B4191" s="1" t="s">
        <v>12124</v>
      </c>
      <c r="C4191">
        <f>(1-(B7/100))*35.79</f>
        <v>35.79</v>
      </c>
      <c r="D4191" s="1">
        <v>0</v>
      </c>
      <c r="E4191">
        <f>D4191*C4191</f>
        <v>0</v>
      </c>
      <c r="F4191" s="1" t="s">
        <v>12125</v>
      </c>
      <c r="G4191" s="17">
        <v>81597</v>
      </c>
    </row>
    <row r="4192" spans="1:7">
      <c r="A4192" s="1" t="s">
        <v>12126</v>
      </c>
      <c r="B4192" s="1" t="s">
        <v>12127</v>
      </c>
      <c r="C4192">
        <f>(1-(B7/100))*45.03</f>
        <v>45.03</v>
      </c>
      <c r="D4192" s="1">
        <v>0</v>
      </c>
      <c r="E4192">
        <f>D4192*C4192</f>
        <v>0</v>
      </c>
      <c r="F4192" s="1" t="s">
        <v>12128</v>
      </c>
      <c r="G4192" s="17">
        <v>81616</v>
      </c>
    </row>
    <row r="4193" spans="1:7">
      <c r="A4193" s="1" t="s">
        <v>12129</v>
      </c>
      <c r="B4193" s="1" t="s">
        <v>12130</v>
      </c>
      <c r="C4193">
        <f>(1-(B7/100))*134.95</f>
        <v>134.95</v>
      </c>
      <c r="D4193" s="1">
        <v>0</v>
      </c>
      <c r="E4193">
        <f>D4193*C4193</f>
        <v>0</v>
      </c>
      <c r="F4193" s="1" t="s">
        <v>12131</v>
      </c>
      <c r="G4193" s="17">
        <v>81618</v>
      </c>
    </row>
    <row r="4194" spans="1:7">
      <c r="A4194" s="1" t="s">
        <v>12132</v>
      </c>
      <c r="B4194" s="1" t="s">
        <v>12133</v>
      </c>
      <c r="C4194">
        <f>(1-(B7/100))*88.14</f>
        <v>88.14</v>
      </c>
      <c r="D4194" s="1">
        <v>0</v>
      </c>
      <c r="E4194">
        <f>D4194*C4194</f>
        <v>0</v>
      </c>
      <c r="F4194" s="1" t="s">
        <v>12134</v>
      </c>
      <c r="G4194" s="17">
        <v>81619</v>
      </c>
    </row>
    <row r="4195" spans="1:7">
      <c r="A4195" s="1" t="s">
        <v>12135</v>
      </c>
      <c r="B4195" s="1" t="s">
        <v>12136</v>
      </c>
      <c r="C4195">
        <f>(1-(B7/100))*199.69</f>
        <v>199.69</v>
      </c>
      <c r="D4195" s="1">
        <v>0</v>
      </c>
      <c r="E4195">
        <f>D4195*C4195</f>
        <v>0</v>
      </c>
      <c r="F4195" s="1" t="s">
        <v>12137</v>
      </c>
      <c r="G4195" s="17">
        <v>81626</v>
      </c>
    </row>
    <row r="4196" spans="1:7">
      <c r="A4196" s="1" t="s">
        <v>12138</v>
      </c>
      <c r="B4196" s="1" t="s">
        <v>12139</v>
      </c>
      <c r="C4196">
        <f>(1-(B7/100))*158.95</f>
        <v>158.95</v>
      </c>
      <c r="D4196" s="1">
        <v>0</v>
      </c>
      <c r="E4196">
        <f>D4196*C4196</f>
        <v>0</v>
      </c>
      <c r="F4196" s="1" t="s">
        <v>12140</v>
      </c>
      <c r="G4196" s="17">
        <v>81629</v>
      </c>
    </row>
    <row r="4197" spans="1:7">
      <c r="A4197" s="1" t="s">
        <v>12141</v>
      </c>
      <c r="B4197" s="1" t="s">
        <v>12142</v>
      </c>
      <c r="C4197">
        <f>(1-(B7/100))*98.89</f>
        <v>98.89</v>
      </c>
      <c r="D4197" s="1">
        <v>0</v>
      </c>
      <c r="E4197">
        <f>D4197*C4197</f>
        <v>0</v>
      </c>
      <c r="F4197" s="1" t="s">
        <v>12143</v>
      </c>
      <c r="G4197" s="17">
        <v>81632</v>
      </c>
    </row>
    <row r="4198" spans="1:7">
      <c r="A4198" s="1" t="s">
        <v>12144</v>
      </c>
      <c r="B4198" s="1" t="s">
        <v>11836</v>
      </c>
      <c r="C4198">
        <f>(1-(B7/100))*26.65</f>
        <v>26.65</v>
      </c>
      <c r="D4198" s="1">
        <v>0</v>
      </c>
      <c r="E4198">
        <f>D4198*C4198</f>
        <v>0</v>
      </c>
      <c r="F4198" s="1" t="s">
        <v>12145</v>
      </c>
      <c r="G4198" s="17">
        <v>81640</v>
      </c>
    </row>
    <row r="4199" spans="1:7">
      <c r="A4199" s="1" t="s">
        <v>12146</v>
      </c>
      <c r="B4199" s="1" t="s">
        <v>12147</v>
      </c>
      <c r="C4199">
        <f>(1-(B7/100))*26.61</f>
        <v>26.61</v>
      </c>
      <c r="D4199" s="1">
        <v>0</v>
      </c>
      <c r="E4199">
        <f>D4199*C4199</f>
        <v>0</v>
      </c>
      <c r="F4199" s="1" t="s">
        <v>12148</v>
      </c>
      <c r="G4199" s="17">
        <v>81641</v>
      </c>
    </row>
    <row r="4200" spans="1:7">
      <c r="A4200" s="1" t="s">
        <v>12149</v>
      </c>
      <c r="B4200" s="1" t="s">
        <v>12150</v>
      </c>
      <c r="C4200">
        <f>(1-(B7/100))*109.41</f>
        <v>109.41</v>
      </c>
      <c r="D4200" s="1">
        <v>0</v>
      </c>
      <c r="E4200">
        <f>D4200*C4200</f>
        <v>0</v>
      </c>
      <c r="F4200" s="1" t="s">
        <v>12151</v>
      </c>
      <c r="G4200" s="17">
        <v>81642</v>
      </c>
    </row>
    <row r="4201" spans="1:7">
      <c r="A4201" s="1" t="s">
        <v>12152</v>
      </c>
      <c r="B4201" s="1" t="s">
        <v>12153</v>
      </c>
      <c r="C4201">
        <f>(1-(B7/100))*159.46</f>
        <v>159.46</v>
      </c>
      <c r="D4201" s="1">
        <v>0</v>
      </c>
      <c r="E4201">
        <f>D4201*C4201</f>
        <v>0</v>
      </c>
      <c r="F4201" s="1" t="s">
        <v>12154</v>
      </c>
      <c r="G4201" s="17">
        <v>81644</v>
      </c>
    </row>
    <row r="4202" spans="1:7">
      <c r="A4202" s="1" t="s">
        <v>12155</v>
      </c>
      <c r="B4202" s="1" t="s">
        <v>12156</v>
      </c>
      <c r="C4202">
        <f>(1-(B7/100))*187.07</f>
        <v>187.07</v>
      </c>
      <c r="D4202" s="1">
        <v>0</v>
      </c>
      <c r="E4202">
        <f>D4202*C4202</f>
        <v>0</v>
      </c>
      <c r="F4202" s="1" t="s">
        <v>12157</v>
      </c>
      <c r="G4202" s="17">
        <v>81645</v>
      </c>
    </row>
    <row r="4203" spans="1:7">
      <c r="A4203" s="1" t="s">
        <v>12158</v>
      </c>
      <c r="B4203" s="1" t="s">
        <v>12159</v>
      </c>
      <c r="C4203">
        <f>(1-(B7/100))*121.83</f>
        <v>121.83</v>
      </c>
      <c r="D4203" s="1">
        <v>0</v>
      </c>
      <c r="E4203">
        <f>D4203*C4203</f>
        <v>0</v>
      </c>
      <c r="F4203" s="1" t="s">
        <v>12160</v>
      </c>
      <c r="G4203" s="17">
        <v>81646</v>
      </c>
    </row>
    <row r="4204" spans="1:7">
      <c r="A4204" s="1" t="s">
        <v>12161</v>
      </c>
      <c r="B4204" s="1" t="s">
        <v>12162</v>
      </c>
      <c r="C4204">
        <f>(1-(B7/100))*153.52</f>
        <v>153.52</v>
      </c>
      <c r="D4204" s="1">
        <v>0</v>
      </c>
      <c r="E4204">
        <f>D4204*C4204</f>
        <v>0</v>
      </c>
      <c r="F4204" s="1" t="s">
        <v>12163</v>
      </c>
      <c r="G4204" s="17">
        <v>81653</v>
      </c>
    </row>
    <row r="4205" spans="1:7">
      <c r="A4205" s="1" t="s">
        <v>12164</v>
      </c>
      <c r="B4205" s="1" t="s">
        <v>12165</v>
      </c>
      <c r="C4205">
        <f>(1-(B7/100))*28.67</f>
        <v>28.67</v>
      </c>
      <c r="D4205" s="1">
        <v>0</v>
      </c>
      <c r="E4205">
        <f>D4205*C4205</f>
        <v>0</v>
      </c>
      <c r="F4205" s="1" t="s">
        <v>12166</v>
      </c>
      <c r="G4205" s="17">
        <v>81655</v>
      </c>
    </row>
    <row r="4206" spans="1:7">
      <c r="A4206" s="1" t="s">
        <v>12167</v>
      </c>
      <c r="B4206" s="1" t="s">
        <v>12168</v>
      </c>
      <c r="C4206">
        <f>(1-(B7/100))*86.11</f>
        <v>86.11</v>
      </c>
      <c r="D4206" s="1">
        <v>0</v>
      </c>
      <c r="E4206">
        <f>D4206*C4206</f>
        <v>0</v>
      </c>
      <c r="F4206" s="1" t="s">
        <v>12169</v>
      </c>
      <c r="G4206" s="17">
        <v>81661</v>
      </c>
    </row>
    <row r="4207" spans="1:7">
      <c r="A4207" s="1" t="s">
        <v>12170</v>
      </c>
      <c r="B4207" s="1" t="s">
        <v>12171</v>
      </c>
      <c r="C4207">
        <f>(1-(B7/100))*71.45</f>
        <v>71.45</v>
      </c>
      <c r="D4207" s="1">
        <v>0</v>
      </c>
      <c r="E4207">
        <f>D4207*C4207</f>
        <v>0</v>
      </c>
      <c r="F4207" s="1" t="s">
        <v>12172</v>
      </c>
      <c r="G4207" s="17">
        <v>81662</v>
      </c>
    </row>
    <row r="4208" spans="1:7">
      <c r="A4208" s="1" t="s">
        <v>12173</v>
      </c>
      <c r="B4208" s="1" t="s">
        <v>12174</v>
      </c>
      <c r="C4208">
        <f>(1-(B7/100))*257.75</f>
        <v>257.75</v>
      </c>
      <c r="D4208" s="1">
        <v>0</v>
      </c>
      <c r="E4208">
        <f>D4208*C4208</f>
        <v>0</v>
      </c>
      <c r="F4208" s="1" t="s">
        <v>12175</v>
      </c>
      <c r="G4208" s="17">
        <v>81665</v>
      </c>
    </row>
    <row r="4209" spans="1:7">
      <c r="A4209" s="1" t="s">
        <v>12176</v>
      </c>
      <c r="B4209" s="1" t="s">
        <v>12177</v>
      </c>
      <c r="C4209">
        <f>(1-(B7/100))*1053.56</f>
        <v>1053.56</v>
      </c>
      <c r="D4209" s="1">
        <v>0</v>
      </c>
      <c r="E4209">
        <f>D4209*C4209</f>
        <v>0</v>
      </c>
      <c r="F4209" s="1" t="s">
        <v>12178</v>
      </c>
      <c r="G4209" s="17">
        <v>81666</v>
      </c>
    </row>
    <row r="4210" spans="1:7">
      <c r="A4210" s="1" t="s">
        <v>12179</v>
      </c>
      <c r="B4210" s="1" t="s">
        <v>12180</v>
      </c>
      <c r="C4210">
        <f>(1-(B7/100))*106.71</f>
        <v>106.71</v>
      </c>
      <c r="D4210" s="1">
        <v>0</v>
      </c>
      <c r="E4210">
        <f>D4210*C4210</f>
        <v>0</v>
      </c>
      <c r="F4210" s="1" t="s">
        <v>12181</v>
      </c>
      <c r="G4210" s="17">
        <v>81668</v>
      </c>
    </row>
    <row r="4211" spans="1:7">
      <c r="A4211" s="1" t="s">
        <v>12182</v>
      </c>
      <c r="B4211" s="1" t="s">
        <v>12183</v>
      </c>
      <c r="C4211">
        <f>(1-(B7/100))*106.71</f>
        <v>106.71</v>
      </c>
      <c r="D4211" s="1">
        <v>0</v>
      </c>
      <c r="E4211">
        <f>D4211*C4211</f>
        <v>0</v>
      </c>
      <c r="F4211" s="1" t="s">
        <v>12184</v>
      </c>
      <c r="G4211" s="17">
        <v>81672</v>
      </c>
    </row>
    <row r="4212" spans="1:7">
      <c r="A4212" s="1" t="s">
        <v>12185</v>
      </c>
      <c r="B4212" s="1" t="s">
        <v>12186</v>
      </c>
      <c r="C4212">
        <f>(1-(B7/100))*106.71</f>
        <v>106.71</v>
      </c>
      <c r="D4212" s="1">
        <v>0</v>
      </c>
      <c r="E4212">
        <f>D4212*C4212</f>
        <v>0</v>
      </c>
      <c r="F4212" s="1" t="s">
        <v>12187</v>
      </c>
      <c r="G4212" s="17">
        <v>81674</v>
      </c>
    </row>
    <row r="4213" spans="1:7">
      <c r="A4213" s="1" t="s">
        <v>12188</v>
      </c>
      <c r="B4213" s="1" t="s">
        <v>12189</v>
      </c>
      <c r="C4213">
        <f>(1-(B7/100))*949.76</f>
        <v>949.76</v>
      </c>
      <c r="D4213" s="1">
        <v>0</v>
      </c>
      <c r="E4213">
        <f>D4213*C4213</f>
        <v>0</v>
      </c>
      <c r="F4213" s="1" t="s">
        <v>12190</v>
      </c>
      <c r="G4213" s="17">
        <v>81676</v>
      </c>
    </row>
    <row r="4214" spans="1:7">
      <c r="A4214" s="1" t="s">
        <v>12191</v>
      </c>
      <c r="B4214" s="1" t="s">
        <v>12192</v>
      </c>
      <c r="C4214">
        <f>(1-(B7/100))*1249.12</f>
        <v>1249.12</v>
      </c>
      <c r="D4214" s="1">
        <v>0</v>
      </c>
      <c r="E4214">
        <f>D4214*C4214</f>
        <v>0</v>
      </c>
      <c r="F4214" s="1" t="s">
        <v>12193</v>
      </c>
      <c r="G4214" s="17">
        <v>81677</v>
      </c>
    </row>
    <row r="4215" spans="1:7">
      <c r="A4215" s="1" t="s">
        <v>12194</v>
      </c>
      <c r="B4215" s="1" t="s">
        <v>12195</v>
      </c>
      <c r="C4215">
        <f>(1-(B7/100))*87.59</f>
        <v>87.59</v>
      </c>
      <c r="D4215" s="1">
        <v>0</v>
      </c>
      <c r="E4215">
        <f>D4215*C4215</f>
        <v>0</v>
      </c>
      <c r="F4215" s="1" t="s">
        <v>12196</v>
      </c>
      <c r="G4215" s="17">
        <v>81678</v>
      </c>
    </row>
    <row r="4216" spans="1:7">
      <c r="A4216" s="1" t="s">
        <v>12197</v>
      </c>
      <c r="B4216" s="1" t="s">
        <v>12198</v>
      </c>
      <c r="C4216">
        <f>(1-(B7/100))*1036.14</f>
        <v>1036.14</v>
      </c>
      <c r="D4216" s="1">
        <v>0</v>
      </c>
      <c r="E4216">
        <f>D4216*C4216</f>
        <v>0</v>
      </c>
      <c r="F4216" s="1" t="s">
        <v>12199</v>
      </c>
      <c r="G4216" s="17">
        <v>81684</v>
      </c>
    </row>
    <row r="4217" spans="1:7">
      <c r="A4217" s="1" t="s">
        <v>12200</v>
      </c>
      <c r="B4217" s="1" t="s">
        <v>12201</v>
      </c>
      <c r="C4217">
        <f>(1-(B7/100))*106.71</f>
        <v>106.71</v>
      </c>
      <c r="D4217" s="1">
        <v>0</v>
      </c>
      <c r="E4217">
        <f>D4217*C4217</f>
        <v>0</v>
      </c>
      <c r="F4217" s="1" t="s">
        <v>12202</v>
      </c>
      <c r="G4217" s="17">
        <v>81685</v>
      </c>
    </row>
    <row r="4218" spans="1:7">
      <c r="A4218" s="1" t="s">
        <v>12203</v>
      </c>
      <c r="B4218" s="1" t="s">
        <v>12204</v>
      </c>
      <c r="C4218">
        <f>(1-(B7/100))*106.71</f>
        <v>106.71</v>
      </c>
      <c r="D4218" s="1">
        <v>0</v>
      </c>
      <c r="E4218">
        <f>D4218*C4218</f>
        <v>0</v>
      </c>
      <c r="F4218" s="1" t="s">
        <v>12205</v>
      </c>
      <c r="G4218" s="17">
        <v>81686</v>
      </c>
    </row>
    <row r="4219" spans="1:7">
      <c r="A4219" s="1" t="s">
        <v>12206</v>
      </c>
      <c r="B4219" s="1" t="s">
        <v>12207</v>
      </c>
      <c r="C4219">
        <f>(1-(B7/100))*36.19</f>
        <v>36.19</v>
      </c>
      <c r="D4219" s="1">
        <v>0</v>
      </c>
      <c r="E4219">
        <f>D4219*C4219</f>
        <v>0</v>
      </c>
      <c r="F4219" s="1" t="s">
        <v>12208</v>
      </c>
      <c r="G4219" s="17">
        <v>81694</v>
      </c>
    </row>
    <row r="4220" spans="1:7">
      <c r="A4220" s="1" t="s">
        <v>12209</v>
      </c>
      <c r="B4220" s="1" t="s">
        <v>12210</v>
      </c>
      <c r="C4220">
        <f>(1-(B7/100))*39.18</f>
        <v>39.18</v>
      </c>
      <c r="D4220" s="1">
        <v>0</v>
      </c>
      <c r="E4220">
        <f>D4220*C4220</f>
        <v>0</v>
      </c>
      <c r="F4220" s="1" t="s">
        <v>12211</v>
      </c>
      <c r="G4220" s="17">
        <v>81695</v>
      </c>
    </row>
    <row r="4221" spans="1:7">
      <c r="A4221" s="1" t="s">
        <v>12212</v>
      </c>
      <c r="B4221" s="1" t="s">
        <v>12213</v>
      </c>
      <c r="C4221">
        <f>(1-(B7/100))*40.15</f>
        <v>40.15</v>
      </c>
      <c r="D4221" s="1">
        <v>0</v>
      </c>
      <c r="E4221">
        <f>D4221*C4221</f>
        <v>0</v>
      </c>
      <c r="F4221" s="1" t="s">
        <v>12214</v>
      </c>
      <c r="G4221" s="17">
        <v>81696</v>
      </c>
    </row>
    <row r="4222" spans="1:7">
      <c r="A4222" s="1" t="s">
        <v>12215</v>
      </c>
      <c r="B4222" s="1" t="s">
        <v>12216</v>
      </c>
      <c r="C4222">
        <f>(1-(B7/100))*172</f>
        <v>172</v>
      </c>
      <c r="D4222" s="1">
        <v>0</v>
      </c>
      <c r="E4222">
        <f>D4222*C4222</f>
        <v>0</v>
      </c>
      <c r="F4222" s="1" t="s">
        <v>12217</v>
      </c>
      <c r="G4222" s="17">
        <v>81699</v>
      </c>
    </row>
    <row r="4223" spans="1:7">
      <c r="A4223" s="1" t="s">
        <v>12218</v>
      </c>
      <c r="B4223" s="1" t="s">
        <v>12219</v>
      </c>
      <c r="C4223">
        <f>(1-(B7/100))*728.65</f>
        <v>728.65</v>
      </c>
      <c r="D4223" s="1">
        <v>0</v>
      </c>
      <c r="E4223">
        <f>D4223*C4223</f>
        <v>0</v>
      </c>
      <c r="F4223" s="1" t="s">
        <v>12220</v>
      </c>
      <c r="G4223" s="17">
        <v>81703</v>
      </c>
    </row>
    <row r="4224" spans="1:7">
      <c r="A4224" s="1" t="s">
        <v>12221</v>
      </c>
      <c r="B4224" s="1" t="s">
        <v>12222</v>
      </c>
      <c r="C4224">
        <f>(1-(B7/100))*977.19</f>
        <v>977.19</v>
      </c>
      <c r="D4224" s="1">
        <v>0</v>
      </c>
      <c r="E4224">
        <f>D4224*C4224</f>
        <v>0</v>
      </c>
      <c r="F4224" s="1" t="s">
        <v>12223</v>
      </c>
      <c r="G4224" s="17">
        <v>81707</v>
      </c>
    </row>
    <row r="4225" spans="1:7">
      <c r="A4225" s="1" t="s">
        <v>12224</v>
      </c>
      <c r="B4225" s="1" t="s">
        <v>12225</v>
      </c>
      <c r="C4225">
        <f>(1-(B7/100))*1332.83</f>
        <v>1332.83</v>
      </c>
      <c r="D4225" s="1">
        <v>0</v>
      </c>
      <c r="E4225">
        <f>D4225*C4225</f>
        <v>0</v>
      </c>
      <c r="F4225" s="1" t="s">
        <v>12226</v>
      </c>
      <c r="G4225" s="17">
        <v>81711</v>
      </c>
    </row>
    <row r="4226" spans="1:7">
      <c r="A4226" s="1" t="s">
        <v>12227</v>
      </c>
      <c r="B4226" s="1" t="s">
        <v>12228</v>
      </c>
      <c r="C4226">
        <f>(1-(B7/100))*2012.27</f>
        <v>2012.27</v>
      </c>
      <c r="D4226" s="1">
        <v>0</v>
      </c>
      <c r="E4226">
        <f>D4226*C4226</f>
        <v>0</v>
      </c>
      <c r="F4226" s="1" t="s">
        <v>12229</v>
      </c>
      <c r="G4226" s="17">
        <v>81712</v>
      </c>
    </row>
    <row r="4227" spans="1:7">
      <c r="A4227" s="1" t="s">
        <v>12230</v>
      </c>
      <c r="B4227" s="1" t="s">
        <v>12231</v>
      </c>
      <c r="C4227">
        <f>(1-(B7/100))*1589.24</f>
        <v>1589.24</v>
      </c>
      <c r="D4227" s="1">
        <v>0</v>
      </c>
      <c r="E4227">
        <f>D4227*C4227</f>
        <v>0</v>
      </c>
      <c r="F4227" s="1" t="s">
        <v>12232</v>
      </c>
      <c r="G4227" s="17">
        <v>81713</v>
      </c>
    </row>
    <row r="4228" spans="1:7">
      <c r="A4228" s="1" t="s">
        <v>12233</v>
      </c>
      <c r="B4228" s="1" t="s">
        <v>12234</v>
      </c>
      <c r="C4228">
        <f>(1-(B7/100))*557.79</f>
        <v>557.79</v>
      </c>
      <c r="D4228" s="1">
        <v>0</v>
      </c>
      <c r="E4228">
        <f>D4228*C4228</f>
        <v>0</v>
      </c>
      <c r="F4228" s="1" t="s">
        <v>12235</v>
      </c>
      <c r="G4228" s="17">
        <v>81717</v>
      </c>
    </row>
    <row r="4229" spans="1:7">
      <c r="A4229" s="1" t="s">
        <v>12236</v>
      </c>
      <c r="B4229" s="1" t="s">
        <v>12237</v>
      </c>
      <c r="C4229">
        <f>(1-(B7/100))*102.31</f>
        <v>102.31</v>
      </c>
      <c r="D4229" s="1">
        <v>0</v>
      </c>
      <c r="E4229">
        <f>D4229*C4229</f>
        <v>0</v>
      </c>
      <c r="F4229" s="1" t="s">
        <v>12238</v>
      </c>
      <c r="G4229" s="17">
        <v>81719</v>
      </c>
    </row>
    <row r="4230" spans="1:7">
      <c r="A4230" s="1" t="s">
        <v>12239</v>
      </c>
      <c r="B4230" s="1" t="s">
        <v>12240</v>
      </c>
      <c r="C4230">
        <f>(1-(B7/100))*2931.63</f>
        <v>2931.63</v>
      </c>
      <c r="D4230" s="1">
        <v>0</v>
      </c>
      <c r="E4230">
        <f>D4230*C4230</f>
        <v>0</v>
      </c>
      <c r="F4230" s="1" t="s">
        <v>12241</v>
      </c>
      <c r="G4230" s="17">
        <v>81720</v>
      </c>
    </row>
    <row r="4231" spans="1:7">
      <c r="A4231" s="1" t="s">
        <v>12242</v>
      </c>
      <c r="B4231" s="1" t="s">
        <v>12243</v>
      </c>
      <c r="C4231">
        <f>(1-(B7/100))*343.84</f>
        <v>343.84</v>
      </c>
      <c r="D4231" s="1">
        <v>0</v>
      </c>
      <c r="E4231">
        <f>D4231*C4231</f>
        <v>0</v>
      </c>
      <c r="F4231" s="1" t="s">
        <v>12244</v>
      </c>
      <c r="G4231" s="17">
        <v>81722</v>
      </c>
    </row>
    <row r="4232" spans="1:7">
      <c r="A4232" s="1" t="s">
        <v>12245</v>
      </c>
      <c r="B4232" s="1" t="s">
        <v>12246</v>
      </c>
      <c r="C4232">
        <f>(1-(B7/100))*169.69</f>
        <v>169.69</v>
      </c>
      <c r="D4232" s="1">
        <v>0</v>
      </c>
      <c r="E4232">
        <f>D4232*C4232</f>
        <v>0</v>
      </c>
      <c r="F4232" s="1" t="s">
        <v>12247</v>
      </c>
      <c r="G4232" s="17">
        <v>81731</v>
      </c>
    </row>
    <row r="4233" spans="1:7">
      <c r="A4233" s="1" t="s">
        <v>12248</v>
      </c>
      <c r="B4233" s="1" t="s">
        <v>12249</v>
      </c>
      <c r="C4233">
        <f>(1-(B7/100))*203.75</f>
        <v>203.75</v>
      </c>
      <c r="D4233" s="1">
        <v>0</v>
      </c>
      <c r="E4233">
        <f>D4233*C4233</f>
        <v>0</v>
      </c>
      <c r="F4233" s="1" t="s">
        <v>12250</v>
      </c>
      <c r="G4233" s="17">
        <v>81737</v>
      </c>
    </row>
    <row r="4234" spans="1:7">
      <c r="A4234" s="1" t="s">
        <v>12251</v>
      </c>
      <c r="B4234" s="1" t="s">
        <v>12252</v>
      </c>
      <c r="C4234">
        <f>(1-(B7/100))*194.94</f>
        <v>194.94</v>
      </c>
      <c r="D4234" s="1">
        <v>0</v>
      </c>
      <c r="E4234">
        <f>D4234*C4234</f>
        <v>0</v>
      </c>
      <c r="F4234" s="1" t="s">
        <v>12253</v>
      </c>
      <c r="G4234" s="17">
        <v>81741</v>
      </c>
    </row>
    <row r="4235" spans="1:7">
      <c r="A4235" s="1" t="s">
        <v>12254</v>
      </c>
      <c r="B4235" s="1" t="s">
        <v>12255</v>
      </c>
      <c r="C4235">
        <f>(1-(B7/100))*8.5</f>
        <v>8.5</v>
      </c>
      <c r="D4235" s="1">
        <v>0</v>
      </c>
      <c r="E4235">
        <f>D4235*C4235</f>
        <v>0</v>
      </c>
      <c r="F4235" s="1" t="s">
        <v>12256</v>
      </c>
      <c r="G4235" s="17">
        <v>81748</v>
      </c>
    </row>
    <row r="4236" spans="1:7">
      <c r="A4236" s="1" t="s">
        <v>12257</v>
      </c>
      <c r="B4236" s="1" t="s">
        <v>12258</v>
      </c>
      <c r="C4236">
        <f>(1-(B7/100))*301.23</f>
        <v>301.23</v>
      </c>
      <c r="D4236" s="1">
        <v>0</v>
      </c>
      <c r="E4236">
        <f>D4236*C4236</f>
        <v>0</v>
      </c>
      <c r="F4236" s="1" t="s">
        <v>12259</v>
      </c>
      <c r="G4236" s="17">
        <v>81752</v>
      </c>
    </row>
    <row r="4237" spans="1:7">
      <c r="A4237" s="1" t="s">
        <v>12260</v>
      </c>
      <c r="B4237" s="1" t="s">
        <v>12261</v>
      </c>
      <c r="C4237">
        <f>(1-(B7/100))*1189.43</f>
        <v>1189.43</v>
      </c>
      <c r="D4237" s="1">
        <v>0</v>
      </c>
      <c r="E4237">
        <f>D4237*C4237</f>
        <v>0</v>
      </c>
      <c r="F4237" s="1" t="s">
        <v>12262</v>
      </c>
      <c r="G4237" s="17">
        <v>81753</v>
      </c>
    </row>
    <row r="4238" spans="1:7">
      <c r="A4238" s="1" t="s">
        <v>12263</v>
      </c>
      <c r="B4238" s="1" t="s">
        <v>12264</v>
      </c>
      <c r="C4238">
        <f>(1-(B7/100))*1634.48</f>
        <v>1634.48</v>
      </c>
      <c r="D4238" s="1">
        <v>0</v>
      </c>
      <c r="E4238">
        <f>D4238*C4238</f>
        <v>0</v>
      </c>
      <c r="F4238" s="1" t="s">
        <v>12265</v>
      </c>
      <c r="G4238" s="17">
        <v>81754</v>
      </c>
    </row>
    <row r="4239" spans="1:7">
      <c r="A4239" s="1" t="s">
        <v>12266</v>
      </c>
      <c r="B4239" s="1" t="s">
        <v>12267</v>
      </c>
      <c r="C4239">
        <f>(1-(B7/100))*80.18</f>
        <v>80.18</v>
      </c>
      <c r="D4239" s="1">
        <v>0</v>
      </c>
      <c r="E4239">
        <f>D4239*C4239</f>
        <v>0</v>
      </c>
      <c r="F4239" s="1" t="s">
        <v>12268</v>
      </c>
      <c r="G4239" s="17">
        <v>81758</v>
      </c>
    </row>
    <row r="4240" spans="1:7">
      <c r="A4240" s="1" t="s">
        <v>12269</v>
      </c>
      <c r="B4240" s="1" t="s">
        <v>12270</v>
      </c>
      <c r="C4240">
        <f>(1-(B7/100))*80.18</f>
        <v>80.18</v>
      </c>
      <c r="D4240" s="1">
        <v>0</v>
      </c>
      <c r="E4240">
        <f>D4240*C4240</f>
        <v>0</v>
      </c>
      <c r="F4240" s="1" t="s">
        <v>12271</v>
      </c>
      <c r="G4240" s="17">
        <v>81759</v>
      </c>
    </row>
    <row r="4241" spans="1:7">
      <c r="A4241" s="1" t="s">
        <v>12272</v>
      </c>
      <c r="B4241" s="1" t="s">
        <v>12273</v>
      </c>
      <c r="C4241">
        <f>(1-(B7/100))*44.26</f>
        <v>44.26</v>
      </c>
      <c r="D4241" s="1">
        <v>0</v>
      </c>
      <c r="E4241">
        <f>D4241*C4241</f>
        <v>0</v>
      </c>
      <c r="F4241" s="1" t="s">
        <v>12274</v>
      </c>
      <c r="G4241" s="17">
        <v>81763</v>
      </c>
    </row>
    <row r="4242" spans="1:7">
      <c r="A4242" s="1" t="s">
        <v>12275</v>
      </c>
      <c r="B4242" s="1" t="s">
        <v>12276</v>
      </c>
      <c r="C4242">
        <f>(1-(B7/100))*55.01</f>
        <v>55.01</v>
      </c>
      <c r="D4242" s="1">
        <v>0</v>
      </c>
      <c r="E4242">
        <f>D4242*C4242</f>
        <v>0</v>
      </c>
      <c r="F4242" s="1" t="s">
        <v>12277</v>
      </c>
      <c r="G4242" s="17">
        <v>81764</v>
      </c>
    </row>
    <row r="4243" spans="1:7">
      <c r="A4243" s="1" t="s">
        <v>12278</v>
      </c>
      <c r="B4243" s="1" t="s">
        <v>12279</v>
      </c>
      <c r="C4243">
        <f>(1-(B7/100))*66</f>
        <v>66</v>
      </c>
      <c r="D4243" s="1">
        <v>0</v>
      </c>
      <c r="E4243">
        <f>D4243*C4243</f>
        <v>0</v>
      </c>
      <c r="F4243" s="1" t="s">
        <v>12280</v>
      </c>
      <c r="G4243" s="17">
        <v>81766</v>
      </c>
    </row>
    <row r="4244" spans="1:7">
      <c r="A4244" s="1" t="s">
        <v>12281</v>
      </c>
      <c r="B4244" s="1" t="s">
        <v>12282</v>
      </c>
      <c r="C4244">
        <f>(1-(B7/100))*87.59</f>
        <v>87.59</v>
      </c>
      <c r="D4244" s="1">
        <v>0</v>
      </c>
      <c r="E4244">
        <f>D4244*C4244</f>
        <v>0</v>
      </c>
      <c r="F4244" s="1" t="s">
        <v>12283</v>
      </c>
      <c r="G4244" s="17">
        <v>81767</v>
      </c>
    </row>
    <row r="4245" spans="1:7">
      <c r="A4245" s="1" t="s">
        <v>12284</v>
      </c>
      <c r="B4245" s="1" t="s">
        <v>12285</v>
      </c>
      <c r="C4245">
        <f>(1-(B7/100))*67.87</f>
        <v>67.87</v>
      </c>
      <c r="D4245" s="1">
        <v>0</v>
      </c>
      <c r="E4245">
        <f>D4245*C4245</f>
        <v>0</v>
      </c>
      <c r="F4245" s="1" t="s">
        <v>12286</v>
      </c>
      <c r="G4245" s="17">
        <v>81768</v>
      </c>
    </row>
    <row r="4246" spans="1:7">
      <c r="A4246" s="1" t="s">
        <v>12287</v>
      </c>
      <c r="B4246" s="1" t="s">
        <v>12288</v>
      </c>
      <c r="C4246">
        <f>(1-(B7/100))*44.26</f>
        <v>44.26</v>
      </c>
      <c r="D4246" s="1">
        <v>0</v>
      </c>
      <c r="E4246">
        <f>D4246*C4246</f>
        <v>0</v>
      </c>
      <c r="F4246" s="1" t="s">
        <v>12289</v>
      </c>
      <c r="G4246" s="17">
        <v>81773</v>
      </c>
    </row>
    <row r="4247" spans="1:7">
      <c r="A4247" s="1" t="s">
        <v>12290</v>
      </c>
      <c r="B4247" s="1" t="s">
        <v>12291</v>
      </c>
      <c r="C4247">
        <f>(1-(B7/100))*44.26</f>
        <v>44.26</v>
      </c>
      <c r="D4247" s="1">
        <v>0</v>
      </c>
      <c r="E4247">
        <f>D4247*C4247</f>
        <v>0</v>
      </c>
      <c r="F4247" s="1" t="s">
        <v>12292</v>
      </c>
      <c r="G4247" s="17">
        <v>81774</v>
      </c>
    </row>
    <row r="4248" spans="1:7">
      <c r="A4248" s="1" t="s">
        <v>12293</v>
      </c>
      <c r="B4248" s="1" t="s">
        <v>12294</v>
      </c>
      <c r="C4248">
        <f>(1-(B7/100))*44.26</f>
        <v>44.26</v>
      </c>
      <c r="D4248" s="1">
        <v>0</v>
      </c>
      <c r="E4248">
        <f>D4248*C4248</f>
        <v>0</v>
      </c>
      <c r="F4248" s="1" t="s">
        <v>12295</v>
      </c>
      <c r="G4248" s="17">
        <v>81775</v>
      </c>
    </row>
    <row r="4249" spans="1:7">
      <c r="A4249" s="1" t="s">
        <v>12296</v>
      </c>
      <c r="B4249" s="1" t="s">
        <v>12297</v>
      </c>
      <c r="C4249">
        <f>(1-(B7/100))*44.26</f>
        <v>44.26</v>
      </c>
      <c r="D4249" s="1">
        <v>0</v>
      </c>
      <c r="E4249">
        <f>D4249*C4249</f>
        <v>0</v>
      </c>
      <c r="F4249" s="1" t="s">
        <v>12298</v>
      </c>
      <c r="G4249" s="17">
        <v>81776</v>
      </c>
    </row>
    <row r="4250" spans="1:7">
      <c r="A4250" s="1" t="s">
        <v>12299</v>
      </c>
      <c r="B4250" s="1" t="s">
        <v>12300</v>
      </c>
      <c r="C4250">
        <f>(1-(B7/100))*61.33</f>
        <v>61.33</v>
      </c>
      <c r="D4250" s="1">
        <v>0</v>
      </c>
      <c r="E4250">
        <f>D4250*C4250</f>
        <v>0</v>
      </c>
      <c r="F4250" s="1" t="s">
        <v>12301</v>
      </c>
      <c r="G4250" s="17">
        <v>81777</v>
      </c>
    </row>
    <row r="4251" spans="1:7">
      <c r="A4251" s="1" t="s">
        <v>12302</v>
      </c>
      <c r="B4251" s="1" t="s">
        <v>12303</v>
      </c>
      <c r="C4251">
        <f>(1-(B7/100))*61.88</f>
        <v>61.88</v>
      </c>
      <c r="D4251" s="1">
        <v>0</v>
      </c>
      <c r="E4251">
        <f>D4251*C4251</f>
        <v>0</v>
      </c>
      <c r="F4251" s="1" t="s">
        <v>12304</v>
      </c>
      <c r="G4251" s="17">
        <v>81778</v>
      </c>
    </row>
    <row r="4252" spans="1:7">
      <c r="A4252" s="1" t="s">
        <v>12305</v>
      </c>
      <c r="B4252" s="1" t="s">
        <v>12306</v>
      </c>
      <c r="C4252">
        <f>(1-(B7/100))*44.26</f>
        <v>44.26</v>
      </c>
      <c r="D4252" s="1">
        <v>0</v>
      </c>
      <c r="E4252">
        <f>D4252*C4252</f>
        <v>0</v>
      </c>
      <c r="F4252" s="1" t="s">
        <v>12307</v>
      </c>
      <c r="G4252" s="17">
        <v>81779</v>
      </c>
    </row>
    <row r="4253" spans="1:7">
      <c r="A4253" s="1" t="s">
        <v>12308</v>
      </c>
      <c r="B4253" s="1" t="s">
        <v>12309</v>
      </c>
      <c r="C4253">
        <f>(1-(B7/100))*44.99</f>
        <v>44.99</v>
      </c>
      <c r="D4253" s="1">
        <v>0</v>
      </c>
      <c r="E4253">
        <f>D4253*C4253</f>
        <v>0</v>
      </c>
      <c r="F4253" s="1" t="s">
        <v>12310</v>
      </c>
      <c r="G4253" s="17">
        <v>81780</v>
      </c>
    </row>
    <row r="4254" spans="1:7">
      <c r="A4254" s="1" t="s">
        <v>12311</v>
      </c>
      <c r="B4254" s="1" t="s">
        <v>12312</v>
      </c>
      <c r="C4254">
        <f>(1-(B7/100))*44.99</f>
        <v>44.99</v>
      </c>
      <c r="D4254" s="1">
        <v>0</v>
      </c>
      <c r="E4254">
        <f>D4254*C4254</f>
        <v>0</v>
      </c>
      <c r="F4254" s="1" t="s">
        <v>12313</v>
      </c>
      <c r="G4254" s="17">
        <v>81781</v>
      </c>
    </row>
    <row r="4255" spans="1:7">
      <c r="A4255" s="1" t="s">
        <v>12314</v>
      </c>
      <c r="B4255" s="1" t="s">
        <v>12315</v>
      </c>
      <c r="C4255">
        <f>(1-(B7/100))*744.66</f>
        <v>744.66</v>
      </c>
      <c r="D4255" s="1">
        <v>0</v>
      </c>
      <c r="E4255">
        <f>D4255*C4255</f>
        <v>0</v>
      </c>
      <c r="F4255" s="1" t="s">
        <v>12316</v>
      </c>
      <c r="G4255" s="17">
        <v>81782</v>
      </c>
    </row>
    <row r="4256" spans="1:7">
      <c r="A4256" s="1" t="s">
        <v>12317</v>
      </c>
      <c r="B4256" s="1" t="s">
        <v>12318</v>
      </c>
      <c r="C4256">
        <f>(1-(B7/100))*4144.33</f>
        <v>4144.33</v>
      </c>
      <c r="D4256" s="1">
        <v>0</v>
      </c>
      <c r="E4256">
        <f>D4256*C4256</f>
        <v>0</v>
      </c>
      <c r="F4256" s="1" t="s">
        <v>12319</v>
      </c>
      <c r="G4256" s="17">
        <v>81784</v>
      </c>
    </row>
    <row r="4257" spans="1:7">
      <c r="A4257" s="1" t="s">
        <v>12320</v>
      </c>
      <c r="B4257" s="1" t="s">
        <v>12321</v>
      </c>
      <c r="C4257">
        <f>(1-(B7/100))*111.82</f>
        <v>111.82</v>
      </c>
      <c r="D4257" s="1">
        <v>0</v>
      </c>
      <c r="E4257">
        <f>D4257*C4257</f>
        <v>0</v>
      </c>
      <c r="F4257" s="1" t="s">
        <v>12322</v>
      </c>
      <c r="G4257" s="17">
        <v>81785</v>
      </c>
    </row>
    <row r="4258" spans="1:7">
      <c r="A4258" s="1" t="s">
        <v>12323</v>
      </c>
      <c r="B4258" s="1" t="s">
        <v>12324</v>
      </c>
      <c r="C4258">
        <f>(1-(B7/100))*113.31</f>
        <v>113.31</v>
      </c>
      <c r="D4258" s="1">
        <v>0</v>
      </c>
      <c r="E4258">
        <f>D4258*C4258</f>
        <v>0</v>
      </c>
      <c r="F4258" s="1" t="s">
        <v>12325</v>
      </c>
      <c r="G4258" s="17">
        <v>81786</v>
      </c>
    </row>
    <row r="4259" spans="1:7">
      <c r="A4259" s="1" t="s">
        <v>12326</v>
      </c>
      <c r="B4259" s="1" t="s">
        <v>12327</v>
      </c>
      <c r="C4259">
        <f>(1-(B7/100))*111.82</f>
        <v>111.82</v>
      </c>
      <c r="D4259" s="1">
        <v>0</v>
      </c>
      <c r="E4259">
        <f>D4259*C4259</f>
        <v>0</v>
      </c>
      <c r="F4259" s="1" t="s">
        <v>12328</v>
      </c>
      <c r="G4259" s="17">
        <v>81787</v>
      </c>
    </row>
    <row r="4260" spans="1:7">
      <c r="A4260" s="1" t="s">
        <v>12329</v>
      </c>
      <c r="B4260" s="1" t="s">
        <v>12330</v>
      </c>
      <c r="C4260">
        <f>(1-(B7/100))*113.31</f>
        <v>113.31</v>
      </c>
      <c r="D4260" s="1">
        <v>0</v>
      </c>
      <c r="E4260">
        <f>D4260*C4260</f>
        <v>0</v>
      </c>
      <c r="F4260" s="1" t="s">
        <v>12331</v>
      </c>
      <c r="G4260" s="17">
        <v>81788</v>
      </c>
    </row>
    <row r="4261" spans="1:7">
      <c r="A4261" s="1" t="s">
        <v>12332</v>
      </c>
      <c r="B4261" s="1" t="s">
        <v>12333</v>
      </c>
      <c r="C4261">
        <f>(1-(B7/100))*113.31</f>
        <v>113.31</v>
      </c>
      <c r="D4261" s="1">
        <v>0</v>
      </c>
      <c r="E4261">
        <f>D4261*C4261</f>
        <v>0</v>
      </c>
      <c r="F4261" s="1" t="s">
        <v>12334</v>
      </c>
      <c r="G4261" s="17">
        <v>81789</v>
      </c>
    </row>
    <row r="4262" spans="1:7">
      <c r="A4262" s="1" t="s">
        <v>12335</v>
      </c>
      <c r="B4262" s="1" t="s">
        <v>12336</v>
      </c>
      <c r="C4262">
        <f>(1-(B7/100))*115.52</f>
        <v>115.52</v>
      </c>
      <c r="D4262" s="1">
        <v>0</v>
      </c>
      <c r="E4262">
        <f>D4262*C4262</f>
        <v>0</v>
      </c>
      <c r="F4262" s="1" t="s">
        <v>12337</v>
      </c>
      <c r="G4262" s="17">
        <v>81790</v>
      </c>
    </row>
    <row r="4263" spans="1:7">
      <c r="A4263" s="1" t="s">
        <v>12338</v>
      </c>
      <c r="B4263" s="1" t="s">
        <v>12339</v>
      </c>
      <c r="C4263">
        <f>(1-(B7/100))*124.34</f>
        <v>124.34</v>
      </c>
      <c r="D4263" s="1">
        <v>0</v>
      </c>
      <c r="E4263">
        <f>D4263*C4263</f>
        <v>0</v>
      </c>
      <c r="F4263" s="1" t="s">
        <v>12340</v>
      </c>
      <c r="G4263" s="17">
        <v>81791</v>
      </c>
    </row>
    <row r="4264" spans="1:7">
      <c r="A4264" s="1" t="s">
        <v>12341</v>
      </c>
      <c r="B4264" s="1" t="s">
        <v>12342</v>
      </c>
      <c r="C4264">
        <f>(1-(B7/100))*115.52</f>
        <v>115.52</v>
      </c>
      <c r="D4264" s="1">
        <v>0</v>
      </c>
      <c r="E4264">
        <f>D4264*C4264</f>
        <v>0</v>
      </c>
      <c r="F4264" s="1" t="s">
        <v>12343</v>
      </c>
      <c r="G4264" s="17">
        <v>81792</v>
      </c>
    </row>
    <row r="4265" spans="1:7">
      <c r="A4265" s="1" t="s">
        <v>12344</v>
      </c>
      <c r="B4265" s="1" t="s">
        <v>12345</v>
      </c>
      <c r="C4265">
        <f>(1-(B7/100))*119.95</f>
        <v>119.95</v>
      </c>
      <c r="D4265" s="1">
        <v>0</v>
      </c>
      <c r="E4265">
        <f>D4265*C4265</f>
        <v>0</v>
      </c>
      <c r="F4265" s="1" t="s">
        <v>12346</v>
      </c>
      <c r="G4265" s="17">
        <v>81793</v>
      </c>
    </row>
    <row r="4266" spans="1:7">
      <c r="A4266" s="1" t="s">
        <v>12347</v>
      </c>
      <c r="B4266" s="1" t="s">
        <v>12348</v>
      </c>
      <c r="C4266">
        <f>(1-(B7/100))*174.29</f>
        <v>174.29</v>
      </c>
      <c r="D4266" s="1">
        <v>0</v>
      </c>
      <c r="E4266">
        <f>D4266*C4266</f>
        <v>0</v>
      </c>
      <c r="F4266" s="1" t="s">
        <v>12349</v>
      </c>
      <c r="G4266" s="17">
        <v>81794</v>
      </c>
    </row>
    <row r="4267" spans="1:7">
      <c r="A4267" s="1" t="s">
        <v>12350</v>
      </c>
      <c r="B4267" s="1" t="s">
        <v>12351</v>
      </c>
      <c r="C4267">
        <f>(1-(B7/100))*177.2</f>
        <v>177.2</v>
      </c>
      <c r="D4267" s="1">
        <v>0</v>
      </c>
      <c r="E4267">
        <f>D4267*C4267</f>
        <v>0</v>
      </c>
      <c r="F4267" s="1" t="s">
        <v>12352</v>
      </c>
      <c r="G4267" s="17">
        <v>81795</v>
      </c>
    </row>
    <row r="4268" spans="1:7">
      <c r="A4268" s="1" t="s">
        <v>12353</v>
      </c>
      <c r="B4268" s="1" t="s">
        <v>12354</v>
      </c>
      <c r="C4268">
        <f>(1-(B7/100))*191.89</f>
        <v>191.89</v>
      </c>
      <c r="D4268" s="1">
        <v>0</v>
      </c>
      <c r="E4268">
        <f>D4268*C4268</f>
        <v>0</v>
      </c>
      <c r="F4268" s="1" t="s">
        <v>12355</v>
      </c>
      <c r="G4268" s="17">
        <v>81796</v>
      </c>
    </row>
    <row r="4269" spans="1:7">
      <c r="A4269" s="1" t="s">
        <v>12356</v>
      </c>
      <c r="B4269" s="1" t="s">
        <v>12357</v>
      </c>
      <c r="C4269">
        <f>(1-(B7/100))*113.35</f>
        <v>113.35</v>
      </c>
      <c r="D4269" s="1">
        <v>0</v>
      </c>
      <c r="E4269">
        <f>D4269*C4269</f>
        <v>0</v>
      </c>
      <c r="F4269" s="1" t="s">
        <v>12358</v>
      </c>
      <c r="G4269" s="17">
        <v>81798</v>
      </c>
    </row>
    <row r="4270" spans="1:7">
      <c r="A4270" s="1" t="s">
        <v>12359</v>
      </c>
      <c r="B4270" s="1" t="s">
        <v>12360</v>
      </c>
      <c r="C4270">
        <f>(1-(B7/100))*208.79</f>
        <v>208.79</v>
      </c>
      <c r="D4270" s="1">
        <v>0</v>
      </c>
      <c r="E4270">
        <f>D4270*C4270</f>
        <v>0</v>
      </c>
      <c r="F4270" s="1" t="s">
        <v>12361</v>
      </c>
      <c r="G4270" s="17">
        <v>81799</v>
      </c>
    </row>
    <row r="4271" spans="1:7">
      <c r="A4271" s="1" t="s">
        <v>12362</v>
      </c>
      <c r="B4271" s="1" t="s">
        <v>12363</v>
      </c>
      <c r="C4271">
        <f>(1-(B7/100))*3856.09</f>
        <v>3856.09</v>
      </c>
      <c r="D4271" s="1">
        <v>0</v>
      </c>
      <c r="E4271">
        <f>D4271*C4271</f>
        <v>0</v>
      </c>
      <c r="F4271" s="1" t="s">
        <v>12364</v>
      </c>
      <c r="G4271" s="17">
        <v>81800</v>
      </c>
    </row>
    <row r="4272" spans="1:7">
      <c r="A4272" s="1" t="s">
        <v>12365</v>
      </c>
      <c r="B4272" s="1" t="s">
        <v>12366</v>
      </c>
      <c r="C4272">
        <f>(1-(B7/100))*239.25</f>
        <v>239.25</v>
      </c>
      <c r="D4272" s="1">
        <v>0</v>
      </c>
      <c r="E4272">
        <f>D4272*C4272</f>
        <v>0</v>
      </c>
      <c r="F4272" s="1" t="s">
        <v>12367</v>
      </c>
      <c r="G4272" s="17">
        <v>81804</v>
      </c>
    </row>
    <row r="4273" spans="1:7">
      <c r="A4273" s="1" t="s">
        <v>12368</v>
      </c>
      <c r="B4273" s="1" t="s">
        <v>12369</v>
      </c>
      <c r="C4273">
        <f>(1-(B7/100))*2314.21</f>
        <v>2314.21</v>
      </c>
      <c r="D4273" s="1">
        <v>0</v>
      </c>
      <c r="E4273">
        <f>D4273*C4273</f>
        <v>0</v>
      </c>
      <c r="F4273" s="1" t="s">
        <v>12370</v>
      </c>
      <c r="G4273" s="17">
        <v>81809</v>
      </c>
    </row>
    <row r="4274" spans="1:7">
      <c r="A4274" s="1" t="s">
        <v>12371</v>
      </c>
      <c r="B4274" s="1" t="s">
        <v>12372</v>
      </c>
      <c r="C4274">
        <f>(1-(B7/100))*76.45</f>
        <v>76.45</v>
      </c>
      <c r="D4274" s="1">
        <v>0</v>
      </c>
      <c r="E4274">
        <f>D4274*C4274</f>
        <v>0</v>
      </c>
      <c r="F4274" s="1" t="s">
        <v>12373</v>
      </c>
      <c r="G4274" s="17">
        <v>81819</v>
      </c>
    </row>
    <row r="4275" spans="1:7">
      <c r="A4275" s="1" t="s">
        <v>12374</v>
      </c>
      <c r="B4275" s="1" t="s">
        <v>12375</v>
      </c>
      <c r="C4275">
        <f>(1-(B7/100))*76.45</f>
        <v>76.45</v>
      </c>
      <c r="D4275" s="1">
        <v>0</v>
      </c>
      <c r="E4275">
        <f>D4275*C4275</f>
        <v>0</v>
      </c>
      <c r="F4275" s="1" t="s">
        <v>12376</v>
      </c>
      <c r="G4275" s="17">
        <v>81820</v>
      </c>
    </row>
    <row r="4276" spans="1:7">
      <c r="A4276" s="1" t="s">
        <v>12377</v>
      </c>
      <c r="B4276" s="1" t="s">
        <v>12378</v>
      </c>
      <c r="C4276">
        <f>(1-(B7/100))*76.45</f>
        <v>76.45</v>
      </c>
      <c r="D4276" s="1">
        <v>0</v>
      </c>
      <c r="E4276">
        <f>D4276*C4276</f>
        <v>0</v>
      </c>
      <c r="F4276" s="1" t="s">
        <v>12379</v>
      </c>
      <c r="G4276" s="17">
        <v>81821</v>
      </c>
    </row>
    <row r="4277" spans="1:7">
      <c r="A4277" s="1" t="s">
        <v>12380</v>
      </c>
      <c r="B4277" s="1" t="s">
        <v>12381</v>
      </c>
      <c r="C4277">
        <f>(1-(B7/100))*76.45</f>
        <v>76.45</v>
      </c>
      <c r="D4277" s="1">
        <v>0</v>
      </c>
      <c r="E4277">
        <f>D4277*C4277</f>
        <v>0</v>
      </c>
      <c r="F4277" s="1" t="s">
        <v>12382</v>
      </c>
      <c r="G4277" s="17">
        <v>81822</v>
      </c>
    </row>
    <row r="4278" spans="1:7">
      <c r="A4278" s="1" t="s">
        <v>12383</v>
      </c>
      <c r="B4278" s="1" t="s">
        <v>12384</v>
      </c>
      <c r="C4278">
        <f>(1-(B7/100))*76.45</f>
        <v>76.45</v>
      </c>
      <c r="D4278" s="1">
        <v>0</v>
      </c>
      <c r="E4278">
        <f>D4278*C4278</f>
        <v>0</v>
      </c>
      <c r="F4278" s="1" t="s">
        <v>12385</v>
      </c>
      <c r="G4278" s="17">
        <v>81823</v>
      </c>
    </row>
    <row r="4279" spans="1:7">
      <c r="A4279" s="1" t="s">
        <v>12386</v>
      </c>
      <c r="B4279" s="1" t="s">
        <v>12387</v>
      </c>
      <c r="C4279">
        <f>(1-(B7/100))*72.23</f>
        <v>72.23</v>
      </c>
      <c r="D4279" s="1">
        <v>0</v>
      </c>
      <c r="E4279">
        <f>D4279*C4279</f>
        <v>0</v>
      </c>
      <c r="F4279" s="1" t="s">
        <v>12388</v>
      </c>
      <c r="G4279" s="17">
        <v>81824</v>
      </c>
    </row>
    <row r="4280" spans="1:7">
      <c r="A4280" s="1" t="s">
        <v>12389</v>
      </c>
      <c r="B4280" s="1" t="s">
        <v>12390</v>
      </c>
      <c r="C4280">
        <f>(1-(B7/100))*72.23</f>
        <v>72.23</v>
      </c>
      <c r="D4280" s="1">
        <v>0</v>
      </c>
      <c r="E4280">
        <f>D4280*C4280</f>
        <v>0</v>
      </c>
      <c r="F4280" s="1" t="s">
        <v>12391</v>
      </c>
      <c r="G4280" s="17">
        <v>81825</v>
      </c>
    </row>
    <row r="4281" spans="1:7">
      <c r="A4281" s="1" t="s">
        <v>12392</v>
      </c>
      <c r="B4281" s="1" t="s">
        <v>12393</v>
      </c>
      <c r="C4281">
        <f>(1-(B7/100))*72.23</f>
        <v>72.23</v>
      </c>
      <c r="D4281" s="1">
        <v>0</v>
      </c>
      <c r="E4281">
        <f>D4281*C4281</f>
        <v>0</v>
      </c>
      <c r="F4281" s="1" t="s">
        <v>12394</v>
      </c>
      <c r="G4281" s="17">
        <v>81826</v>
      </c>
    </row>
    <row r="4282" spans="1:7">
      <c r="A4282" s="1" t="s">
        <v>12395</v>
      </c>
      <c r="B4282" s="1" t="s">
        <v>12396</v>
      </c>
      <c r="C4282">
        <f>(1-(B7/100))*72.23</f>
        <v>72.23</v>
      </c>
      <c r="D4282" s="1">
        <v>0</v>
      </c>
      <c r="E4282">
        <f>D4282*C4282</f>
        <v>0</v>
      </c>
      <c r="F4282" s="1" t="s">
        <v>12397</v>
      </c>
      <c r="G4282" s="17">
        <v>81827</v>
      </c>
    </row>
    <row r="4283" spans="1:7">
      <c r="A4283" s="1" t="s">
        <v>12398</v>
      </c>
      <c r="B4283" s="1" t="s">
        <v>12399</v>
      </c>
      <c r="C4283">
        <f>(1-(B7/100))*72.23</f>
        <v>72.23</v>
      </c>
      <c r="D4283" s="1">
        <v>0</v>
      </c>
      <c r="E4283">
        <f>D4283*C4283</f>
        <v>0</v>
      </c>
      <c r="F4283" s="1" t="s">
        <v>12400</v>
      </c>
      <c r="G4283" s="17">
        <v>81828</v>
      </c>
    </row>
    <row r="4284" spans="1:7">
      <c r="A4284" s="1" t="s">
        <v>12401</v>
      </c>
      <c r="B4284" s="1" t="s">
        <v>12402</v>
      </c>
      <c r="C4284">
        <f>(1-(B7/100))*72.23</f>
        <v>72.23</v>
      </c>
      <c r="D4284" s="1">
        <v>0</v>
      </c>
      <c r="E4284">
        <f>D4284*C4284</f>
        <v>0</v>
      </c>
      <c r="F4284" s="1" t="s">
        <v>12403</v>
      </c>
      <c r="G4284" s="17">
        <v>81829</v>
      </c>
    </row>
    <row r="4285" spans="1:7">
      <c r="A4285" s="1" t="s">
        <v>12404</v>
      </c>
      <c r="B4285" s="1" t="s">
        <v>12405</v>
      </c>
      <c r="C4285">
        <f>(1-(B7/100))*72.23</f>
        <v>72.23</v>
      </c>
      <c r="D4285" s="1">
        <v>0</v>
      </c>
      <c r="E4285">
        <f>D4285*C4285</f>
        <v>0</v>
      </c>
      <c r="F4285" s="1" t="s">
        <v>12406</v>
      </c>
      <c r="G4285" s="17">
        <v>81830</v>
      </c>
    </row>
    <row r="4286" spans="1:7">
      <c r="A4286" s="1" t="s">
        <v>12407</v>
      </c>
      <c r="B4286" s="1" t="s">
        <v>12408</v>
      </c>
      <c r="C4286">
        <f>(1-(B7/100))*72.23</f>
        <v>72.23</v>
      </c>
      <c r="D4286" s="1">
        <v>0</v>
      </c>
      <c r="E4286">
        <f>D4286*C4286</f>
        <v>0</v>
      </c>
      <c r="F4286" s="1" t="s">
        <v>12409</v>
      </c>
      <c r="G4286" s="17">
        <v>81832</v>
      </c>
    </row>
    <row r="4287" spans="1:7">
      <c r="A4287" s="1" t="s">
        <v>12410</v>
      </c>
      <c r="B4287" s="1" t="s">
        <v>12411</v>
      </c>
      <c r="C4287">
        <f>(1-(B7/100))*1613.45</f>
        <v>1613.45</v>
      </c>
      <c r="D4287" s="1">
        <v>0</v>
      </c>
      <c r="E4287">
        <f>D4287*C4287</f>
        <v>0</v>
      </c>
      <c r="F4287" s="1" t="s">
        <v>12412</v>
      </c>
      <c r="G4287" s="17">
        <v>81840</v>
      </c>
    </row>
    <row r="4288" spans="1:7">
      <c r="A4288" s="1" t="s">
        <v>12413</v>
      </c>
      <c r="B4288" s="1" t="s">
        <v>12414</v>
      </c>
      <c r="C4288">
        <f>(1-(B7/100))*1561.4</f>
        <v>1561.4</v>
      </c>
      <c r="D4288" s="1">
        <v>0</v>
      </c>
      <c r="E4288">
        <f>D4288*C4288</f>
        <v>0</v>
      </c>
      <c r="F4288" s="1" t="s">
        <v>12415</v>
      </c>
      <c r="G4288" s="17">
        <v>81841</v>
      </c>
    </row>
    <row r="4289" spans="1:7">
      <c r="A4289" s="1" t="s">
        <v>12416</v>
      </c>
      <c r="B4289" s="1" t="s">
        <v>12417</v>
      </c>
      <c r="C4289">
        <f>(1-(B7/100))*1345.26</f>
        <v>1345.26</v>
      </c>
      <c r="D4289" s="1">
        <v>0</v>
      </c>
      <c r="E4289">
        <f>D4289*C4289</f>
        <v>0</v>
      </c>
      <c r="F4289" s="1" t="s">
        <v>12418</v>
      </c>
      <c r="G4289" s="17">
        <v>81846</v>
      </c>
    </row>
    <row r="4290" spans="1:7">
      <c r="A4290" s="1" t="s">
        <v>12419</v>
      </c>
      <c r="B4290" s="1" t="s">
        <v>12420</v>
      </c>
      <c r="C4290">
        <f>(1-(B7/100))*2045.92</f>
        <v>2045.92</v>
      </c>
      <c r="D4290" s="1">
        <v>0</v>
      </c>
      <c r="E4290">
        <f>D4290*C4290</f>
        <v>0</v>
      </c>
      <c r="F4290" s="1" t="s">
        <v>12421</v>
      </c>
      <c r="G4290" s="17">
        <v>81852</v>
      </c>
    </row>
    <row r="4291" spans="1:7">
      <c r="A4291" s="1" t="s">
        <v>12422</v>
      </c>
      <c r="B4291" s="1" t="s">
        <v>12423</v>
      </c>
      <c r="C4291">
        <f>(1-(B7/100))*1867.25</f>
        <v>1867.25</v>
      </c>
      <c r="D4291" s="1">
        <v>0</v>
      </c>
      <c r="E4291">
        <f>D4291*C4291</f>
        <v>0</v>
      </c>
      <c r="F4291" s="1" t="s">
        <v>12424</v>
      </c>
      <c r="G4291" s="17">
        <v>81853</v>
      </c>
    </row>
    <row r="4292" spans="1:7">
      <c r="A4292" s="1" t="s">
        <v>12425</v>
      </c>
      <c r="B4292" s="1" t="s">
        <v>12426</v>
      </c>
      <c r="C4292">
        <f>(1-(B7/100))*1426.08</f>
        <v>1426.08</v>
      </c>
      <c r="D4292" s="1">
        <v>0</v>
      </c>
      <c r="E4292">
        <f>D4292*C4292</f>
        <v>0</v>
      </c>
      <c r="F4292" s="1" t="s">
        <v>12427</v>
      </c>
      <c r="G4292" s="17">
        <v>81860</v>
      </c>
    </row>
    <row r="4293" spans="1:7">
      <c r="A4293" s="1" t="s">
        <v>12428</v>
      </c>
      <c r="B4293" s="1" t="s">
        <v>12429</v>
      </c>
      <c r="C4293">
        <f>(1-(B7/100))*270.74</f>
        <v>270.74</v>
      </c>
      <c r="D4293" s="1">
        <v>0</v>
      </c>
      <c r="E4293">
        <f>D4293*C4293</f>
        <v>0</v>
      </c>
      <c r="F4293" s="1" t="s">
        <v>12430</v>
      </c>
      <c r="G4293" s="17">
        <v>81874</v>
      </c>
    </row>
    <row r="4294" spans="1:7">
      <c r="A4294" s="1" t="s">
        <v>12431</v>
      </c>
      <c r="B4294" s="1" t="s">
        <v>12432</v>
      </c>
      <c r="C4294">
        <f>(1-(B7/100))*104.09</f>
        <v>104.09</v>
      </c>
      <c r="D4294" s="1">
        <v>0</v>
      </c>
      <c r="E4294">
        <f>D4294*C4294</f>
        <v>0</v>
      </c>
      <c r="F4294" s="1" t="s">
        <v>12433</v>
      </c>
      <c r="G4294" s="17">
        <v>81880</v>
      </c>
    </row>
    <row r="4295" spans="1:7">
      <c r="A4295" s="1" t="s">
        <v>12434</v>
      </c>
      <c r="B4295" s="1" t="s">
        <v>12435</v>
      </c>
      <c r="C4295">
        <f>(1-(B7/100))*43.55</f>
        <v>43.55</v>
      </c>
      <c r="D4295" s="1">
        <v>0</v>
      </c>
      <c r="E4295">
        <f>D4295*C4295</f>
        <v>0</v>
      </c>
      <c r="F4295" s="1" t="s">
        <v>12436</v>
      </c>
      <c r="G4295" s="17">
        <v>81883</v>
      </c>
    </row>
    <row r="4296" spans="1:7">
      <c r="A4296" s="1" t="s">
        <v>12437</v>
      </c>
      <c r="B4296" s="1" t="s">
        <v>12438</v>
      </c>
      <c r="C4296">
        <f>(1-(B7/100))*44.9</f>
        <v>44.9</v>
      </c>
      <c r="D4296" s="1">
        <v>0</v>
      </c>
      <c r="E4296">
        <f>D4296*C4296</f>
        <v>0</v>
      </c>
      <c r="F4296" s="1" t="s">
        <v>12439</v>
      </c>
      <c r="G4296" s="17">
        <v>81886</v>
      </c>
    </row>
    <row r="4297" spans="1:7">
      <c r="A4297" s="1" t="s">
        <v>12440</v>
      </c>
      <c r="B4297" s="1" t="s">
        <v>12441</v>
      </c>
      <c r="C4297">
        <f>(1-(B7/100))*44.9</f>
        <v>44.9</v>
      </c>
      <c r="D4297" s="1">
        <v>0</v>
      </c>
      <c r="E4297">
        <f>D4297*C4297</f>
        <v>0</v>
      </c>
      <c r="F4297" s="1" t="s">
        <v>12442</v>
      </c>
      <c r="G4297" s="17">
        <v>81887</v>
      </c>
    </row>
    <row r="4298" spans="1:7">
      <c r="A4298" s="1" t="s">
        <v>12443</v>
      </c>
      <c r="B4298" s="1" t="s">
        <v>12444</v>
      </c>
      <c r="C4298">
        <f>(1-(B7/100))*56.4</f>
        <v>56.4</v>
      </c>
      <c r="D4298" s="1">
        <v>0</v>
      </c>
      <c r="E4298">
        <f>D4298*C4298</f>
        <v>0</v>
      </c>
      <c r="F4298" s="1" t="s">
        <v>12445</v>
      </c>
      <c r="G4298" s="17">
        <v>81888</v>
      </c>
    </row>
    <row r="4299" spans="1:7">
      <c r="A4299" s="1" t="s">
        <v>12446</v>
      </c>
      <c r="B4299" s="1" t="s">
        <v>12447</v>
      </c>
      <c r="C4299">
        <f>(1-(B7/100))*43.55</f>
        <v>43.55</v>
      </c>
      <c r="D4299" s="1">
        <v>0</v>
      </c>
      <c r="E4299">
        <f>D4299*C4299</f>
        <v>0</v>
      </c>
      <c r="F4299" s="1" t="s">
        <v>12448</v>
      </c>
      <c r="G4299" s="17">
        <v>81890</v>
      </c>
    </row>
    <row r="4300" spans="1:7">
      <c r="A4300" s="1" t="s">
        <v>12449</v>
      </c>
      <c r="B4300" s="1" t="s">
        <v>12450</v>
      </c>
      <c r="C4300">
        <f>(1-(B7/100))*56.4</f>
        <v>56.4</v>
      </c>
      <c r="D4300" s="1">
        <v>0</v>
      </c>
      <c r="E4300">
        <f>D4300*C4300</f>
        <v>0</v>
      </c>
      <c r="F4300" s="1" t="s">
        <v>12451</v>
      </c>
      <c r="G4300" s="17">
        <v>81891</v>
      </c>
    </row>
    <row r="4301" spans="1:7">
      <c r="A4301" s="1" t="s">
        <v>12452</v>
      </c>
      <c r="B4301" s="1" t="s">
        <v>12453</v>
      </c>
      <c r="C4301">
        <f>(1-(B7/100))*33.45</f>
        <v>33.45</v>
      </c>
      <c r="D4301" s="1">
        <v>0</v>
      </c>
      <c r="E4301">
        <f>D4301*C4301</f>
        <v>0</v>
      </c>
      <c r="F4301" s="1" t="s">
        <v>12454</v>
      </c>
      <c r="G4301" s="17">
        <v>81893</v>
      </c>
    </row>
    <row r="4302" spans="1:7">
      <c r="A4302" s="1" t="s">
        <v>12455</v>
      </c>
      <c r="B4302" s="1" t="s">
        <v>12456</v>
      </c>
      <c r="C4302">
        <f>(1-(B7/100))*214.56</f>
        <v>214.56</v>
      </c>
      <c r="D4302" s="1">
        <v>0</v>
      </c>
      <c r="E4302">
        <f>D4302*C4302</f>
        <v>0</v>
      </c>
      <c r="F4302" s="1" t="s">
        <v>12457</v>
      </c>
      <c r="G4302" s="17">
        <v>81897</v>
      </c>
    </row>
    <row r="4303" spans="1:7">
      <c r="A4303" s="1" t="s">
        <v>12458</v>
      </c>
      <c r="B4303" s="1" t="s">
        <v>12459</v>
      </c>
      <c r="C4303">
        <f>(1-(B7/100))*676.61</f>
        <v>676.61</v>
      </c>
      <c r="D4303" s="1">
        <v>0</v>
      </c>
      <c r="E4303">
        <f>D4303*C4303</f>
        <v>0</v>
      </c>
      <c r="F4303" s="1" t="s">
        <v>12460</v>
      </c>
      <c r="G4303" s="17">
        <v>81898</v>
      </c>
    </row>
    <row r="4304" spans="1:7">
      <c r="A4304" s="1" t="s">
        <v>12461</v>
      </c>
      <c r="B4304" s="1" t="s">
        <v>12462</v>
      </c>
      <c r="C4304">
        <f>(1-(B7/100))*158.78</f>
        <v>158.78</v>
      </c>
      <c r="D4304" s="1">
        <v>0</v>
      </c>
      <c r="E4304">
        <f>D4304*C4304</f>
        <v>0</v>
      </c>
      <c r="F4304" s="1" t="s">
        <v>12463</v>
      </c>
      <c r="G4304" s="17">
        <v>81900</v>
      </c>
    </row>
    <row r="4305" spans="1:7">
      <c r="A4305" s="1" t="s">
        <v>12464</v>
      </c>
      <c r="B4305" s="1" t="s">
        <v>12465</v>
      </c>
      <c r="C4305">
        <f>(1-(B7/100))*531.91</f>
        <v>531.91</v>
      </c>
      <c r="D4305" s="1">
        <v>0</v>
      </c>
      <c r="E4305">
        <f>D4305*C4305</f>
        <v>0</v>
      </c>
      <c r="F4305" s="1" t="s">
        <v>12466</v>
      </c>
      <c r="G4305" s="17">
        <v>81901</v>
      </c>
    </row>
    <row r="4306" spans="1:7">
      <c r="A4306" s="1" t="s">
        <v>12467</v>
      </c>
      <c r="B4306" s="1" t="s">
        <v>12468</v>
      </c>
      <c r="C4306">
        <f>(1-(B7/100))*44.9</f>
        <v>44.9</v>
      </c>
      <c r="D4306" s="1">
        <v>0</v>
      </c>
      <c r="E4306">
        <f>D4306*C4306</f>
        <v>0</v>
      </c>
      <c r="F4306" s="1" t="s">
        <v>12469</v>
      </c>
      <c r="G4306" s="17">
        <v>81902</v>
      </c>
    </row>
    <row r="4307" spans="1:7">
      <c r="A4307" s="1" t="s">
        <v>12470</v>
      </c>
      <c r="B4307" s="1" t="s">
        <v>12471</v>
      </c>
      <c r="C4307">
        <f>(1-(B7/100))*115.52</f>
        <v>115.52</v>
      </c>
      <c r="D4307" s="1">
        <v>0</v>
      </c>
      <c r="E4307">
        <f>D4307*C4307</f>
        <v>0</v>
      </c>
      <c r="F4307" s="1" t="s">
        <v>12472</v>
      </c>
      <c r="G4307" s="17">
        <v>81903</v>
      </c>
    </row>
    <row r="4308" spans="1:7">
      <c r="A4308" s="1" t="s">
        <v>12473</v>
      </c>
      <c r="B4308" s="1" t="s">
        <v>12474</v>
      </c>
      <c r="C4308">
        <f>(1-(B7/100))*61.88</f>
        <v>61.88</v>
      </c>
      <c r="D4308" s="1">
        <v>0</v>
      </c>
      <c r="E4308">
        <f>D4308*C4308</f>
        <v>0</v>
      </c>
      <c r="F4308" s="1" t="s">
        <v>12475</v>
      </c>
      <c r="G4308" s="17">
        <v>81904</v>
      </c>
    </row>
    <row r="4309" spans="1:7">
      <c r="A4309" s="1" t="s">
        <v>12476</v>
      </c>
      <c r="B4309" s="1" t="s">
        <v>12477</v>
      </c>
      <c r="C4309">
        <f>(1-(B7/100))*60.42</f>
        <v>60.42</v>
      </c>
      <c r="D4309" s="1">
        <v>0</v>
      </c>
      <c r="E4309">
        <f>D4309*C4309</f>
        <v>0</v>
      </c>
      <c r="F4309" s="1" t="s">
        <v>12478</v>
      </c>
      <c r="G4309" s="17">
        <v>81905</v>
      </c>
    </row>
    <row r="4310" spans="1:7">
      <c r="A4310" s="1" t="s">
        <v>12479</v>
      </c>
      <c r="B4310" s="1" t="s">
        <v>12480</v>
      </c>
      <c r="C4310">
        <f>(1-(B7/100))*61.88</f>
        <v>61.88</v>
      </c>
      <c r="D4310" s="1">
        <v>0</v>
      </c>
      <c r="E4310">
        <f>D4310*C4310</f>
        <v>0</v>
      </c>
      <c r="F4310" s="1" t="s">
        <v>12481</v>
      </c>
      <c r="G4310" s="17">
        <v>81906</v>
      </c>
    </row>
    <row r="4311" spans="1:7">
      <c r="A4311" s="1" t="s">
        <v>12482</v>
      </c>
      <c r="B4311" s="1" t="s">
        <v>12483</v>
      </c>
      <c r="C4311">
        <f>(1-(B7/100))*202.72</f>
        <v>202.72</v>
      </c>
      <c r="D4311" s="1">
        <v>0</v>
      </c>
      <c r="E4311">
        <f>D4311*C4311</f>
        <v>0</v>
      </c>
      <c r="F4311" s="1" t="s">
        <v>12484</v>
      </c>
      <c r="G4311" s="17">
        <v>81907</v>
      </c>
    </row>
    <row r="4312" spans="1:7">
      <c r="A4312" s="1" t="s">
        <v>12485</v>
      </c>
      <c r="B4312" s="1" t="s">
        <v>12486</v>
      </c>
      <c r="C4312">
        <f>(1-(B7/100))*156.66</f>
        <v>156.66</v>
      </c>
      <c r="D4312" s="1">
        <v>0</v>
      </c>
      <c r="E4312">
        <f>D4312*C4312</f>
        <v>0</v>
      </c>
      <c r="F4312" s="1" t="s">
        <v>12487</v>
      </c>
      <c r="G4312" s="17">
        <v>81908</v>
      </c>
    </row>
    <row r="4313" spans="1:7">
      <c r="A4313" s="1" t="s">
        <v>12488</v>
      </c>
      <c r="B4313" s="1" t="s">
        <v>12489</v>
      </c>
      <c r="C4313">
        <f>(1-(B7/100))*205.16</f>
        <v>205.16</v>
      </c>
      <c r="D4313" s="1">
        <v>0</v>
      </c>
      <c r="E4313">
        <f>D4313*C4313</f>
        <v>0</v>
      </c>
      <c r="F4313" s="1" t="s">
        <v>12490</v>
      </c>
      <c r="G4313" s="17">
        <v>81909</v>
      </c>
    </row>
    <row r="4314" spans="1:7">
      <c r="A4314" s="1" t="s">
        <v>12491</v>
      </c>
      <c r="B4314" s="1" t="s">
        <v>12492</v>
      </c>
      <c r="C4314">
        <f>(1-(B7/100))*205.16</f>
        <v>205.16</v>
      </c>
      <c r="D4314" s="1">
        <v>0</v>
      </c>
      <c r="E4314">
        <f>D4314*C4314</f>
        <v>0</v>
      </c>
      <c r="F4314" s="1" t="s">
        <v>12493</v>
      </c>
      <c r="G4314" s="17">
        <v>81910</v>
      </c>
    </row>
    <row r="4315" spans="1:7">
      <c r="A4315" s="1" t="s">
        <v>12494</v>
      </c>
      <c r="B4315" s="1" t="s">
        <v>12495</v>
      </c>
      <c r="C4315">
        <f>(1-(B7/100))*230.79</f>
        <v>230.79</v>
      </c>
      <c r="D4315" s="1">
        <v>0</v>
      </c>
      <c r="E4315">
        <f>D4315*C4315</f>
        <v>0</v>
      </c>
      <c r="F4315" s="1" t="s">
        <v>12496</v>
      </c>
      <c r="G4315" s="17">
        <v>81911</v>
      </c>
    </row>
    <row r="4316" spans="1:7">
      <c r="A4316" s="1" t="s">
        <v>12497</v>
      </c>
      <c r="B4316" s="1" t="s">
        <v>12498</v>
      </c>
      <c r="C4316">
        <f>(1-(B7/100))*154.45</f>
        <v>154.45</v>
      </c>
      <c r="D4316" s="1">
        <v>0</v>
      </c>
      <c r="E4316">
        <f>D4316*C4316</f>
        <v>0</v>
      </c>
      <c r="F4316" s="1" t="s">
        <v>12499</v>
      </c>
      <c r="G4316" s="17">
        <v>81912</v>
      </c>
    </row>
    <row r="4317" spans="1:7">
      <c r="A4317" s="1" t="s">
        <v>12500</v>
      </c>
      <c r="B4317" s="1" t="s">
        <v>12501</v>
      </c>
      <c r="C4317">
        <f>(1-(B7/100))*202.72</f>
        <v>202.72</v>
      </c>
      <c r="D4317" s="1">
        <v>0</v>
      </c>
      <c r="E4317">
        <f>D4317*C4317</f>
        <v>0</v>
      </c>
      <c r="F4317" s="1" t="s">
        <v>12502</v>
      </c>
      <c r="G4317" s="17">
        <v>81913</v>
      </c>
    </row>
    <row r="4318" spans="1:7">
      <c r="A4318" s="1" t="s">
        <v>12503</v>
      </c>
      <c r="B4318" s="1" t="s">
        <v>12504</v>
      </c>
      <c r="C4318">
        <f>(1-(B7/100))*205.16</f>
        <v>205.16</v>
      </c>
      <c r="D4318" s="1">
        <v>0</v>
      </c>
      <c r="E4318">
        <f>D4318*C4318</f>
        <v>0</v>
      </c>
      <c r="F4318" s="1" t="s">
        <v>12505</v>
      </c>
      <c r="G4318" s="17">
        <v>81914</v>
      </c>
    </row>
    <row r="4319" spans="1:7">
      <c r="A4319" s="1" t="s">
        <v>12506</v>
      </c>
      <c r="B4319" s="1" t="s">
        <v>12507</v>
      </c>
      <c r="C4319">
        <f>(1-(B7/100))*205.16</f>
        <v>205.16</v>
      </c>
      <c r="D4319" s="1">
        <v>0</v>
      </c>
      <c r="E4319">
        <f>D4319*C4319</f>
        <v>0</v>
      </c>
      <c r="F4319" s="1" t="s">
        <v>12508</v>
      </c>
      <c r="G4319" s="17">
        <v>81915</v>
      </c>
    </row>
    <row r="4320" spans="1:7">
      <c r="A4320" s="1" t="s">
        <v>12509</v>
      </c>
      <c r="B4320" s="1" t="s">
        <v>12510</v>
      </c>
      <c r="C4320">
        <f>(1-(B7/100))*292.49</f>
        <v>292.49</v>
      </c>
      <c r="D4320" s="1">
        <v>0</v>
      </c>
      <c r="E4320">
        <f>D4320*C4320</f>
        <v>0</v>
      </c>
      <c r="F4320" s="1" t="s">
        <v>12511</v>
      </c>
      <c r="G4320" s="17">
        <v>81916</v>
      </c>
    </row>
    <row r="4321" spans="1:7">
      <c r="A4321" s="1" t="s">
        <v>12512</v>
      </c>
      <c r="B4321" s="1" t="s">
        <v>12513</v>
      </c>
      <c r="C4321">
        <f>(1-(B7/100))*230.79</f>
        <v>230.79</v>
      </c>
      <c r="D4321" s="1">
        <v>0</v>
      </c>
      <c r="E4321">
        <f>D4321*C4321</f>
        <v>0</v>
      </c>
      <c r="F4321" s="1" t="s">
        <v>12514</v>
      </c>
      <c r="G4321" s="17">
        <v>81917</v>
      </c>
    </row>
    <row r="4322" spans="1:7">
      <c r="A4322" s="1" t="s">
        <v>12515</v>
      </c>
      <c r="B4322" s="1" t="s">
        <v>12516</v>
      </c>
      <c r="C4322">
        <f>(1-(B7/100))*154.45</f>
        <v>154.45</v>
      </c>
      <c r="D4322" s="1">
        <v>0</v>
      </c>
      <c r="E4322">
        <f>D4322*C4322</f>
        <v>0</v>
      </c>
      <c r="F4322" s="1" t="s">
        <v>12517</v>
      </c>
      <c r="G4322" s="17">
        <v>81918</v>
      </c>
    </row>
    <row r="4323" spans="1:7">
      <c r="A4323" s="1" t="s">
        <v>12518</v>
      </c>
      <c r="B4323" s="1" t="s">
        <v>12519</v>
      </c>
      <c r="C4323">
        <f>(1-(B7/100))*154.45</f>
        <v>154.45</v>
      </c>
      <c r="D4323" s="1">
        <v>0</v>
      </c>
      <c r="E4323">
        <f>D4323*C4323</f>
        <v>0</v>
      </c>
      <c r="F4323" s="1" t="s">
        <v>12520</v>
      </c>
      <c r="G4323" s="17">
        <v>81919</v>
      </c>
    </row>
    <row r="4324" spans="1:7">
      <c r="A4324" s="1" t="s">
        <v>12521</v>
      </c>
      <c r="B4324" s="1" t="s">
        <v>12522</v>
      </c>
      <c r="C4324">
        <f>(1-(B7/100))*197.06</f>
        <v>197.06</v>
      </c>
      <c r="D4324" s="1">
        <v>0</v>
      </c>
      <c r="E4324">
        <f>D4324*C4324</f>
        <v>0</v>
      </c>
      <c r="F4324" s="1" t="s">
        <v>12523</v>
      </c>
      <c r="G4324" s="17">
        <v>81921</v>
      </c>
    </row>
    <row r="4325" spans="1:7">
      <c r="A4325" s="1" t="s">
        <v>12524</v>
      </c>
      <c r="B4325" s="1" t="s">
        <v>12525</v>
      </c>
      <c r="C4325">
        <f>(1-(B7/100))*205.16</f>
        <v>205.16</v>
      </c>
      <c r="D4325" s="1">
        <v>0</v>
      </c>
      <c r="E4325">
        <f>D4325*C4325</f>
        <v>0</v>
      </c>
      <c r="F4325" s="1" t="s">
        <v>12526</v>
      </c>
      <c r="G4325" s="17">
        <v>81922</v>
      </c>
    </row>
    <row r="4326" spans="1:7">
      <c r="A4326" s="1" t="s">
        <v>12527</v>
      </c>
      <c r="B4326" s="1" t="s">
        <v>12528</v>
      </c>
      <c r="C4326">
        <f>(1-(B7/100))*230.79</f>
        <v>230.79</v>
      </c>
      <c r="D4326" s="1">
        <v>0</v>
      </c>
      <c r="E4326">
        <f>D4326*C4326</f>
        <v>0</v>
      </c>
      <c r="F4326" s="1" t="s">
        <v>12529</v>
      </c>
      <c r="G4326" s="17">
        <v>81923</v>
      </c>
    </row>
    <row r="4327" spans="1:7">
      <c r="A4327" s="1" t="s">
        <v>12530</v>
      </c>
      <c r="B4327" s="1" t="s">
        <v>12531</v>
      </c>
      <c r="C4327">
        <f>(1-(B7/100))*154.45</f>
        <v>154.45</v>
      </c>
      <c r="D4327" s="1">
        <v>0</v>
      </c>
      <c r="E4327">
        <f>D4327*C4327</f>
        <v>0</v>
      </c>
      <c r="F4327" s="1" t="s">
        <v>12532</v>
      </c>
      <c r="G4327" s="17">
        <v>81924</v>
      </c>
    </row>
    <row r="4328" spans="1:7">
      <c r="A4328" s="1" t="s">
        <v>12533</v>
      </c>
      <c r="B4328" s="1" t="s">
        <v>12534</v>
      </c>
      <c r="C4328">
        <f>(1-(B7/100))*154.45</f>
        <v>154.45</v>
      </c>
      <c r="D4328" s="1">
        <v>0</v>
      </c>
      <c r="E4328">
        <f>D4328*C4328</f>
        <v>0</v>
      </c>
      <c r="F4328" s="1" t="s">
        <v>12535</v>
      </c>
      <c r="G4328" s="17">
        <v>81925</v>
      </c>
    </row>
    <row r="4329" spans="1:7">
      <c r="A4329" s="1" t="s">
        <v>12536</v>
      </c>
      <c r="B4329" s="1" t="s">
        <v>12537</v>
      </c>
      <c r="C4329">
        <f>(1-(B7/100))*154.45</f>
        <v>154.45</v>
      </c>
      <c r="D4329" s="1">
        <v>0</v>
      </c>
      <c r="E4329">
        <f>D4329*C4329</f>
        <v>0</v>
      </c>
      <c r="F4329" s="1" t="s">
        <v>12538</v>
      </c>
      <c r="G4329" s="17">
        <v>81926</v>
      </c>
    </row>
    <row r="4330" spans="1:7">
      <c r="A4330" s="1" t="s">
        <v>12539</v>
      </c>
      <c r="B4330" s="1" t="s">
        <v>12540</v>
      </c>
      <c r="C4330">
        <f>(1-(B7/100))*154.45</f>
        <v>154.45</v>
      </c>
      <c r="D4330" s="1">
        <v>0</v>
      </c>
      <c r="E4330">
        <f>D4330*C4330</f>
        <v>0</v>
      </c>
      <c r="F4330" s="1" t="s">
        <v>12541</v>
      </c>
      <c r="G4330" s="17">
        <v>81927</v>
      </c>
    </row>
    <row r="4331" spans="1:7">
      <c r="A4331" s="1" t="s">
        <v>12542</v>
      </c>
      <c r="B4331" s="1" t="s">
        <v>12543</v>
      </c>
      <c r="C4331">
        <f>(1-(B7/100))*154.45</f>
        <v>154.45</v>
      </c>
      <c r="D4331" s="1">
        <v>0</v>
      </c>
      <c r="E4331">
        <f>D4331*C4331</f>
        <v>0</v>
      </c>
      <c r="F4331" s="1" t="s">
        <v>12544</v>
      </c>
      <c r="G4331" s="17">
        <v>81928</v>
      </c>
    </row>
    <row r="4332" spans="1:7">
      <c r="A4332" s="1" t="s">
        <v>12545</v>
      </c>
      <c r="B4332" s="1" t="s">
        <v>12546</v>
      </c>
      <c r="C4332">
        <f>(1-(B7/100))*154.45</f>
        <v>154.45</v>
      </c>
      <c r="D4332" s="1">
        <v>0</v>
      </c>
      <c r="E4332">
        <f>D4332*C4332</f>
        <v>0</v>
      </c>
      <c r="F4332" s="1" t="s">
        <v>12547</v>
      </c>
      <c r="G4332" s="17">
        <v>81930</v>
      </c>
    </row>
    <row r="4333" spans="1:7">
      <c r="A4333" s="1" t="s">
        <v>12548</v>
      </c>
      <c r="B4333" s="1" t="s">
        <v>12549</v>
      </c>
      <c r="C4333">
        <f>(1-(B7/100))*154.45</f>
        <v>154.45</v>
      </c>
      <c r="D4333" s="1">
        <v>0</v>
      </c>
      <c r="E4333">
        <f>D4333*C4333</f>
        <v>0</v>
      </c>
      <c r="F4333" s="1" t="s">
        <v>12550</v>
      </c>
      <c r="G4333" s="17">
        <v>81931</v>
      </c>
    </row>
    <row r="4334" spans="1:7">
      <c r="A4334" s="1" t="s">
        <v>12551</v>
      </c>
      <c r="B4334" s="1" t="s">
        <v>12552</v>
      </c>
      <c r="C4334">
        <f>(1-(B7/100))*205.16</f>
        <v>205.16</v>
      </c>
      <c r="D4334" s="1">
        <v>0</v>
      </c>
      <c r="E4334">
        <f>D4334*C4334</f>
        <v>0</v>
      </c>
      <c r="F4334" s="1" t="s">
        <v>12553</v>
      </c>
      <c r="G4334" s="17">
        <v>81932</v>
      </c>
    </row>
    <row r="4335" spans="1:7">
      <c r="A4335" s="1" t="s">
        <v>12554</v>
      </c>
      <c r="B4335" s="1" t="s">
        <v>12555</v>
      </c>
      <c r="C4335">
        <f>(1-(B7/100))*205.16</f>
        <v>205.16</v>
      </c>
      <c r="D4335" s="1">
        <v>0</v>
      </c>
      <c r="E4335">
        <f>D4335*C4335</f>
        <v>0</v>
      </c>
      <c r="F4335" s="1" t="s">
        <v>12556</v>
      </c>
      <c r="G4335" s="17">
        <v>81933</v>
      </c>
    </row>
    <row r="4336" spans="1:7">
      <c r="A4336" s="1" t="s">
        <v>12557</v>
      </c>
      <c r="B4336" s="1" t="s">
        <v>12558</v>
      </c>
      <c r="C4336">
        <f>(1-(B7/100))*197.06</f>
        <v>197.06</v>
      </c>
      <c r="D4336" s="1">
        <v>0</v>
      </c>
      <c r="E4336">
        <f>D4336*C4336</f>
        <v>0</v>
      </c>
      <c r="F4336" s="1" t="s">
        <v>12559</v>
      </c>
      <c r="G4336" s="17">
        <v>81934</v>
      </c>
    </row>
    <row r="4337" spans="1:7">
      <c r="A4337" s="1" t="s">
        <v>12560</v>
      </c>
      <c r="B4337" s="1" t="s">
        <v>12561</v>
      </c>
      <c r="C4337">
        <f>(1-(B7/100))*156.66</f>
        <v>156.66</v>
      </c>
      <c r="D4337" s="1">
        <v>0</v>
      </c>
      <c r="E4337">
        <f>D4337*C4337</f>
        <v>0</v>
      </c>
      <c r="F4337" s="1" t="s">
        <v>12562</v>
      </c>
      <c r="G4337" s="17">
        <v>81935</v>
      </c>
    </row>
    <row r="4338" spans="1:7">
      <c r="A4338" s="1" t="s">
        <v>12563</v>
      </c>
      <c r="B4338" s="1" t="s">
        <v>12564</v>
      </c>
      <c r="C4338">
        <f>(1-(B7/100))*154.45</f>
        <v>154.45</v>
      </c>
      <c r="D4338" s="1">
        <v>0</v>
      </c>
      <c r="E4338">
        <f>D4338*C4338</f>
        <v>0</v>
      </c>
      <c r="F4338" s="1" t="s">
        <v>12565</v>
      </c>
      <c r="G4338" s="17">
        <v>81936</v>
      </c>
    </row>
    <row r="4339" spans="1:7">
      <c r="A4339" s="1" t="s">
        <v>12566</v>
      </c>
      <c r="B4339" s="1" t="s">
        <v>12567</v>
      </c>
      <c r="C4339">
        <f>(1-(B7/100))*154.45</f>
        <v>154.45</v>
      </c>
      <c r="D4339" s="1">
        <v>0</v>
      </c>
      <c r="E4339">
        <f>D4339*C4339</f>
        <v>0</v>
      </c>
      <c r="F4339" s="1" t="s">
        <v>12568</v>
      </c>
      <c r="G4339" s="17">
        <v>81937</v>
      </c>
    </row>
    <row r="4340" spans="1:7">
      <c r="A4340" s="1" t="s">
        <v>12569</v>
      </c>
      <c r="B4340" s="1" t="s">
        <v>12570</v>
      </c>
      <c r="C4340">
        <f>(1-(B7/100))*205.16</f>
        <v>205.16</v>
      </c>
      <c r="D4340" s="1">
        <v>0</v>
      </c>
      <c r="E4340">
        <f>D4340*C4340</f>
        <v>0</v>
      </c>
      <c r="F4340" s="1" t="s">
        <v>12571</v>
      </c>
      <c r="G4340" s="17">
        <v>81938</v>
      </c>
    </row>
    <row r="4341" spans="1:7">
      <c r="A4341" s="1" t="s">
        <v>12572</v>
      </c>
      <c r="B4341" s="1" t="s">
        <v>12573</v>
      </c>
      <c r="C4341">
        <f>(1-(B7/100))*297.34</f>
        <v>297.34</v>
      </c>
      <c r="D4341" s="1">
        <v>0</v>
      </c>
      <c r="E4341">
        <f>D4341*C4341</f>
        <v>0</v>
      </c>
      <c r="F4341" s="1" t="s">
        <v>12574</v>
      </c>
      <c r="G4341" s="17">
        <v>81939</v>
      </c>
    </row>
    <row r="4342" spans="1:7">
      <c r="A4342" s="1" t="s">
        <v>12575</v>
      </c>
      <c r="B4342" s="1" t="s">
        <v>12576</v>
      </c>
      <c r="C4342">
        <f>(1-(B7/100))*292.49</f>
        <v>292.49</v>
      </c>
      <c r="D4342" s="1">
        <v>0</v>
      </c>
      <c r="E4342">
        <f>D4342*C4342</f>
        <v>0</v>
      </c>
      <c r="F4342" s="1" t="s">
        <v>12577</v>
      </c>
      <c r="G4342" s="17">
        <v>81940</v>
      </c>
    </row>
    <row r="4343" spans="1:7">
      <c r="A4343" s="1" t="s">
        <v>12578</v>
      </c>
      <c r="B4343" s="1" t="s">
        <v>12579</v>
      </c>
      <c r="C4343">
        <f>(1-(B7/100))*222.74</f>
        <v>222.74</v>
      </c>
      <c r="D4343" s="1">
        <v>0</v>
      </c>
      <c r="E4343">
        <f>D4343*C4343</f>
        <v>0</v>
      </c>
      <c r="F4343" s="1" t="s">
        <v>12580</v>
      </c>
      <c r="G4343" s="17">
        <v>81941</v>
      </c>
    </row>
    <row r="4344" spans="1:7">
      <c r="A4344" s="1" t="s">
        <v>12581</v>
      </c>
      <c r="B4344" s="1" t="s">
        <v>12582</v>
      </c>
      <c r="C4344">
        <f>(1-(B7/100))*197.06</f>
        <v>197.06</v>
      </c>
      <c r="D4344" s="1">
        <v>0</v>
      </c>
      <c r="E4344">
        <f>D4344*C4344</f>
        <v>0</v>
      </c>
      <c r="F4344" s="1" t="s">
        <v>12583</v>
      </c>
      <c r="G4344" s="17">
        <v>81942</v>
      </c>
    </row>
    <row r="4345" spans="1:7">
      <c r="A4345" s="1" t="s">
        <v>12584</v>
      </c>
      <c r="B4345" s="1" t="s">
        <v>12585</v>
      </c>
      <c r="C4345">
        <f>(1-(B7/100))*154.45</f>
        <v>154.45</v>
      </c>
      <c r="D4345" s="1">
        <v>0</v>
      </c>
      <c r="E4345">
        <f>D4345*C4345</f>
        <v>0</v>
      </c>
      <c r="F4345" s="1" t="s">
        <v>12586</v>
      </c>
      <c r="G4345" s="17">
        <v>81943</v>
      </c>
    </row>
    <row r="4346" spans="1:7">
      <c r="A4346" s="1" t="s">
        <v>12587</v>
      </c>
      <c r="B4346" s="1" t="s">
        <v>12588</v>
      </c>
      <c r="C4346">
        <f>(1-(B7/100))*154.45</f>
        <v>154.45</v>
      </c>
      <c r="D4346" s="1">
        <v>0</v>
      </c>
      <c r="E4346">
        <f>D4346*C4346</f>
        <v>0</v>
      </c>
      <c r="F4346" s="1" t="s">
        <v>12589</v>
      </c>
      <c r="G4346" s="17">
        <v>81944</v>
      </c>
    </row>
    <row r="4347" spans="1:7">
      <c r="A4347" s="1" t="s">
        <v>12590</v>
      </c>
      <c r="B4347" s="1" t="s">
        <v>12591</v>
      </c>
      <c r="C4347">
        <f>(1-(B7/100))*197.06</f>
        <v>197.06</v>
      </c>
      <c r="D4347" s="1">
        <v>0</v>
      </c>
      <c r="E4347">
        <f>D4347*C4347</f>
        <v>0</v>
      </c>
      <c r="F4347" s="1" t="s">
        <v>12592</v>
      </c>
      <c r="G4347" s="17">
        <v>81945</v>
      </c>
    </row>
    <row r="4348" spans="1:7">
      <c r="A4348" s="1" t="s">
        <v>12593</v>
      </c>
      <c r="B4348" s="1" t="s">
        <v>12594</v>
      </c>
      <c r="C4348">
        <f>(1-(B7/100))*205.16</f>
        <v>205.16</v>
      </c>
      <c r="D4348" s="1">
        <v>0</v>
      </c>
      <c r="E4348">
        <f>D4348*C4348</f>
        <v>0</v>
      </c>
      <c r="F4348" s="1" t="s">
        <v>12595</v>
      </c>
      <c r="G4348" s="17">
        <v>81946</v>
      </c>
    </row>
    <row r="4349" spans="1:7">
      <c r="A4349" s="1" t="s">
        <v>12596</v>
      </c>
      <c r="B4349" s="1" t="s">
        <v>12597</v>
      </c>
      <c r="C4349">
        <f>(1-(B7/100))*205.16</f>
        <v>205.16</v>
      </c>
      <c r="D4349" s="1">
        <v>0</v>
      </c>
      <c r="E4349">
        <f>D4349*C4349</f>
        <v>0</v>
      </c>
      <c r="F4349" s="1" t="s">
        <v>12598</v>
      </c>
      <c r="G4349" s="17">
        <v>81947</v>
      </c>
    </row>
    <row r="4350" spans="1:7">
      <c r="A4350" s="1" t="s">
        <v>12599</v>
      </c>
      <c r="B4350" s="1" t="s">
        <v>12600</v>
      </c>
      <c r="C4350">
        <f>(1-(B7/100))*222.74</f>
        <v>222.74</v>
      </c>
      <c r="D4350" s="1">
        <v>0</v>
      </c>
      <c r="E4350">
        <f>D4350*C4350</f>
        <v>0</v>
      </c>
      <c r="F4350" s="1" t="s">
        <v>12601</v>
      </c>
      <c r="G4350" s="17">
        <v>81948</v>
      </c>
    </row>
    <row r="4351" spans="1:7">
      <c r="A4351" s="1" t="s">
        <v>12602</v>
      </c>
      <c r="B4351" s="1" t="s">
        <v>12603</v>
      </c>
      <c r="C4351">
        <f>(1-(B7/100))*230.79</f>
        <v>230.79</v>
      </c>
      <c r="D4351" s="1">
        <v>0</v>
      </c>
      <c r="E4351">
        <f>D4351*C4351</f>
        <v>0</v>
      </c>
      <c r="F4351" s="1" t="s">
        <v>12604</v>
      </c>
      <c r="G4351" s="17">
        <v>81949</v>
      </c>
    </row>
    <row r="4352" spans="1:7">
      <c r="A4352" s="1" t="s">
        <v>12605</v>
      </c>
      <c r="B4352" s="1" t="s">
        <v>12606</v>
      </c>
      <c r="C4352">
        <f>(1-(B7/100))*230.79</f>
        <v>230.79</v>
      </c>
      <c r="D4352" s="1">
        <v>0</v>
      </c>
      <c r="E4352">
        <f>D4352*C4352</f>
        <v>0</v>
      </c>
      <c r="F4352" s="1" t="s">
        <v>12607</v>
      </c>
      <c r="G4352" s="17">
        <v>81950</v>
      </c>
    </row>
    <row r="4353" spans="1:7">
      <c r="A4353" s="1" t="s">
        <v>12608</v>
      </c>
      <c r="B4353" s="1" t="s">
        <v>12609</v>
      </c>
      <c r="C4353">
        <f>(1-(B7/100))*154.45</f>
        <v>154.45</v>
      </c>
      <c r="D4353" s="1">
        <v>0</v>
      </c>
      <c r="E4353">
        <f>D4353*C4353</f>
        <v>0</v>
      </c>
      <c r="F4353" s="1" t="s">
        <v>12610</v>
      </c>
      <c r="G4353" s="17">
        <v>81951</v>
      </c>
    </row>
    <row r="4354" spans="1:7">
      <c r="A4354" s="1" t="s">
        <v>12611</v>
      </c>
      <c r="B4354" s="1" t="s">
        <v>12612</v>
      </c>
      <c r="C4354">
        <f>(1-(B7/100))*154.45</f>
        <v>154.45</v>
      </c>
      <c r="D4354" s="1">
        <v>0</v>
      </c>
      <c r="E4354">
        <f>D4354*C4354</f>
        <v>0</v>
      </c>
      <c r="F4354" s="1" t="s">
        <v>12613</v>
      </c>
      <c r="G4354" s="17">
        <v>81952</v>
      </c>
    </row>
    <row r="4355" spans="1:7">
      <c r="A4355" s="1" t="s">
        <v>12614</v>
      </c>
      <c r="B4355" s="1" t="s">
        <v>12615</v>
      </c>
      <c r="C4355">
        <f>(1-(B7/100))*156.66</f>
        <v>156.66</v>
      </c>
      <c r="D4355" s="1">
        <v>0</v>
      </c>
      <c r="E4355">
        <f>D4355*C4355</f>
        <v>0</v>
      </c>
      <c r="F4355" s="1" t="s">
        <v>12616</v>
      </c>
      <c r="G4355" s="17">
        <v>81953</v>
      </c>
    </row>
    <row r="4356" spans="1:7">
      <c r="A4356" s="1" t="s">
        <v>12617</v>
      </c>
      <c r="B4356" s="1" t="s">
        <v>12618</v>
      </c>
      <c r="C4356">
        <f>(1-(B7/100))*162.56</f>
        <v>162.56</v>
      </c>
      <c r="D4356" s="1">
        <v>0</v>
      </c>
      <c r="E4356">
        <f>D4356*C4356</f>
        <v>0</v>
      </c>
      <c r="F4356" s="1" t="s">
        <v>12619</v>
      </c>
      <c r="G4356" s="17">
        <v>81954</v>
      </c>
    </row>
    <row r="4357" spans="1:7">
      <c r="A4357" s="1" t="s">
        <v>12620</v>
      </c>
      <c r="B4357" s="1" t="s">
        <v>12621</v>
      </c>
      <c r="C4357">
        <f>(1-(B7/100))*154.45</f>
        <v>154.45</v>
      </c>
      <c r="D4357" s="1">
        <v>0</v>
      </c>
      <c r="E4357">
        <f>D4357*C4357</f>
        <v>0</v>
      </c>
      <c r="F4357" s="1" t="s">
        <v>12622</v>
      </c>
      <c r="G4357" s="17">
        <v>81955</v>
      </c>
    </row>
    <row r="4358" spans="1:7">
      <c r="A4358" s="1" t="s">
        <v>12623</v>
      </c>
      <c r="B4358" s="1" t="s">
        <v>12624</v>
      </c>
      <c r="C4358">
        <f>(1-(B7/100))*205.16</f>
        <v>205.16</v>
      </c>
      <c r="D4358" s="1">
        <v>0</v>
      </c>
      <c r="E4358">
        <f>D4358*C4358</f>
        <v>0</v>
      </c>
      <c r="F4358" s="1" t="s">
        <v>12625</v>
      </c>
      <c r="G4358" s="17">
        <v>81956</v>
      </c>
    </row>
    <row r="4359" spans="1:7">
      <c r="A4359" s="1" t="s">
        <v>12626</v>
      </c>
      <c r="B4359" s="1" t="s">
        <v>12627</v>
      </c>
      <c r="C4359">
        <f>(1-(B7/100))*292.49</f>
        <v>292.49</v>
      </c>
      <c r="D4359" s="1">
        <v>0</v>
      </c>
      <c r="E4359">
        <f>D4359*C4359</f>
        <v>0</v>
      </c>
      <c r="F4359" s="1" t="s">
        <v>12628</v>
      </c>
      <c r="G4359" s="17">
        <v>81957</v>
      </c>
    </row>
    <row r="4360" spans="1:7">
      <c r="A4360" s="1" t="s">
        <v>12629</v>
      </c>
      <c r="B4360" s="1" t="s">
        <v>12630</v>
      </c>
      <c r="C4360">
        <f>(1-(B7/100))*154.45</f>
        <v>154.45</v>
      </c>
      <c r="D4360" s="1">
        <v>0</v>
      </c>
      <c r="E4360">
        <f>D4360*C4360</f>
        <v>0</v>
      </c>
      <c r="F4360" s="1" t="s">
        <v>12631</v>
      </c>
      <c r="G4360" s="17">
        <v>81958</v>
      </c>
    </row>
    <row r="4361" spans="1:7">
      <c r="A4361" s="1" t="s">
        <v>12632</v>
      </c>
      <c r="B4361" s="1" t="s">
        <v>12633</v>
      </c>
      <c r="C4361">
        <f>(1-(B7/100))*154.45</f>
        <v>154.45</v>
      </c>
      <c r="D4361" s="1">
        <v>0</v>
      </c>
      <c r="E4361">
        <f>D4361*C4361</f>
        <v>0</v>
      </c>
      <c r="F4361" s="1" t="s">
        <v>12634</v>
      </c>
      <c r="G4361" s="17">
        <v>81959</v>
      </c>
    </row>
    <row r="4362" spans="1:7">
      <c r="A4362" s="1" t="s">
        <v>12635</v>
      </c>
      <c r="B4362" s="1" t="s">
        <v>12636</v>
      </c>
      <c r="C4362">
        <f>(1-(B7/100))*205.16</f>
        <v>205.16</v>
      </c>
      <c r="D4362" s="1">
        <v>0</v>
      </c>
      <c r="E4362">
        <f>D4362*C4362</f>
        <v>0</v>
      </c>
      <c r="F4362" s="1" t="s">
        <v>12637</v>
      </c>
      <c r="G4362" s="17">
        <v>81960</v>
      </c>
    </row>
    <row r="4363" spans="1:7">
      <c r="A4363" s="1" t="s">
        <v>12638</v>
      </c>
      <c r="B4363" s="1" t="s">
        <v>12639</v>
      </c>
      <c r="C4363">
        <f>(1-(B7/100))*230.79</f>
        <v>230.79</v>
      </c>
      <c r="D4363" s="1">
        <v>0</v>
      </c>
      <c r="E4363">
        <f>D4363*C4363</f>
        <v>0</v>
      </c>
      <c r="F4363" s="1" t="s">
        <v>12640</v>
      </c>
      <c r="G4363" s="17">
        <v>81961</v>
      </c>
    </row>
    <row r="4364" spans="1:7">
      <c r="A4364" s="1" t="s">
        <v>12641</v>
      </c>
      <c r="B4364" s="1" t="s">
        <v>12642</v>
      </c>
      <c r="C4364">
        <f>(1-(B7/100))*154.45</f>
        <v>154.45</v>
      </c>
      <c r="D4364" s="1">
        <v>0</v>
      </c>
      <c r="E4364">
        <f>D4364*C4364</f>
        <v>0</v>
      </c>
      <c r="F4364" s="1" t="s">
        <v>12643</v>
      </c>
      <c r="G4364" s="17">
        <v>81962</v>
      </c>
    </row>
    <row r="4365" spans="1:7">
      <c r="A4365" s="1" t="s">
        <v>12644</v>
      </c>
      <c r="B4365" s="1" t="s">
        <v>12645</v>
      </c>
      <c r="C4365">
        <f>(1-(B7/100))*154.45</f>
        <v>154.45</v>
      </c>
      <c r="D4365" s="1">
        <v>0</v>
      </c>
      <c r="E4365">
        <f>D4365*C4365</f>
        <v>0</v>
      </c>
      <c r="F4365" s="1" t="s">
        <v>12646</v>
      </c>
      <c r="G4365" s="17">
        <v>81963</v>
      </c>
    </row>
    <row r="4366" spans="1:7">
      <c r="A4366" s="1" t="s">
        <v>12647</v>
      </c>
      <c r="B4366" s="1" t="s">
        <v>12648</v>
      </c>
      <c r="C4366">
        <f>(1-(B7/100))*197.06</f>
        <v>197.06</v>
      </c>
      <c r="D4366" s="1">
        <v>0</v>
      </c>
      <c r="E4366">
        <f>D4366*C4366</f>
        <v>0</v>
      </c>
      <c r="F4366" s="1" t="s">
        <v>12649</v>
      </c>
      <c r="G4366" s="17">
        <v>81964</v>
      </c>
    </row>
    <row r="4367" spans="1:7">
      <c r="A4367" s="1" t="s">
        <v>12650</v>
      </c>
      <c r="B4367" s="1" t="s">
        <v>12651</v>
      </c>
      <c r="C4367">
        <f>(1-(B7/100))*197.06</f>
        <v>197.06</v>
      </c>
      <c r="D4367" s="1">
        <v>0</v>
      </c>
      <c r="E4367">
        <f>D4367*C4367</f>
        <v>0</v>
      </c>
      <c r="F4367" s="1" t="s">
        <v>12652</v>
      </c>
      <c r="G4367" s="17">
        <v>81965</v>
      </c>
    </row>
    <row r="4368" spans="1:7">
      <c r="A4368" s="1" t="s">
        <v>12653</v>
      </c>
      <c r="B4368" s="1" t="s">
        <v>12654</v>
      </c>
      <c r="C4368">
        <f>(1-(B7/100))*269.28</f>
        <v>269.28</v>
      </c>
      <c r="D4368" s="1">
        <v>0</v>
      </c>
      <c r="E4368">
        <f>D4368*C4368</f>
        <v>0</v>
      </c>
      <c r="F4368" s="1" t="s">
        <v>12655</v>
      </c>
      <c r="G4368" s="17">
        <v>81967</v>
      </c>
    </row>
    <row r="4369" spans="1:7">
      <c r="A4369" s="1" t="s">
        <v>12656</v>
      </c>
      <c r="B4369" s="1" t="s">
        <v>12657</v>
      </c>
      <c r="C4369">
        <f>(1-(B7/100))*205.16</f>
        <v>205.16</v>
      </c>
      <c r="D4369" s="1">
        <v>0</v>
      </c>
      <c r="E4369">
        <f>D4369*C4369</f>
        <v>0</v>
      </c>
      <c r="F4369" s="1" t="s">
        <v>12658</v>
      </c>
      <c r="G4369" s="17">
        <v>81968</v>
      </c>
    </row>
    <row r="4370" spans="1:7">
      <c r="A4370" s="1" t="s">
        <v>12659</v>
      </c>
      <c r="B4370" s="1" t="s">
        <v>12660</v>
      </c>
      <c r="C4370">
        <f>(1-(B7/100))*197.06</f>
        <v>197.06</v>
      </c>
      <c r="D4370" s="1">
        <v>0</v>
      </c>
      <c r="E4370">
        <f>D4370*C4370</f>
        <v>0</v>
      </c>
      <c r="F4370" s="1" t="s">
        <v>12661</v>
      </c>
      <c r="G4370" s="17">
        <v>81969</v>
      </c>
    </row>
    <row r="4371" spans="1:7">
      <c r="A4371" s="1" t="s">
        <v>12662</v>
      </c>
      <c r="B4371" s="1" t="s">
        <v>12663</v>
      </c>
      <c r="C4371">
        <f>(1-(B7/100))*217.62</f>
        <v>217.62</v>
      </c>
      <c r="D4371" s="1">
        <v>0</v>
      </c>
      <c r="E4371">
        <f>D4371*C4371</f>
        <v>0</v>
      </c>
      <c r="F4371" s="1" t="s">
        <v>12664</v>
      </c>
      <c r="G4371" s="17">
        <v>81970</v>
      </c>
    </row>
    <row r="4372" spans="1:7">
      <c r="A4372" s="1" t="s">
        <v>12665</v>
      </c>
      <c r="B4372" s="1" t="s">
        <v>12666</v>
      </c>
      <c r="C4372">
        <f>(1-(B7/100))*197.06</f>
        <v>197.06</v>
      </c>
      <c r="D4372" s="1">
        <v>0</v>
      </c>
      <c r="E4372">
        <f>D4372*C4372</f>
        <v>0</v>
      </c>
      <c r="F4372" s="1" t="s">
        <v>12667</v>
      </c>
      <c r="G4372" s="17">
        <v>81971</v>
      </c>
    </row>
    <row r="4373" spans="1:7">
      <c r="A4373" s="1" t="s">
        <v>12668</v>
      </c>
      <c r="B4373" s="1" t="s">
        <v>12669</v>
      </c>
      <c r="C4373">
        <f>(1-(B7/100))*265.1</f>
        <v>265.1</v>
      </c>
      <c r="D4373" s="1">
        <v>0</v>
      </c>
      <c r="E4373">
        <f>D4373*C4373</f>
        <v>0</v>
      </c>
      <c r="F4373" s="1" t="s">
        <v>12670</v>
      </c>
      <c r="G4373" s="17">
        <v>81972</v>
      </c>
    </row>
    <row r="4374" spans="1:7">
      <c r="A4374" s="1" t="s">
        <v>12671</v>
      </c>
      <c r="B4374" s="1" t="s">
        <v>12672</v>
      </c>
      <c r="C4374">
        <f>(1-(B7/100))*292.49</f>
        <v>292.49</v>
      </c>
      <c r="D4374" s="1">
        <v>0</v>
      </c>
      <c r="E4374">
        <f>D4374*C4374</f>
        <v>0</v>
      </c>
      <c r="F4374" s="1" t="s">
        <v>12673</v>
      </c>
      <c r="G4374" s="17">
        <v>81973</v>
      </c>
    </row>
    <row r="4375" spans="1:7">
      <c r="A4375" s="1" t="s">
        <v>12674</v>
      </c>
      <c r="B4375" s="1" t="s">
        <v>12675</v>
      </c>
      <c r="C4375">
        <f>(1-(B7/100))*370.05</f>
        <v>370.05</v>
      </c>
      <c r="D4375" s="1">
        <v>0</v>
      </c>
      <c r="E4375">
        <f>D4375*C4375</f>
        <v>0</v>
      </c>
      <c r="F4375" s="1" t="s">
        <v>12676</v>
      </c>
      <c r="G4375" s="17">
        <v>81974</v>
      </c>
    </row>
    <row r="4376" spans="1:7">
      <c r="A4376" s="1" t="s">
        <v>12677</v>
      </c>
      <c r="B4376" s="1" t="s">
        <v>12678</v>
      </c>
      <c r="C4376">
        <f>(1-(B7/100))*154.45</f>
        <v>154.45</v>
      </c>
      <c r="D4376" s="1">
        <v>0</v>
      </c>
      <c r="E4376">
        <f>D4376*C4376</f>
        <v>0</v>
      </c>
      <c r="F4376" s="1" t="s">
        <v>12679</v>
      </c>
      <c r="G4376" s="17">
        <v>81975</v>
      </c>
    </row>
    <row r="4377" spans="1:7">
      <c r="A4377" s="1" t="s">
        <v>12680</v>
      </c>
      <c r="B4377" s="1" t="s">
        <v>12681</v>
      </c>
      <c r="C4377">
        <f>(1-(B7/100))*154.45</f>
        <v>154.45</v>
      </c>
      <c r="D4377" s="1">
        <v>0</v>
      </c>
      <c r="E4377">
        <f>D4377*C4377</f>
        <v>0</v>
      </c>
      <c r="F4377" s="1" t="s">
        <v>12682</v>
      </c>
      <c r="G4377" s="17">
        <v>81976</v>
      </c>
    </row>
    <row r="4378" spans="1:7">
      <c r="A4378" s="1" t="s">
        <v>12683</v>
      </c>
      <c r="B4378" s="1" t="s">
        <v>12684</v>
      </c>
      <c r="C4378">
        <f>(1-(B7/100))*201.46</f>
        <v>201.46</v>
      </c>
      <c r="D4378" s="1">
        <v>0</v>
      </c>
      <c r="E4378">
        <f>D4378*C4378</f>
        <v>0</v>
      </c>
      <c r="F4378" s="1" t="s">
        <v>12685</v>
      </c>
      <c r="G4378" s="17">
        <v>81978</v>
      </c>
    </row>
    <row r="4379" spans="1:7">
      <c r="A4379" s="1" t="s">
        <v>12686</v>
      </c>
      <c r="B4379" s="1" t="s">
        <v>12687</v>
      </c>
      <c r="C4379">
        <f>(1-(B7/100))*222.74</f>
        <v>222.74</v>
      </c>
      <c r="D4379" s="1">
        <v>0</v>
      </c>
      <c r="E4379">
        <f>D4379*C4379</f>
        <v>0</v>
      </c>
      <c r="F4379" s="1" t="s">
        <v>12688</v>
      </c>
      <c r="G4379" s="17">
        <v>81979</v>
      </c>
    </row>
    <row r="4380" spans="1:7">
      <c r="A4380" s="1" t="s">
        <v>12689</v>
      </c>
      <c r="B4380" s="1" t="s">
        <v>12690</v>
      </c>
      <c r="C4380">
        <f>(1-(B7/100))*154.45</f>
        <v>154.45</v>
      </c>
      <c r="D4380" s="1">
        <v>0</v>
      </c>
      <c r="E4380">
        <f>D4380*C4380</f>
        <v>0</v>
      </c>
      <c r="F4380" s="1" t="s">
        <v>12691</v>
      </c>
      <c r="G4380" s="17">
        <v>81980</v>
      </c>
    </row>
    <row r="4381" spans="1:7">
      <c r="A4381" s="1" t="s">
        <v>12692</v>
      </c>
      <c r="B4381" s="1" t="s">
        <v>12693</v>
      </c>
      <c r="C4381">
        <f>(1-(B7/100))*205.16</f>
        <v>205.16</v>
      </c>
      <c r="D4381" s="1">
        <v>0</v>
      </c>
      <c r="E4381">
        <f>D4381*C4381</f>
        <v>0</v>
      </c>
      <c r="F4381" s="1" t="s">
        <v>12694</v>
      </c>
      <c r="G4381" s="17">
        <v>81981</v>
      </c>
    </row>
    <row r="4382" spans="1:7">
      <c r="A4382" s="1" t="s">
        <v>12695</v>
      </c>
      <c r="B4382" s="1" t="s">
        <v>12696</v>
      </c>
      <c r="C4382">
        <f>(1-(B7/100))*115.52</f>
        <v>115.52</v>
      </c>
      <c r="D4382" s="1">
        <v>0</v>
      </c>
      <c r="E4382">
        <f>D4382*C4382</f>
        <v>0</v>
      </c>
      <c r="F4382" s="1" t="s">
        <v>12697</v>
      </c>
      <c r="G4382" s="17">
        <v>81982</v>
      </c>
    </row>
    <row r="4383" spans="1:7">
      <c r="A4383" s="1" t="s">
        <v>12698</v>
      </c>
      <c r="B4383" s="1" t="s">
        <v>12699</v>
      </c>
      <c r="C4383">
        <f>(1-(B7/100))*162.56</f>
        <v>162.56</v>
      </c>
      <c r="D4383" s="1">
        <v>0</v>
      </c>
      <c r="E4383">
        <f>D4383*C4383</f>
        <v>0</v>
      </c>
      <c r="F4383" s="1" t="s">
        <v>12700</v>
      </c>
      <c r="G4383" s="17">
        <v>81983</v>
      </c>
    </row>
    <row r="4384" spans="1:7">
      <c r="A4384" s="1" t="s">
        <v>12701</v>
      </c>
      <c r="B4384" s="1" t="s">
        <v>12702</v>
      </c>
      <c r="C4384">
        <f>(1-(B7/100))*202.72</f>
        <v>202.72</v>
      </c>
      <c r="D4384" s="1">
        <v>0</v>
      </c>
      <c r="E4384">
        <f>D4384*C4384</f>
        <v>0</v>
      </c>
      <c r="F4384" s="1" t="s">
        <v>12703</v>
      </c>
      <c r="G4384" s="17">
        <v>81984</v>
      </c>
    </row>
    <row r="4385" spans="1:7">
      <c r="A4385" s="1" t="s">
        <v>12704</v>
      </c>
      <c r="B4385" s="1" t="s">
        <v>12705</v>
      </c>
      <c r="C4385">
        <f>(1-(B7/100))*269.28</f>
        <v>269.28</v>
      </c>
      <c r="D4385" s="1">
        <v>0</v>
      </c>
      <c r="E4385">
        <f>D4385*C4385</f>
        <v>0</v>
      </c>
      <c r="F4385" s="1" t="s">
        <v>12706</v>
      </c>
      <c r="G4385" s="17">
        <v>81985</v>
      </c>
    </row>
    <row r="4386" spans="1:7">
      <c r="A4386" s="1" t="s">
        <v>12707</v>
      </c>
      <c r="B4386" s="1" t="s">
        <v>12708</v>
      </c>
      <c r="C4386">
        <f>(1-(B7/100))*222.74</f>
        <v>222.74</v>
      </c>
      <c r="D4386" s="1">
        <v>0</v>
      </c>
      <c r="E4386">
        <f>D4386*C4386</f>
        <v>0</v>
      </c>
      <c r="F4386" s="1" t="s">
        <v>12709</v>
      </c>
      <c r="G4386" s="17">
        <v>81986</v>
      </c>
    </row>
    <row r="4387" spans="1:7">
      <c r="A4387" s="1" t="s">
        <v>12710</v>
      </c>
      <c r="B4387" s="1" t="s">
        <v>12711</v>
      </c>
      <c r="C4387">
        <f>(1-(B7/100))*222.74</f>
        <v>222.74</v>
      </c>
      <c r="D4387" s="1">
        <v>0</v>
      </c>
      <c r="E4387">
        <f>D4387*C4387</f>
        <v>0</v>
      </c>
      <c r="F4387" s="1" t="s">
        <v>12712</v>
      </c>
      <c r="G4387" s="17">
        <v>81987</v>
      </c>
    </row>
    <row r="4388" spans="1:7">
      <c r="A4388" s="1" t="s">
        <v>12713</v>
      </c>
      <c r="B4388" s="1" t="s">
        <v>12714</v>
      </c>
      <c r="C4388">
        <f>(1-(B7/100))*154.45</f>
        <v>154.45</v>
      </c>
      <c r="D4388" s="1">
        <v>0</v>
      </c>
      <c r="E4388">
        <f>D4388*C4388</f>
        <v>0</v>
      </c>
      <c r="F4388" s="1" t="s">
        <v>12715</v>
      </c>
      <c r="G4388" s="17">
        <v>81988</v>
      </c>
    </row>
    <row r="4389" spans="1:7">
      <c r="A4389" s="1" t="s">
        <v>12716</v>
      </c>
      <c r="B4389" s="1" t="s">
        <v>12717</v>
      </c>
      <c r="C4389">
        <f>(1-(B7/100))*154.45</f>
        <v>154.45</v>
      </c>
      <c r="D4389" s="1">
        <v>0</v>
      </c>
      <c r="E4389">
        <f>D4389*C4389</f>
        <v>0</v>
      </c>
      <c r="F4389" s="1" t="s">
        <v>12718</v>
      </c>
      <c r="G4389" s="17">
        <v>81989</v>
      </c>
    </row>
    <row r="4390" spans="1:7">
      <c r="A4390" s="1" t="s">
        <v>12719</v>
      </c>
      <c r="B4390" s="1" t="s">
        <v>12720</v>
      </c>
      <c r="C4390">
        <f>(1-(B7/100))*154.45</f>
        <v>154.45</v>
      </c>
      <c r="D4390" s="1">
        <v>0</v>
      </c>
      <c r="E4390">
        <f>D4390*C4390</f>
        <v>0</v>
      </c>
      <c r="F4390" s="1" t="s">
        <v>12721</v>
      </c>
      <c r="G4390" s="17">
        <v>81990</v>
      </c>
    </row>
    <row r="4391" spans="1:7">
      <c r="A4391" s="1" t="s">
        <v>12722</v>
      </c>
      <c r="B4391" s="1" t="s">
        <v>12723</v>
      </c>
      <c r="C4391">
        <f>(1-(B7/100))*154.45</f>
        <v>154.45</v>
      </c>
      <c r="D4391" s="1">
        <v>0</v>
      </c>
      <c r="E4391">
        <f>D4391*C4391</f>
        <v>0</v>
      </c>
      <c r="F4391" s="1" t="s">
        <v>12724</v>
      </c>
      <c r="G4391" s="17">
        <v>81991</v>
      </c>
    </row>
    <row r="4392" spans="1:7">
      <c r="A4392" s="1" t="s">
        <v>12725</v>
      </c>
      <c r="B4392" s="1" t="s">
        <v>12726</v>
      </c>
      <c r="C4392">
        <f>(1-(B7/100))*154.45</f>
        <v>154.45</v>
      </c>
      <c r="D4392" s="1">
        <v>0</v>
      </c>
      <c r="E4392">
        <f>D4392*C4392</f>
        <v>0</v>
      </c>
      <c r="F4392" s="1" t="s">
        <v>12727</v>
      </c>
      <c r="G4392" s="17">
        <v>81992</v>
      </c>
    </row>
    <row r="4393" spans="1:7">
      <c r="A4393" s="1" t="s">
        <v>12728</v>
      </c>
      <c r="B4393" s="1" t="s">
        <v>12729</v>
      </c>
      <c r="C4393">
        <f>(1-(B7/100))*154.45</f>
        <v>154.45</v>
      </c>
      <c r="D4393" s="1">
        <v>0</v>
      </c>
      <c r="E4393">
        <f>D4393*C4393</f>
        <v>0</v>
      </c>
      <c r="F4393" s="1" t="s">
        <v>12730</v>
      </c>
      <c r="G4393" s="17">
        <v>81993</v>
      </c>
    </row>
    <row r="4394" spans="1:7">
      <c r="A4394" s="1" t="s">
        <v>12731</v>
      </c>
      <c r="B4394" s="1" t="s">
        <v>12732</v>
      </c>
      <c r="C4394">
        <f>(1-(B7/100))*154.45</f>
        <v>154.45</v>
      </c>
      <c r="D4394" s="1">
        <v>0</v>
      </c>
      <c r="E4394">
        <f>D4394*C4394</f>
        <v>0</v>
      </c>
      <c r="F4394" s="1" t="s">
        <v>12733</v>
      </c>
      <c r="G4394" s="17">
        <v>81994</v>
      </c>
    </row>
    <row r="4395" spans="1:7">
      <c r="A4395" s="1" t="s">
        <v>12734</v>
      </c>
      <c r="B4395" s="1" t="s">
        <v>12735</v>
      </c>
      <c r="C4395">
        <f>(1-(B7/100))*197.06</f>
        <v>197.06</v>
      </c>
      <c r="D4395" s="1">
        <v>0</v>
      </c>
      <c r="E4395">
        <f>D4395*C4395</f>
        <v>0</v>
      </c>
      <c r="F4395" s="1" t="s">
        <v>12736</v>
      </c>
      <c r="G4395" s="17">
        <v>81995</v>
      </c>
    </row>
    <row r="4396" spans="1:7">
      <c r="A4396" s="1" t="s">
        <v>12737</v>
      </c>
      <c r="B4396" s="1" t="s">
        <v>12738</v>
      </c>
      <c r="C4396">
        <f>(1-(B7/100))*197.06</f>
        <v>197.06</v>
      </c>
      <c r="D4396" s="1">
        <v>0</v>
      </c>
      <c r="E4396">
        <f>D4396*C4396</f>
        <v>0</v>
      </c>
      <c r="F4396" s="1" t="s">
        <v>12739</v>
      </c>
      <c r="G4396" s="17">
        <v>81996</v>
      </c>
    </row>
    <row r="4397" spans="1:7">
      <c r="A4397" s="1" t="s">
        <v>12740</v>
      </c>
      <c r="B4397" s="1" t="s">
        <v>12741</v>
      </c>
      <c r="C4397">
        <f>(1-(B7/100))*197.06</f>
        <v>197.06</v>
      </c>
      <c r="D4397" s="1">
        <v>0</v>
      </c>
      <c r="E4397">
        <f>D4397*C4397</f>
        <v>0</v>
      </c>
      <c r="F4397" s="1" t="s">
        <v>12742</v>
      </c>
      <c r="G4397" s="17">
        <v>81997</v>
      </c>
    </row>
    <row r="4398" spans="1:7">
      <c r="A4398" s="1" t="s">
        <v>12743</v>
      </c>
      <c r="B4398" s="1" t="s">
        <v>12744</v>
      </c>
      <c r="C4398">
        <f>(1-(B7/100))*269.28</f>
        <v>269.28</v>
      </c>
      <c r="D4398" s="1">
        <v>0</v>
      </c>
      <c r="E4398">
        <f>D4398*C4398</f>
        <v>0</v>
      </c>
      <c r="F4398" s="1" t="s">
        <v>12745</v>
      </c>
      <c r="G4398" s="17">
        <v>81998</v>
      </c>
    </row>
    <row r="4399" spans="1:7">
      <c r="A4399" s="1" t="s">
        <v>12746</v>
      </c>
      <c r="B4399" s="1" t="s">
        <v>12747</v>
      </c>
      <c r="C4399">
        <f>(1-(B7/100))*202.72</f>
        <v>202.72</v>
      </c>
      <c r="D4399" s="1">
        <v>0</v>
      </c>
      <c r="E4399">
        <f>D4399*C4399</f>
        <v>0</v>
      </c>
      <c r="F4399" s="1" t="s">
        <v>12748</v>
      </c>
      <c r="G4399" s="17">
        <v>81999</v>
      </c>
    </row>
    <row r="4400" spans="1:7">
      <c r="A4400" s="1" t="s">
        <v>12749</v>
      </c>
      <c r="B4400" s="1" t="s">
        <v>12750</v>
      </c>
      <c r="C4400">
        <f>(1-(B7/100))*154.45</f>
        <v>154.45</v>
      </c>
      <c r="D4400" s="1">
        <v>0</v>
      </c>
      <c r="E4400">
        <f>D4400*C4400</f>
        <v>0</v>
      </c>
      <c r="F4400" s="1" t="s">
        <v>12751</v>
      </c>
      <c r="G4400" s="17">
        <v>82000</v>
      </c>
    </row>
    <row r="4401" spans="1:7">
      <c r="A4401" s="1" t="s">
        <v>12752</v>
      </c>
      <c r="B4401" s="1" t="s">
        <v>12753</v>
      </c>
      <c r="C4401">
        <f>(1-(B7/100))*230.79</f>
        <v>230.79</v>
      </c>
      <c r="D4401" s="1">
        <v>0</v>
      </c>
      <c r="E4401">
        <f>D4401*C4401</f>
        <v>0</v>
      </c>
      <c r="F4401" s="1" t="s">
        <v>12754</v>
      </c>
      <c r="G4401" s="17">
        <v>82001</v>
      </c>
    </row>
    <row r="4402" spans="1:7">
      <c r="A4402" s="1" t="s">
        <v>12755</v>
      </c>
      <c r="B4402" s="1" t="s">
        <v>12756</v>
      </c>
      <c r="C4402">
        <f>(1-(B7/100))*205.16</f>
        <v>205.16</v>
      </c>
      <c r="D4402" s="1">
        <v>0</v>
      </c>
      <c r="E4402">
        <f>D4402*C4402</f>
        <v>0</v>
      </c>
      <c r="F4402" s="1" t="s">
        <v>12757</v>
      </c>
      <c r="G4402" s="17">
        <v>82002</v>
      </c>
    </row>
    <row r="4403" spans="1:7">
      <c r="A4403" s="1" t="s">
        <v>12758</v>
      </c>
      <c r="B4403" s="1" t="s">
        <v>12759</v>
      </c>
      <c r="C4403">
        <f>(1-(B7/100))*154.45</f>
        <v>154.45</v>
      </c>
      <c r="D4403" s="1">
        <v>0</v>
      </c>
      <c r="E4403">
        <f>D4403*C4403</f>
        <v>0</v>
      </c>
      <c r="F4403" s="1" t="s">
        <v>12760</v>
      </c>
      <c r="G4403" s="17">
        <v>82003</v>
      </c>
    </row>
    <row r="4404" spans="1:7">
      <c r="A4404" s="1" t="s">
        <v>12761</v>
      </c>
      <c r="B4404" s="1" t="s">
        <v>12762</v>
      </c>
      <c r="C4404">
        <f>(1-(B7/100))*154.45</f>
        <v>154.45</v>
      </c>
      <c r="D4404" s="1">
        <v>0</v>
      </c>
      <c r="E4404">
        <f>D4404*C4404</f>
        <v>0</v>
      </c>
      <c r="F4404" s="1" t="s">
        <v>12763</v>
      </c>
      <c r="G4404" s="17">
        <v>82004</v>
      </c>
    </row>
    <row r="4405" spans="1:7">
      <c r="A4405" s="1" t="s">
        <v>12764</v>
      </c>
      <c r="B4405" s="1" t="s">
        <v>12765</v>
      </c>
      <c r="C4405">
        <f>(1-(B7/100))*205.16</f>
        <v>205.16</v>
      </c>
      <c r="D4405" s="1">
        <v>0</v>
      </c>
      <c r="E4405">
        <f>D4405*C4405</f>
        <v>0</v>
      </c>
      <c r="F4405" s="1" t="s">
        <v>12766</v>
      </c>
      <c r="G4405" s="17">
        <v>82005</v>
      </c>
    </row>
    <row r="4406" spans="1:7">
      <c r="A4406" s="1" t="s">
        <v>12767</v>
      </c>
      <c r="B4406" s="1" t="s">
        <v>12768</v>
      </c>
      <c r="C4406">
        <f>(1-(B7/100))*205.16</f>
        <v>205.16</v>
      </c>
      <c r="D4406" s="1">
        <v>0</v>
      </c>
      <c r="E4406">
        <f>D4406*C4406</f>
        <v>0</v>
      </c>
      <c r="F4406" s="1" t="s">
        <v>12769</v>
      </c>
      <c r="G4406" s="17">
        <v>82006</v>
      </c>
    </row>
    <row r="4407" spans="1:7">
      <c r="A4407" s="1" t="s">
        <v>12770</v>
      </c>
      <c r="B4407" s="1" t="s">
        <v>12771</v>
      </c>
      <c r="C4407">
        <f>(1-(B7/100))*222.74</f>
        <v>222.74</v>
      </c>
      <c r="D4407" s="1">
        <v>0</v>
      </c>
      <c r="E4407">
        <f>D4407*C4407</f>
        <v>0</v>
      </c>
      <c r="F4407" s="1" t="s">
        <v>12772</v>
      </c>
      <c r="G4407" s="17">
        <v>82007</v>
      </c>
    </row>
    <row r="4408" spans="1:7">
      <c r="A4408" s="1" t="s">
        <v>12773</v>
      </c>
      <c r="B4408" s="1" t="s">
        <v>12774</v>
      </c>
      <c r="C4408">
        <f>(1-(B7/100))*154.45</f>
        <v>154.45</v>
      </c>
      <c r="D4408" s="1">
        <v>0</v>
      </c>
      <c r="E4408">
        <f>D4408*C4408</f>
        <v>0</v>
      </c>
      <c r="F4408" s="1" t="s">
        <v>12775</v>
      </c>
      <c r="G4408" s="17">
        <v>82008</v>
      </c>
    </row>
    <row r="4409" spans="1:7">
      <c r="A4409" s="1" t="s">
        <v>12776</v>
      </c>
      <c r="B4409" s="1" t="s">
        <v>12777</v>
      </c>
      <c r="C4409">
        <f>(1-(B7/100))*154.45</f>
        <v>154.45</v>
      </c>
      <c r="D4409" s="1">
        <v>0</v>
      </c>
      <c r="E4409">
        <f>D4409*C4409</f>
        <v>0</v>
      </c>
      <c r="F4409" s="1" t="s">
        <v>12778</v>
      </c>
      <c r="G4409" s="17">
        <v>82009</v>
      </c>
    </row>
    <row r="4410" spans="1:7">
      <c r="A4410" s="1" t="s">
        <v>12779</v>
      </c>
      <c r="B4410" s="1" t="s">
        <v>12780</v>
      </c>
      <c r="C4410">
        <f>(1-(B7/100))*180.14</f>
        <v>180.14</v>
      </c>
      <c r="D4410" s="1">
        <v>0</v>
      </c>
      <c r="E4410">
        <f>D4410*C4410</f>
        <v>0</v>
      </c>
      <c r="F4410" s="1" t="s">
        <v>12781</v>
      </c>
      <c r="G4410" s="17">
        <v>82010</v>
      </c>
    </row>
    <row r="4411" spans="1:7">
      <c r="A4411" s="1" t="s">
        <v>12782</v>
      </c>
      <c r="B4411" s="1" t="s">
        <v>12783</v>
      </c>
      <c r="C4411">
        <f>(1-(B7/100))*154.45</f>
        <v>154.45</v>
      </c>
      <c r="D4411" s="1">
        <v>0</v>
      </c>
      <c r="E4411">
        <f>D4411*C4411</f>
        <v>0</v>
      </c>
      <c r="F4411" s="1" t="s">
        <v>12784</v>
      </c>
      <c r="G4411" s="17">
        <v>82011</v>
      </c>
    </row>
    <row r="4412" spans="1:7">
      <c r="A4412" s="1" t="s">
        <v>12785</v>
      </c>
      <c r="B4412" s="1" t="s">
        <v>12786</v>
      </c>
      <c r="C4412">
        <f>(1-(B7/100))*154.45</f>
        <v>154.45</v>
      </c>
      <c r="D4412" s="1">
        <v>0</v>
      </c>
      <c r="E4412">
        <f>D4412*C4412</f>
        <v>0</v>
      </c>
      <c r="F4412" s="1" t="s">
        <v>12787</v>
      </c>
      <c r="G4412" s="17">
        <v>82012</v>
      </c>
    </row>
    <row r="4413" spans="1:7">
      <c r="A4413" s="1" t="s">
        <v>12788</v>
      </c>
      <c r="B4413" s="1" t="s">
        <v>12789</v>
      </c>
      <c r="C4413">
        <f>(1-(B7/100))*205.16</f>
        <v>205.16</v>
      </c>
      <c r="D4413" s="1">
        <v>0</v>
      </c>
      <c r="E4413">
        <f>D4413*C4413</f>
        <v>0</v>
      </c>
      <c r="F4413" s="1" t="s">
        <v>12790</v>
      </c>
      <c r="G4413" s="17">
        <v>82013</v>
      </c>
    </row>
    <row r="4414" spans="1:7">
      <c r="A4414" s="1" t="s">
        <v>12791</v>
      </c>
      <c r="B4414" s="1" t="s">
        <v>12792</v>
      </c>
      <c r="C4414">
        <f>(1-(B7/100))*230.79</f>
        <v>230.79</v>
      </c>
      <c r="D4414" s="1">
        <v>0</v>
      </c>
      <c r="E4414">
        <f>D4414*C4414</f>
        <v>0</v>
      </c>
      <c r="F4414" s="1" t="s">
        <v>12793</v>
      </c>
      <c r="G4414" s="17">
        <v>82014</v>
      </c>
    </row>
    <row r="4415" spans="1:7">
      <c r="A4415" s="1" t="s">
        <v>12794</v>
      </c>
      <c r="B4415" s="1" t="s">
        <v>12795</v>
      </c>
      <c r="C4415">
        <f>(1-(B7/100))*154.45</f>
        <v>154.45</v>
      </c>
      <c r="D4415" s="1">
        <v>0</v>
      </c>
      <c r="E4415">
        <f>D4415*C4415</f>
        <v>0</v>
      </c>
      <c r="F4415" s="1" t="s">
        <v>12796</v>
      </c>
      <c r="G4415" s="17">
        <v>82015</v>
      </c>
    </row>
    <row r="4416" spans="1:7">
      <c r="A4416" s="1" t="s">
        <v>12797</v>
      </c>
      <c r="B4416" s="1" t="s">
        <v>12798</v>
      </c>
      <c r="C4416">
        <f>(1-(B7/100))*154.45</f>
        <v>154.45</v>
      </c>
      <c r="D4416" s="1">
        <v>0</v>
      </c>
      <c r="E4416">
        <f>D4416*C4416</f>
        <v>0</v>
      </c>
      <c r="F4416" s="1" t="s">
        <v>12799</v>
      </c>
      <c r="G4416" s="17">
        <v>82016</v>
      </c>
    </row>
    <row r="4417" spans="1:7">
      <c r="A4417" s="1" t="s">
        <v>12800</v>
      </c>
      <c r="B4417" s="1" t="s">
        <v>12801</v>
      </c>
      <c r="C4417">
        <f>(1-(B7/100))*205.16</f>
        <v>205.16</v>
      </c>
      <c r="D4417" s="1">
        <v>0</v>
      </c>
      <c r="E4417">
        <f>D4417*C4417</f>
        <v>0</v>
      </c>
      <c r="F4417" s="1" t="s">
        <v>12802</v>
      </c>
      <c r="G4417" s="17">
        <v>82017</v>
      </c>
    </row>
    <row r="4418" spans="1:7">
      <c r="A4418" s="1" t="s">
        <v>12803</v>
      </c>
      <c r="B4418" s="1" t="s">
        <v>12804</v>
      </c>
      <c r="C4418">
        <f>(1-(B7/100))*162.56</f>
        <v>162.56</v>
      </c>
      <c r="D4418" s="1">
        <v>0</v>
      </c>
      <c r="E4418">
        <f>D4418*C4418</f>
        <v>0</v>
      </c>
      <c r="F4418" s="1" t="s">
        <v>12805</v>
      </c>
      <c r="G4418" s="17">
        <v>82018</v>
      </c>
    </row>
    <row r="4419" spans="1:7">
      <c r="A4419" s="1" t="s">
        <v>12806</v>
      </c>
      <c r="B4419" s="1" t="s">
        <v>12807</v>
      </c>
      <c r="C4419">
        <f>(1-(B7/100))*154.45</f>
        <v>154.45</v>
      </c>
      <c r="D4419" s="1">
        <v>0</v>
      </c>
      <c r="E4419">
        <f>D4419*C4419</f>
        <v>0</v>
      </c>
      <c r="F4419" s="1" t="s">
        <v>12808</v>
      </c>
      <c r="G4419" s="17">
        <v>82019</v>
      </c>
    </row>
    <row r="4420" spans="1:7">
      <c r="A4420" s="1" t="s">
        <v>12809</v>
      </c>
      <c r="B4420" s="1" t="s">
        <v>12810</v>
      </c>
      <c r="C4420">
        <f>(1-(B7/100))*205.16</f>
        <v>205.16</v>
      </c>
      <c r="D4420" s="1">
        <v>0</v>
      </c>
      <c r="E4420">
        <f>D4420*C4420</f>
        <v>0</v>
      </c>
      <c r="F4420" s="1" t="s">
        <v>12811</v>
      </c>
      <c r="G4420" s="17">
        <v>82020</v>
      </c>
    </row>
    <row r="4421" spans="1:7">
      <c r="A4421" s="1" t="s">
        <v>12812</v>
      </c>
      <c r="B4421" s="1" t="s">
        <v>12813</v>
      </c>
      <c r="C4421">
        <f>(1-(B7/100))*154.45</f>
        <v>154.45</v>
      </c>
      <c r="D4421" s="1">
        <v>0</v>
      </c>
      <c r="E4421">
        <f>D4421*C4421</f>
        <v>0</v>
      </c>
      <c r="F4421" s="1" t="s">
        <v>12814</v>
      </c>
      <c r="G4421" s="17">
        <v>82022</v>
      </c>
    </row>
    <row r="4422" spans="1:7">
      <c r="A4422" s="1" t="s">
        <v>12815</v>
      </c>
      <c r="B4422" s="1" t="s">
        <v>12816</v>
      </c>
      <c r="C4422">
        <f>(1-(B7/100))*154.45</f>
        <v>154.45</v>
      </c>
      <c r="D4422" s="1">
        <v>0</v>
      </c>
      <c r="E4422">
        <f>D4422*C4422</f>
        <v>0</v>
      </c>
      <c r="F4422" s="1" t="s">
        <v>12817</v>
      </c>
      <c r="G4422" s="17">
        <v>82023</v>
      </c>
    </row>
    <row r="4423" spans="1:7">
      <c r="A4423" s="1" t="s">
        <v>12818</v>
      </c>
      <c r="B4423" s="1" t="s">
        <v>12819</v>
      </c>
      <c r="C4423">
        <f>(1-(B7/100))*205.16</f>
        <v>205.16</v>
      </c>
      <c r="D4423" s="1">
        <v>0</v>
      </c>
      <c r="E4423">
        <f>D4423*C4423</f>
        <v>0</v>
      </c>
      <c r="F4423" s="1" t="s">
        <v>12820</v>
      </c>
      <c r="G4423" s="17">
        <v>82024</v>
      </c>
    </row>
    <row r="4424" spans="1:7">
      <c r="A4424" s="1" t="s">
        <v>12821</v>
      </c>
      <c r="B4424" s="1" t="s">
        <v>12822</v>
      </c>
      <c r="C4424">
        <f>(1-(B7/100))*201.46</f>
        <v>201.46</v>
      </c>
      <c r="D4424" s="1">
        <v>0</v>
      </c>
      <c r="E4424">
        <f>D4424*C4424</f>
        <v>0</v>
      </c>
      <c r="F4424" s="1" t="s">
        <v>12823</v>
      </c>
      <c r="G4424" s="17">
        <v>82025</v>
      </c>
    </row>
    <row r="4425" spans="1:7">
      <c r="A4425" s="1" t="s">
        <v>12824</v>
      </c>
      <c r="B4425" s="1" t="s">
        <v>12825</v>
      </c>
      <c r="C4425">
        <f>(1-(B7/100))*230.79</f>
        <v>230.79</v>
      </c>
      <c r="D4425" s="1">
        <v>0</v>
      </c>
      <c r="E4425">
        <f>D4425*C4425</f>
        <v>0</v>
      </c>
      <c r="F4425" s="1" t="s">
        <v>12826</v>
      </c>
      <c r="G4425" s="17">
        <v>82026</v>
      </c>
    </row>
    <row r="4426" spans="1:7">
      <c r="A4426" s="1" t="s">
        <v>12827</v>
      </c>
      <c r="B4426" s="1" t="s">
        <v>12828</v>
      </c>
      <c r="C4426">
        <f>(1-(B7/100))*111.12</f>
        <v>111.12</v>
      </c>
      <c r="D4426" s="1">
        <v>0</v>
      </c>
      <c r="E4426">
        <f>D4426*C4426</f>
        <v>0</v>
      </c>
      <c r="F4426" s="1" t="s">
        <v>12829</v>
      </c>
      <c r="G4426" s="17">
        <v>82030</v>
      </c>
    </row>
    <row r="4427" spans="1:7">
      <c r="A4427" s="1" t="s">
        <v>12830</v>
      </c>
      <c r="B4427" s="1" t="s">
        <v>12831</v>
      </c>
      <c r="C4427">
        <f>(1-(B7/100))*115.52</f>
        <v>115.52</v>
      </c>
      <c r="D4427" s="1">
        <v>0</v>
      </c>
      <c r="E4427">
        <f>D4427*C4427</f>
        <v>0</v>
      </c>
      <c r="F4427" s="1" t="s">
        <v>12832</v>
      </c>
      <c r="G4427" s="17">
        <v>82032</v>
      </c>
    </row>
    <row r="4428" spans="1:7">
      <c r="A4428" s="1" t="s">
        <v>12833</v>
      </c>
      <c r="B4428" s="1" t="s">
        <v>12834</v>
      </c>
      <c r="C4428">
        <f>(1-(B7/100))*230.79</f>
        <v>230.79</v>
      </c>
      <c r="D4428" s="1">
        <v>0</v>
      </c>
      <c r="E4428">
        <f>D4428*C4428</f>
        <v>0</v>
      </c>
      <c r="F4428" s="1" t="s">
        <v>12835</v>
      </c>
      <c r="G4428" s="17">
        <v>82034</v>
      </c>
    </row>
    <row r="4429" spans="1:7">
      <c r="A4429" s="1" t="s">
        <v>12836</v>
      </c>
      <c r="B4429" s="1" t="s">
        <v>12837</v>
      </c>
      <c r="C4429">
        <f>(1-(B7/100))*230.79</f>
        <v>230.79</v>
      </c>
      <c r="D4429" s="1">
        <v>0</v>
      </c>
      <c r="E4429">
        <f>D4429*C4429</f>
        <v>0</v>
      </c>
      <c r="F4429" s="1" t="s">
        <v>12838</v>
      </c>
      <c r="G4429" s="17">
        <v>82035</v>
      </c>
    </row>
    <row r="4430" spans="1:7">
      <c r="A4430" s="1" t="s">
        <v>12839</v>
      </c>
      <c r="B4430" s="1" t="s">
        <v>12840</v>
      </c>
      <c r="C4430">
        <f>(1-(B7/100))*239.65</f>
        <v>239.65</v>
      </c>
      <c r="D4430" s="1">
        <v>0</v>
      </c>
      <c r="E4430">
        <f>D4430*C4430</f>
        <v>0</v>
      </c>
      <c r="F4430" s="1" t="s">
        <v>12841</v>
      </c>
      <c r="G4430" s="17">
        <v>82036</v>
      </c>
    </row>
    <row r="4431" spans="1:7">
      <c r="A4431" s="1" t="s">
        <v>12842</v>
      </c>
      <c r="B4431" s="1" t="s">
        <v>12843</v>
      </c>
      <c r="C4431">
        <f>(1-(B7/100))*105.24</f>
        <v>105.24</v>
      </c>
      <c r="D4431" s="1">
        <v>0</v>
      </c>
      <c r="E4431">
        <f>D4431*C4431</f>
        <v>0</v>
      </c>
      <c r="F4431" s="1" t="s">
        <v>12844</v>
      </c>
      <c r="G4431" s="17">
        <v>82037</v>
      </c>
    </row>
    <row r="4432" spans="1:7">
      <c r="A4432" s="1" t="s">
        <v>12845</v>
      </c>
      <c r="B4432" s="1" t="s">
        <v>12846</v>
      </c>
      <c r="C4432">
        <f>(1-(B7/100))*63.86</f>
        <v>63.86</v>
      </c>
      <c r="D4432" s="1">
        <v>0</v>
      </c>
      <c r="E4432">
        <f>D4432*C4432</f>
        <v>0</v>
      </c>
      <c r="F4432" s="1" t="s">
        <v>12847</v>
      </c>
      <c r="G4432" s="17">
        <v>82038</v>
      </c>
    </row>
    <row r="4433" spans="1:7">
      <c r="A4433" s="1" t="s">
        <v>12848</v>
      </c>
      <c r="B4433" s="1" t="s">
        <v>12849</v>
      </c>
      <c r="C4433">
        <f>(1-(B7/100))*105.24</f>
        <v>105.24</v>
      </c>
      <c r="D4433" s="1">
        <v>0</v>
      </c>
      <c r="E4433">
        <f>D4433*C4433</f>
        <v>0</v>
      </c>
      <c r="F4433" s="1" t="s">
        <v>12850</v>
      </c>
      <c r="G4433" s="17">
        <v>82040</v>
      </c>
    </row>
    <row r="4434" spans="1:7">
      <c r="A4434" s="1" t="s">
        <v>12851</v>
      </c>
      <c r="B4434" s="1" t="s">
        <v>12852</v>
      </c>
      <c r="C4434">
        <f>(1-(B7/100))*63.86</f>
        <v>63.86</v>
      </c>
      <c r="D4434" s="1">
        <v>0</v>
      </c>
      <c r="E4434">
        <f>D4434*C4434</f>
        <v>0</v>
      </c>
      <c r="F4434" s="1" t="s">
        <v>12853</v>
      </c>
      <c r="G4434" s="17">
        <v>82041</v>
      </c>
    </row>
    <row r="4435" spans="1:7">
      <c r="A4435" s="1" t="s">
        <v>12854</v>
      </c>
      <c r="B4435" s="1" t="s">
        <v>12855</v>
      </c>
      <c r="C4435">
        <f>(1-(B7/100))*63.86</f>
        <v>63.86</v>
      </c>
      <c r="D4435" s="1">
        <v>0</v>
      </c>
      <c r="E4435">
        <f>D4435*C4435</f>
        <v>0</v>
      </c>
      <c r="F4435" s="1" t="s">
        <v>12856</v>
      </c>
      <c r="G4435" s="17">
        <v>82042</v>
      </c>
    </row>
    <row r="4436" spans="1:7">
      <c r="A4436" s="1" t="s">
        <v>12857</v>
      </c>
      <c r="B4436" s="1" t="s">
        <v>12858</v>
      </c>
      <c r="C4436">
        <f>(1-(B7/100))*63.86</f>
        <v>63.86</v>
      </c>
      <c r="D4436" s="1">
        <v>0</v>
      </c>
      <c r="E4436">
        <f>D4436*C4436</f>
        <v>0</v>
      </c>
      <c r="F4436" s="1" t="s">
        <v>12859</v>
      </c>
      <c r="G4436" s="17">
        <v>82045</v>
      </c>
    </row>
    <row r="4437" spans="1:7">
      <c r="A4437" s="1" t="s">
        <v>12860</v>
      </c>
      <c r="B4437" s="1" t="s">
        <v>12861</v>
      </c>
      <c r="C4437">
        <f>(1-(B7/100))*63.86</f>
        <v>63.86</v>
      </c>
      <c r="D4437" s="1">
        <v>0</v>
      </c>
      <c r="E4437">
        <f>D4437*C4437</f>
        <v>0</v>
      </c>
      <c r="F4437" s="1" t="s">
        <v>12862</v>
      </c>
      <c r="G4437" s="17">
        <v>82046</v>
      </c>
    </row>
    <row r="4438" spans="1:7">
      <c r="A4438" s="1" t="s">
        <v>12863</v>
      </c>
      <c r="B4438" s="1" t="s">
        <v>12864</v>
      </c>
      <c r="C4438">
        <f>(1-(B7/100))*63.86</f>
        <v>63.86</v>
      </c>
      <c r="D4438" s="1">
        <v>0</v>
      </c>
      <c r="E4438">
        <f>D4438*C4438</f>
        <v>0</v>
      </c>
      <c r="F4438" s="1" t="s">
        <v>12865</v>
      </c>
      <c r="G4438" s="17">
        <v>82047</v>
      </c>
    </row>
    <row r="4439" spans="1:7">
      <c r="A4439" s="1" t="s">
        <v>12866</v>
      </c>
      <c r="B4439" s="1" t="s">
        <v>12867</v>
      </c>
      <c r="C4439">
        <f>(1-(B7/100))*63.86</f>
        <v>63.86</v>
      </c>
      <c r="D4439" s="1">
        <v>0</v>
      </c>
      <c r="E4439">
        <f>D4439*C4439</f>
        <v>0</v>
      </c>
      <c r="F4439" s="1" t="s">
        <v>12868</v>
      </c>
      <c r="G4439" s="17">
        <v>82048</v>
      </c>
    </row>
    <row r="4440" spans="1:7">
      <c r="A4440" s="1" t="s">
        <v>12869</v>
      </c>
      <c r="B4440" s="1" t="s">
        <v>12870</v>
      </c>
      <c r="C4440">
        <f>(1-(B7/100))*63.86</f>
        <v>63.86</v>
      </c>
      <c r="D4440" s="1">
        <v>0</v>
      </c>
      <c r="E4440">
        <f>D4440*C4440</f>
        <v>0</v>
      </c>
      <c r="F4440" s="1" t="s">
        <v>12871</v>
      </c>
      <c r="G4440" s="17">
        <v>82049</v>
      </c>
    </row>
    <row r="4441" spans="1:7">
      <c r="A4441" s="1" t="s">
        <v>12872</v>
      </c>
      <c r="B4441" s="1" t="s">
        <v>12873</v>
      </c>
      <c r="C4441">
        <f>(1-(B7/100))*63.86</f>
        <v>63.86</v>
      </c>
      <c r="D4441" s="1">
        <v>0</v>
      </c>
      <c r="E4441">
        <f>D4441*C4441</f>
        <v>0</v>
      </c>
      <c r="F4441" s="1" t="s">
        <v>12874</v>
      </c>
      <c r="G4441" s="17">
        <v>82050</v>
      </c>
    </row>
    <row r="4442" spans="1:7">
      <c r="A4442" s="1" t="s">
        <v>12875</v>
      </c>
      <c r="B4442" s="1" t="s">
        <v>12876</v>
      </c>
      <c r="C4442">
        <f>(1-(B7/100))*63.86</f>
        <v>63.86</v>
      </c>
      <c r="D4442" s="1">
        <v>0</v>
      </c>
      <c r="E4442">
        <f>D4442*C4442</f>
        <v>0</v>
      </c>
      <c r="F4442" s="1" t="s">
        <v>12877</v>
      </c>
      <c r="G4442" s="17">
        <v>82051</v>
      </c>
    </row>
    <row r="4443" spans="1:7">
      <c r="A4443" s="1" t="s">
        <v>12878</v>
      </c>
      <c r="B4443" s="1" t="s">
        <v>12879</v>
      </c>
      <c r="C4443">
        <f>(1-(B7/100))*63.86</f>
        <v>63.86</v>
      </c>
      <c r="D4443" s="1">
        <v>0</v>
      </c>
      <c r="E4443">
        <f>D4443*C4443</f>
        <v>0</v>
      </c>
      <c r="F4443" s="1" t="s">
        <v>12880</v>
      </c>
      <c r="G4443" s="17">
        <v>82052</v>
      </c>
    </row>
    <row r="4444" spans="1:7">
      <c r="A4444" s="1" t="s">
        <v>12881</v>
      </c>
      <c r="B4444" s="1" t="s">
        <v>12882</v>
      </c>
      <c r="C4444">
        <f>(1-(B7/100))*63.86</f>
        <v>63.86</v>
      </c>
      <c r="D4444" s="1">
        <v>0</v>
      </c>
      <c r="E4444">
        <f>D4444*C4444</f>
        <v>0</v>
      </c>
      <c r="F4444" s="1" t="s">
        <v>12883</v>
      </c>
      <c r="G4444" s="17">
        <v>82053</v>
      </c>
    </row>
    <row r="4445" spans="1:7">
      <c r="A4445" s="1" t="s">
        <v>12884</v>
      </c>
      <c r="B4445" s="1" t="s">
        <v>12885</v>
      </c>
      <c r="C4445">
        <f>(1-(B7/100))*63.86</f>
        <v>63.86</v>
      </c>
      <c r="D4445" s="1">
        <v>0</v>
      </c>
      <c r="E4445">
        <f>D4445*C4445</f>
        <v>0</v>
      </c>
      <c r="F4445" s="1" t="s">
        <v>12886</v>
      </c>
      <c r="G4445" s="17">
        <v>82054</v>
      </c>
    </row>
    <row r="4446" spans="1:7">
      <c r="A4446" s="1" t="s">
        <v>12887</v>
      </c>
      <c r="B4446" s="1" t="s">
        <v>12888</v>
      </c>
      <c r="C4446">
        <f>(1-(B7/100))*63.86</f>
        <v>63.86</v>
      </c>
      <c r="D4446" s="1">
        <v>0</v>
      </c>
      <c r="E4446">
        <f>D4446*C4446</f>
        <v>0</v>
      </c>
      <c r="F4446" s="1" t="s">
        <v>12889</v>
      </c>
      <c r="G4446" s="17">
        <v>82055</v>
      </c>
    </row>
    <row r="4447" spans="1:7">
      <c r="A4447" s="1" t="s">
        <v>12890</v>
      </c>
      <c r="B4447" s="1" t="s">
        <v>12891</v>
      </c>
      <c r="C4447">
        <f>(1-(B7/100))*63.86</f>
        <v>63.86</v>
      </c>
      <c r="D4447" s="1">
        <v>0</v>
      </c>
      <c r="E4447">
        <f>D4447*C4447</f>
        <v>0</v>
      </c>
      <c r="F4447" s="1" t="s">
        <v>12892</v>
      </c>
      <c r="G4447" s="17">
        <v>82056</v>
      </c>
    </row>
    <row r="4448" spans="1:7">
      <c r="A4448" s="1" t="s">
        <v>12893</v>
      </c>
      <c r="B4448" s="1" t="s">
        <v>12894</v>
      </c>
      <c r="C4448">
        <f>(1-(B7/100))*63.86</f>
        <v>63.86</v>
      </c>
      <c r="D4448" s="1">
        <v>0</v>
      </c>
      <c r="E4448">
        <f>D4448*C4448</f>
        <v>0</v>
      </c>
      <c r="F4448" s="1" t="s">
        <v>12895</v>
      </c>
      <c r="G4448" s="17">
        <v>82057</v>
      </c>
    </row>
    <row r="4449" spans="1:7">
      <c r="A4449" s="1" t="s">
        <v>12896</v>
      </c>
      <c r="B4449" s="1" t="s">
        <v>12897</v>
      </c>
      <c r="C4449">
        <f>(1-(B7/100))*81.87</f>
        <v>81.87</v>
      </c>
      <c r="D4449" s="1">
        <v>0</v>
      </c>
      <c r="E4449">
        <f>D4449*C4449</f>
        <v>0</v>
      </c>
      <c r="F4449" s="1" t="s">
        <v>12898</v>
      </c>
      <c r="G4449" s="17">
        <v>82058</v>
      </c>
    </row>
    <row r="4450" spans="1:7">
      <c r="A4450" s="1" t="s">
        <v>12899</v>
      </c>
      <c r="B4450" s="1" t="s">
        <v>12900</v>
      </c>
      <c r="C4450">
        <f>(1-(B7/100))*63.86</f>
        <v>63.86</v>
      </c>
      <c r="D4450" s="1">
        <v>0</v>
      </c>
      <c r="E4450">
        <f>D4450*C4450</f>
        <v>0</v>
      </c>
      <c r="F4450" s="1" t="s">
        <v>12901</v>
      </c>
      <c r="G4450" s="17">
        <v>82060</v>
      </c>
    </row>
    <row r="4451" spans="1:7">
      <c r="A4451" s="1" t="s">
        <v>12902</v>
      </c>
      <c r="B4451" s="1" t="s">
        <v>12903</v>
      </c>
      <c r="C4451">
        <f>(1-(B7/100))*63.86</f>
        <v>63.86</v>
      </c>
      <c r="D4451" s="1">
        <v>0</v>
      </c>
      <c r="E4451">
        <f>D4451*C4451</f>
        <v>0</v>
      </c>
      <c r="F4451" s="1" t="s">
        <v>12904</v>
      </c>
      <c r="G4451" s="17">
        <v>82061</v>
      </c>
    </row>
    <row r="4452" spans="1:7">
      <c r="A4452" s="1" t="s">
        <v>12905</v>
      </c>
      <c r="B4452" s="1" t="s">
        <v>12906</v>
      </c>
      <c r="C4452">
        <f>(1-(B7/100))*63.86</f>
        <v>63.86</v>
      </c>
      <c r="D4452" s="1">
        <v>0</v>
      </c>
      <c r="E4452">
        <f>D4452*C4452</f>
        <v>0</v>
      </c>
      <c r="F4452" s="1" t="s">
        <v>12907</v>
      </c>
      <c r="G4452" s="17">
        <v>82062</v>
      </c>
    </row>
    <row r="4453" spans="1:7">
      <c r="A4453" s="1" t="s">
        <v>12908</v>
      </c>
      <c r="B4453" s="1" t="s">
        <v>12909</v>
      </c>
      <c r="C4453">
        <f>(1-(B7/100))*63.86</f>
        <v>63.86</v>
      </c>
      <c r="D4453" s="1">
        <v>0</v>
      </c>
      <c r="E4453">
        <f>D4453*C4453</f>
        <v>0</v>
      </c>
      <c r="F4453" s="1" t="s">
        <v>12910</v>
      </c>
      <c r="G4453" s="17">
        <v>82063</v>
      </c>
    </row>
    <row r="4454" spans="1:7">
      <c r="A4454" s="1" t="s">
        <v>12911</v>
      </c>
      <c r="B4454" s="1" t="s">
        <v>12912</v>
      </c>
      <c r="C4454">
        <f>(1-(B7/100))*63.86</f>
        <v>63.86</v>
      </c>
      <c r="D4454" s="1">
        <v>0</v>
      </c>
      <c r="E4454">
        <f>D4454*C4454</f>
        <v>0</v>
      </c>
      <c r="F4454" s="1" t="s">
        <v>12913</v>
      </c>
      <c r="G4454" s="17">
        <v>82064</v>
      </c>
    </row>
    <row r="4455" spans="1:7">
      <c r="A4455" s="1" t="s">
        <v>12914</v>
      </c>
      <c r="B4455" s="1" t="s">
        <v>12915</v>
      </c>
      <c r="C4455">
        <f>(1-(B7/100))*63.86</f>
        <v>63.86</v>
      </c>
      <c r="D4455" s="1">
        <v>0</v>
      </c>
      <c r="E4455">
        <f>D4455*C4455</f>
        <v>0</v>
      </c>
      <c r="F4455" s="1" t="s">
        <v>12916</v>
      </c>
      <c r="G4455" s="17">
        <v>82065</v>
      </c>
    </row>
    <row r="4456" spans="1:7">
      <c r="A4456" s="1" t="s">
        <v>12917</v>
      </c>
      <c r="B4456" s="1" t="s">
        <v>12918</v>
      </c>
      <c r="C4456">
        <f>(1-(B7/100))*63.86</f>
        <v>63.86</v>
      </c>
      <c r="D4456" s="1">
        <v>0</v>
      </c>
      <c r="E4456">
        <f>D4456*C4456</f>
        <v>0</v>
      </c>
      <c r="F4456" s="1" t="s">
        <v>12919</v>
      </c>
      <c r="G4456" s="17">
        <v>82067</v>
      </c>
    </row>
    <row r="4457" spans="1:7">
      <c r="A4457" s="1" t="s">
        <v>12920</v>
      </c>
      <c r="B4457" s="1" t="s">
        <v>12921</v>
      </c>
      <c r="C4457">
        <f>(1-(B7/100))*122.11</f>
        <v>122.11</v>
      </c>
      <c r="D4457" s="1">
        <v>0</v>
      </c>
      <c r="E4457">
        <f>D4457*C4457</f>
        <v>0</v>
      </c>
      <c r="F4457" s="1" t="s">
        <v>12922</v>
      </c>
      <c r="G4457" s="17">
        <v>82068</v>
      </c>
    </row>
    <row r="4458" spans="1:7">
      <c r="A4458" s="1" t="s">
        <v>12923</v>
      </c>
      <c r="B4458" s="1" t="s">
        <v>12924</v>
      </c>
      <c r="C4458">
        <f>(1-(B7/100))*63.86</f>
        <v>63.86</v>
      </c>
      <c r="D4458" s="1">
        <v>0</v>
      </c>
      <c r="E4458">
        <f>D4458*C4458</f>
        <v>0</v>
      </c>
      <c r="F4458" s="1" t="s">
        <v>12925</v>
      </c>
      <c r="G4458" s="17">
        <v>82069</v>
      </c>
    </row>
    <row r="4459" spans="1:7">
      <c r="A4459" s="1" t="s">
        <v>12926</v>
      </c>
      <c r="B4459" s="1" t="s">
        <v>12927</v>
      </c>
      <c r="C4459">
        <f>(1-(B7/100))*63.86</f>
        <v>63.86</v>
      </c>
      <c r="D4459" s="1">
        <v>0</v>
      </c>
      <c r="E4459">
        <f>D4459*C4459</f>
        <v>0</v>
      </c>
      <c r="F4459" s="1" t="s">
        <v>12928</v>
      </c>
      <c r="G4459" s="17">
        <v>82070</v>
      </c>
    </row>
    <row r="4460" spans="1:7">
      <c r="A4460" s="1" t="s">
        <v>12929</v>
      </c>
      <c r="B4460" s="1" t="s">
        <v>12930</v>
      </c>
      <c r="C4460">
        <f>(1-(B7/100))*63.86</f>
        <v>63.86</v>
      </c>
      <c r="D4460" s="1">
        <v>0</v>
      </c>
      <c r="E4460">
        <f>D4460*C4460</f>
        <v>0</v>
      </c>
      <c r="F4460" s="1" t="s">
        <v>12931</v>
      </c>
      <c r="G4460" s="17">
        <v>82071</v>
      </c>
    </row>
    <row r="4461" spans="1:7">
      <c r="A4461" s="1" t="s">
        <v>12932</v>
      </c>
      <c r="B4461" s="1" t="s">
        <v>12933</v>
      </c>
      <c r="C4461">
        <f>(1-(B7/100))*63.86</f>
        <v>63.86</v>
      </c>
      <c r="D4461" s="1">
        <v>0</v>
      </c>
      <c r="E4461">
        <f>D4461*C4461</f>
        <v>0</v>
      </c>
      <c r="F4461" s="1" t="s">
        <v>12934</v>
      </c>
      <c r="G4461" s="17">
        <v>82072</v>
      </c>
    </row>
    <row r="4462" spans="1:7">
      <c r="A4462" s="1" t="s">
        <v>12935</v>
      </c>
      <c r="B4462" s="1" t="s">
        <v>12936</v>
      </c>
      <c r="C4462">
        <f>(1-(B7/100))*63.86</f>
        <v>63.86</v>
      </c>
      <c r="D4462" s="1">
        <v>0</v>
      </c>
      <c r="E4462">
        <f>D4462*C4462</f>
        <v>0</v>
      </c>
      <c r="F4462" s="1" t="s">
        <v>12937</v>
      </c>
      <c r="G4462" s="17">
        <v>82073</v>
      </c>
    </row>
    <row r="4463" spans="1:7">
      <c r="A4463" s="1" t="s">
        <v>12938</v>
      </c>
      <c r="B4463" s="1" t="s">
        <v>12939</v>
      </c>
      <c r="C4463">
        <f>(1-(B7/100))*63.86</f>
        <v>63.86</v>
      </c>
      <c r="D4463" s="1">
        <v>0</v>
      </c>
      <c r="E4463">
        <f>D4463*C4463</f>
        <v>0</v>
      </c>
      <c r="F4463" s="1" t="s">
        <v>12940</v>
      </c>
      <c r="G4463" s="17">
        <v>82074</v>
      </c>
    </row>
    <row r="4464" spans="1:7">
      <c r="A4464" s="1" t="s">
        <v>12941</v>
      </c>
      <c r="B4464" s="1" t="s">
        <v>12942</v>
      </c>
      <c r="C4464">
        <f>(1-(B7/100))*63.86</f>
        <v>63.86</v>
      </c>
      <c r="D4464" s="1">
        <v>0</v>
      </c>
      <c r="E4464">
        <f>D4464*C4464</f>
        <v>0</v>
      </c>
      <c r="F4464" s="1" t="s">
        <v>12943</v>
      </c>
      <c r="G4464" s="17">
        <v>82075</v>
      </c>
    </row>
    <row r="4465" spans="1:7">
      <c r="A4465" s="1" t="s">
        <v>12944</v>
      </c>
      <c r="B4465" s="1" t="s">
        <v>12945</v>
      </c>
      <c r="C4465">
        <f>(1-(B7/100))*63.86</f>
        <v>63.86</v>
      </c>
      <c r="D4465" s="1">
        <v>0</v>
      </c>
      <c r="E4465">
        <f>D4465*C4465</f>
        <v>0</v>
      </c>
      <c r="F4465" s="1" t="s">
        <v>12946</v>
      </c>
      <c r="G4465" s="17">
        <v>82077</v>
      </c>
    </row>
    <row r="4466" spans="1:7">
      <c r="A4466" s="1" t="s">
        <v>12947</v>
      </c>
      <c r="B4466" s="1" t="s">
        <v>12948</v>
      </c>
      <c r="C4466">
        <f>(1-(B7/100))*105.24</f>
        <v>105.24</v>
      </c>
      <c r="D4466" s="1">
        <v>0</v>
      </c>
      <c r="E4466">
        <f>D4466*C4466</f>
        <v>0</v>
      </c>
      <c r="F4466" s="1" t="s">
        <v>12949</v>
      </c>
      <c r="G4466" s="17">
        <v>82079</v>
      </c>
    </row>
    <row r="4467" spans="1:7">
      <c r="A4467" s="1" t="s">
        <v>12950</v>
      </c>
      <c r="B4467" s="1" t="s">
        <v>12951</v>
      </c>
      <c r="C4467">
        <f>(1-(B7/100))*63.86</f>
        <v>63.86</v>
      </c>
      <c r="D4467" s="1">
        <v>0</v>
      </c>
      <c r="E4467">
        <f>D4467*C4467</f>
        <v>0</v>
      </c>
      <c r="F4467" s="1" t="s">
        <v>12952</v>
      </c>
      <c r="G4467" s="17">
        <v>82081</v>
      </c>
    </row>
    <row r="4468" spans="1:7">
      <c r="A4468" s="1" t="s">
        <v>12953</v>
      </c>
      <c r="B4468" s="1" t="s">
        <v>12954</v>
      </c>
      <c r="C4468">
        <f>(1-(B7/100))*105.24</f>
        <v>105.24</v>
      </c>
      <c r="D4468" s="1">
        <v>0</v>
      </c>
      <c r="E4468">
        <f>D4468*C4468</f>
        <v>0</v>
      </c>
      <c r="F4468" s="1" t="s">
        <v>12955</v>
      </c>
      <c r="G4468" s="17">
        <v>82082</v>
      </c>
    </row>
    <row r="4469" spans="1:7">
      <c r="A4469" s="1" t="s">
        <v>12956</v>
      </c>
      <c r="B4469" s="1" t="s">
        <v>12957</v>
      </c>
      <c r="C4469">
        <f>(1-(B7/100))*105.24</f>
        <v>105.24</v>
      </c>
      <c r="D4469" s="1">
        <v>0</v>
      </c>
      <c r="E4469">
        <f>D4469*C4469</f>
        <v>0</v>
      </c>
      <c r="F4469" s="1" t="s">
        <v>12958</v>
      </c>
      <c r="G4469" s="17">
        <v>82083</v>
      </c>
    </row>
    <row r="4470" spans="1:7">
      <c r="A4470" s="1" t="s">
        <v>12959</v>
      </c>
      <c r="B4470" s="1" t="s">
        <v>12960</v>
      </c>
      <c r="C4470">
        <f>(1-(B7/100))*105.24</f>
        <v>105.24</v>
      </c>
      <c r="D4470" s="1">
        <v>0</v>
      </c>
      <c r="E4470">
        <f>D4470*C4470</f>
        <v>0</v>
      </c>
      <c r="F4470" s="1" t="s">
        <v>12961</v>
      </c>
      <c r="G4470" s="17">
        <v>82084</v>
      </c>
    </row>
    <row r="4471" spans="1:7">
      <c r="A4471" s="1" t="s">
        <v>12962</v>
      </c>
      <c r="B4471" s="1" t="s">
        <v>12963</v>
      </c>
      <c r="C4471">
        <f>(1-(B7/100))*63.86</f>
        <v>63.86</v>
      </c>
      <c r="D4471" s="1">
        <v>0</v>
      </c>
      <c r="E4471">
        <f>D4471*C4471</f>
        <v>0</v>
      </c>
      <c r="F4471" s="1" t="s">
        <v>12964</v>
      </c>
      <c r="G4471" s="17">
        <v>82085</v>
      </c>
    </row>
    <row r="4472" spans="1:7">
      <c r="A4472" s="1" t="s">
        <v>12965</v>
      </c>
      <c r="B4472" s="1" t="s">
        <v>12966</v>
      </c>
      <c r="C4472">
        <f>(1-(B7/100))*63.86</f>
        <v>63.86</v>
      </c>
      <c r="D4472" s="1">
        <v>0</v>
      </c>
      <c r="E4472">
        <f>D4472*C4472</f>
        <v>0</v>
      </c>
      <c r="F4472" s="1" t="s">
        <v>12967</v>
      </c>
      <c r="G4472" s="17">
        <v>82086</v>
      </c>
    </row>
    <row r="4473" spans="1:7">
      <c r="A4473" s="1" t="s">
        <v>12968</v>
      </c>
      <c r="B4473" s="1" t="s">
        <v>12969</v>
      </c>
      <c r="C4473">
        <f>(1-(B7/100))*63.86</f>
        <v>63.86</v>
      </c>
      <c r="D4473" s="1">
        <v>0</v>
      </c>
      <c r="E4473">
        <f>D4473*C4473</f>
        <v>0</v>
      </c>
      <c r="F4473" s="1" t="s">
        <v>12970</v>
      </c>
      <c r="G4473" s="17">
        <v>82087</v>
      </c>
    </row>
    <row r="4474" spans="1:7">
      <c r="A4474" s="1" t="s">
        <v>12971</v>
      </c>
      <c r="B4474" s="1" t="s">
        <v>12972</v>
      </c>
      <c r="C4474">
        <f>(1-(B7/100))*63.86</f>
        <v>63.86</v>
      </c>
      <c r="D4474" s="1">
        <v>0</v>
      </c>
      <c r="E4474">
        <f>D4474*C4474</f>
        <v>0</v>
      </c>
      <c r="F4474" s="1" t="s">
        <v>12973</v>
      </c>
      <c r="G4474" s="17">
        <v>82088</v>
      </c>
    </row>
    <row r="4475" spans="1:7">
      <c r="A4475" s="1" t="s">
        <v>12974</v>
      </c>
      <c r="B4475" s="1" t="s">
        <v>12975</v>
      </c>
      <c r="C4475">
        <f>(1-(B7/100))*105.24</f>
        <v>105.24</v>
      </c>
      <c r="D4475" s="1">
        <v>0</v>
      </c>
      <c r="E4475">
        <f>D4475*C4475</f>
        <v>0</v>
      </c>
      <c r="F4475" s="1" t="s">
        <v>12976</v>
      </c>
      <c r="G4475" s="17">
        <v>82089</v>
      </c>
    </row>
    <row r="4476" spans="1:7">
      <c r="A4476" s="1" t="s">
        <v>12977</v>
      </c>
      <c r="B4476" s="1" t="s">
        <v>12978</v>
      </c>
      <c r="C4476">
        <f>(1-(B7/100))*63.86</f>
        <v>63.86</v>
      </c>
      <c r="D4476" s="1">
        <v>0</v>
      </c>
      <c r="E4476">
        <f>D4476*C4476</f>
        <v>0</v>
      </c>
      <c r="F4476" s="1" t="s">
        <v>12979</v>
      </c>
      <c r="G4476" s="17">
        <v>82090</v>
      </c>
    </row>
    <row r="4477" spans="1:7">
      <c r="A4477" s="1" t="s">
        <v>12980</v>
      </c>
      <c r="B4477" s="1" t="s">
        <v>12981</v>
      </c>
      <c r="C4477">
        <f>(1-(B7/100))*63.86</f>
        <v>63.86</v>
      </c>
      <c r="D4477" s="1">
        <v>0</v>
      </c>
      <c r="E4477">
        <f>D4477*C4477</f>
        <v>0</v>
      </c>
      <c r="F4477" s="1" t="s">
        <v>12982</v>
      </c>
      <c r="G4477" s="17">
        <v>82091</v>
      </c>
    </row>
    <row r="4478" spans="1:7">
      <c r="A4478" s="1" t="s">
        <v>12983</v>
      </c>
      <c r="B4478" s="1" t="s">
        <v>12984</v>
      </c>
      <c r="C4478">
        <f>(1-(B7/100))*63.86</f>
        <v>63.86</v>
      </c>
      <c r="D4478" s="1">
        <v>0</v>
      </c>
      <c r="E4478">
        <f>D4478*C4478</f>
        <v>0</v>
      </c>
      <c r="F4478" s="1" t="s">
        <v>12985</v>
      </c>
      <c r="G4478" s="17">
        <v>82092</v>
      </c>
    </row>
    <row r="4479" spans="1:7">
      <c r="A4479" s="1" t="s">
        <v>12986</v>
      </c>
      <c r="B4479" s="1" t="s">
        <v>12987</v>
      </c>
      <c r="C4479">
        <f>(1-(B7/100))*63.86</f>
        <v>63.86</v>
      </c>
      <c r="D4479" s="1">
        <v>0</v>
      </c>
      <c r="E4479">
        <f>D4479*C4479</f>
        <v>0</v>
      </c>
      <c r="F4479" s="1" t="s">
        <v>12988</v>
      </c>
      <c r="G4479" s="17">
        <v>82093</v>
      </c>
    </row>
    <row r="4480" spans="1:7">
      <c r="A4480" s="1" t="s">
        <v>12989</v>
      </c>
      <c r="B4480" s="1" t="s">
        <v>12990</v>
      </c>
      <c r="C4480">
        <f>(1-(B7/100))*63.86</f>
        <v>63.86</v>
      </c>
      <c r="D4480" s="1">
        <v>0</v>
      </c>
      <c r="E4480">
        <f>D4480*C4480</f>
        <v>0</v>
      </c>
      <c r="F4480" s="1" t="s">
        <v>12991</v>
      </c>
      <c r="G4480" s="17">
        <v>82094</v>
      </c>
    </row>
    <row r="4481" spans="1:7">
      <c r="A4481" s="1" t="s">
        <v>12992</v>
      </c>
      <c r="B4481" s="1" t="s">
        <v>12993</v>
      </c>
      <c r="C4481">
        <f>(1-(B7/100))*63.86</f>
        <v>63.86</v>
      </c>
      <c r="D4481" s="1">
        <v>0</v>
      </c>
      <c r="E4481">
        <f>D4481*C4481</f>
        <v>0</v>
      </c>
      <c r="F4481" s="1" t="s">
        <v>12994</v>
      </c>
      <c r="G4481" s="17">
        <v>82095</v>
      </c>
    </row>
    <row r="4482" spans="1:7">
      <c r="A4482" s="1" t="s">
        <v>12995</v>
      </c>
      <c r="B4482" s="1" t="s">
        <v>12996</v>
      </c>
      <c r="C4482">
        <f>(1-(B7/100))*63.86</f>
        <v>63.86</v>
      </c>
      <c r="D4482" s="1">
        <v>0</v>
      </c>
      <c r="E4482">
        <f>D4482*C4482</f>
        <v>0</v>
      </c>
      <c r="F4482" s="1" t="s">
        <v>12997</v>
      </c>
      <c r="G4482" s="17">
        <v>82096</v>
      </c>
    </row>
    <row r="4483" spans="1:7">
      <c r="A4483" s="1" t="s">
        <v>12998</v>
      </c>
      <c r="B4483" s="1" t="s">
        <v>12999</v>
      </c>
      <c r="C4483">
        <f>(1-(B7/100))*63.86</f>
        <v>63.86</v>
      </c>
      <c r="D4483" s="1">
        <v>0</v>
      </c>
      <c r="E4483">
        <f>D4483*C4483</f>
        <v>0</v>
      </c>
      <c r="F4483" s="1" t="s">
        <v>13000</v>
      </c>
      <c r="G4483" s="17">
        <v>82097</v>
      </c>
    </row>
    <row r="4484" spans="1:7">
      <c r="A4484" s="1" t="s">
        <v>13001</v>
      </c>
      <c r="B4484" s="1" t="s">
        <v>13002</v>
      </c>
      <c r="C4484">
        <f>(1-(B7/100))*105.24</f>
        <v>105.24</v>
      </c>
      <c r="D4484" s="1">
        <v>0</v>
      </c>
      <c r="E4484">
        <f>D4484*C4484</f>
        <v>0</v>
      </c>
      <c r="F4484" s="1" t="s">
        <v>13003</v>
      </c>
      <c r="G4484" s="17">
        <v>82098</v>
      </c>
    </row>
    <row r="4485" spans="1:7">
      <c r="A4485" s="1" t="s">
        <v>13004</v>
      </c>
      <c r="B4485" s="1" t="s">
        <v>13005</v>
      </c>
      <c r="C4485">
        <f>(1-(B7/100))*63.86</f>
        <v>63.86</v>
      </c>
      <c r="D4485" s="1">
        <v>0</v>
      </c>
      <c r="E4485">
        <f>D4485*C4485</f>
        <v>0</v>
      </c>
      <c r="F4485" s="1" t="s">
        <v>13006</v>
      </c>
      <c r="G4485" s="17">
        <v>82099</v>
      </c>
    </row>
    <row r="4486" spans="1:7">
      <c r="A4486" s="1" t="s">
        <v>13007</v>
      </c>
      <c r="B4486" s="1" t="s">
        <v>13008</v>
      </c>
      <c r="C4486">
        <f>(1-(B7/100))*63.86</f>
        <v>63.86</v>
      </c>
      <c r="D4486" s="1">
        <v>0</v>
      </c>
      <c r="E4486">
        <f>D4486*C4486</f>
        <v>0</v>
      </c>
      <c r="F4486" s="1" t="s">
        <v>13009</v>
      </c>
      <c r="G4486" s="17">
        <v>82100</v>
      </c>
    </row>
    <row r="4487" spans="1:7">
      <c r="A4487" s="1" t="s">
        <v>13010</v>
      </c>
      <c r="B4487" s="1" t="s">
        <v>13011</v>
      </c>
      <c r="C4487">
        <f>(1-(B7/100))*105.24</f>
        <v>105.24</v>
      </c>
      <c r="D4487" s="1">
        <v>0</v>
      </c>
      <c r="E4487">
        <f>D4487*C4487</f>
        <v>0</v>
      </c>
      <c r="F4487" s="1" t="s">
        <v>13012</v>
      </c>
      <c r="G4487" s="17">
        <v>82101</v>
      </c>
    </row>
    <row r="4488" spans="1:7">
      <c r="A4488" s="1" t="s">
        <v>13013</v>
      </c>
      <c r="B4488" s="1" t="s">
        <v>13014</v>
      </c>
      <c r="C4488">
        <f>(1-(B7/100))*63.86</f>
        <v>63.86</v>
      </c>
      <c r="D4488" s="1">
        <v>0</v>
      </c>
      <c r="E4488">
        <f>D4488*C4488</f>
        <v>0</v>
      </c>
      <c r="F4488" s="1" t="s">
        <v>13015</v>
      </c>
      <c r="G4488" s="17">
        <v>82102</v>
      </c>
    </row>
    <row r="4489" spans="1:7">
      <c r="A4489" s="1" t="s">
        <v>13016</v>
      </c>
      <c r="B4489" s="1" t="s">
        <v>13017</v>
      </c>
      <c r="C4489">
        <f>(1-(B7/100))*63.86</f>
        <v>63.86</v>
      </c>
      <c r="D4489" s="1">
        <v>0</v>
      </c>
      <c r="E4489">
        <f>D4489*C4489</f>
        <v>0</v>
      </c>
      <c r="F4489" s="1" t="s">
        <v>13018</v>
      </c>
      <c r="G4489" s="17">
        <v>82103</v>
      </c>
    </row>
    <row r="4490" spans="1:7">
      <c r="A4490" s="1" t="s">
        <v>13019</v>
      </c>
      <c r="B4490" s="1" t="s">
        <v>13020</v>
      </c>
      <c r="C4490">
        <f>(1-(B7/100))*63.86</f>
        <v>63.86</v>
      </c>
      <c r="D4490" s="1">
        <v>0</v>
      </c>
      <c r="E4490">
        <f>D4490*C4490</f>
        <v>0</v>
      </c>
      <c r="F4490" s="1" t="s">
        <v>13021</v>
      </c>
      <c r="G4490" s="17">
        <v>82104</v>
      </c>
    </row>
    <row r="4491" spans="1:7">
      <c r="A4491" s="1" t="s">
        <v>13022</v>
      </c>
      <c r="B4491" s="1" t="s">
        <v>13023</v>
      </c>
      <c r="C4491">
        <f>(1-(B7/100))*63.86</f>
        <v>63.86</v>
      </c>
      <c r="D4491" s="1">
        <v>0</v>
      </c>
      <c r="E4491">
        <f>D4491*C4491</f>
        <v>0</v>
      </c>
      <c r="F4491" s="1" t="s">
        <v>13024</v>
      </c>
      <c r="G4491" s="17">
        <v>82105</v>
      </c>
    </row>
    <row r="4492" spans="1:7">
      <c r="A4492" s="1" t="s">
        <v>13025</v>
      </c>
      <c r="B4492" s="1" t="s">
        <v>13026</v>
      </c>
      <c r="C4492">
        <f>(1-(B7/100))*105.24</f>
        <v>105.24</v>
      </c>
      <c r="D4492" s="1">
        <v>0</v>
      </c>
      <c r="E4492">
        <f>D4492*C4492</f>
        <v>0</v>
      </c>
      <c r="F4492" s="1" t="s">
        <v>13027</v>
      </c>
      <c r="G4492" s="17">
        <v>82106</v>
      </c>
    </row>
    <row r="4493" spans="1:7">
      <c r="A4493" s="1" t="s">
        <v>13028</v>
      </c>
      <c r="B4493" s="1" t="s">
        <v>13029</v>
      </c>
      <c r="C4493">
        <f>(1-(B7/100))*63.86</f>
        <v>63.86</v>
      </c>
      <c r="D4493" s="1">
        <v>0</v>
      </c>
      <c r="E4493">
        <f>D4493*C4493</f>
        <v>0</v>
      </c>
      <c r="F4493" s="1" t="s">
        <v>13030</v>
      </c>
      <c r="G4493" s="17">
        <v>82108</v>
      </c>
    </row>
    <row r="4494" spans="1:7">
      <c r="A4494" s="1" t="s">
        <v>13031</v>
      </c>
      <c r="B4494" s="1" t="s">
        <v>13032</v>
      </c>
      <c r="C4494">
        <f>(1-(B7/100))*63.86</f>
        <v>63.86</v>
      </c>
      <c r="D4494" s="1">
        <v>0</v>
      </c>
      <c r="E4494">
        <f>D4494*C4494</f>
        <v>0</v>
      </c>
      <c r="F4494" s="1" t="s">
        <v>13033</v>
      </c>
      <c r="G4494" s="17">
        <v>82109</v>
      </c>
    </row>
    <row r="4495" spans="1:7">
      <c r="A4495" s="1" t="s">
        <v>13034</v>
      </c>
      <c r="B4495" s="1" t="s">
        <v>13035</v>
      </c>
      <c r="C4495">
        <f>(1-(B7/100))*135.73</f>
        <v>135.73</v>
      </c>
      <c r="D4495" s="1">
        <v>0</v>
      </c>
      <c r="E4495">
        <f>D4495*C4495</f>
        <v>0</v>
      </c>
      <c r="F4495" s="1" t="s">
        <v>13036</v>
      </c>
      <c r="G4495" s="17">
        <v>82110</v>
      </c>
    </row>
    <row r="4496" spans="1:7">
      <c r="A4496" s="1" t="s">
        <v>13037</v>
      </c>
      <c r="B4496" s="1" t="s">
        <v>13038</v>
      </c>
      <c r="C4496">
        <f>(1-(B7/100))*63.86</f>
        <v>63.86</v>
      </c>
      <c r="D4496" s="1">
        <v>0</v>
      </c>
      <c r="E4496">
        <f>D4496*C4496</f>
        <v>0</v>
      </c>
      <c r="F4496" s="1" t="s">
        <v>13039</v>
      </c>
      <c r="G4496" s="17">
        <v>82111</v>
      </c>
    </row>
    <row r="4497" spans="1:7">
      <c r="A4497" s="1" t="s">
        <v>13040</v>
      </c>
      <c r="B4497" s="1" t="s">
        <v>13041</v>
      </c>
      <c r="C4497">
        <f>(1-(B7/100))*63.86</f>
        <v>63.86</v>
      </c>
      <c r="D4497" s="1">
        <v>0</v>
      </c>
      <c r="E4497">
        <f>D4497*C4497</f>
        <v>0</v>
      </c>
      <c r="F4497" s="1" t="s">
        <v>13042</v>
      </c>
      <c r="G4497" s="17">
        <v>82112</v>
      </c>
    </row>
    <row r="4498" spans="1:7">
      <c r="A4498" s="1" t="s">
        <v>13043</v>
      </c>
      <c r="B4498" s="1" t="s">
        <v>13044</v>
      </c>
      <c r="C4498">
        <f>(1-(B7/100))*63.86</f>
        <v>63.86</v>
      </c>
      <c r="D4498" s="1">
        <v>0</v>
      </c>
      <c r="E4498">
        <f>D4498*C4498</f>
        <v>0</v>
      </c>
      <c r="F4498" s="1" t="s">
        <v>13045</v>
      </c>
      <c r="G4498" s="17">
        <v>82113</v>
      </c>
    </row>
    <row r="4499" spans="1:7">
      <c r="A4499" s="1" t="s">
        <v>13046</v>
      </c>
      <c r="B4499" s="1" t="s">
        <v>13047</v>
      </c>
      <c r="C4499">
        <f>(1-(B7/100))*105.24</f>
        <v>105.24</v>
      </c>
      <c r="D4499" s="1">
        <v>0</v>
      </c>
      <c r="E4499">
        <f>D4499*C4499</f>
        <v>0</v>
      </c>
      <c r="F4499" s="1" t="s">
        <v>13048</v>
      </c>
      <c r="G4499" s="17">
        <v>82114</v>
      </c>
    </row>
    <row r="4500" spans="1:7">
      <c r="A4500" s="1" t="s">
        <v>13049</v>
      </c>
      <c r="B4500" s="1" t="s">
        <v>13050</v>
      </c>
      <c r="C4500">
        <f>(1-(B7/100))*105.24</f>
        <v>105.24</v>
      </c>
      <c r="D4500" s="1">
        <v>0</v>
      </c>
      <c r="E4500">
        <f>D4500*C4500</f>
        <v>0</v>
      </c>
      <c r="F4500" s="1" t="s">
        <v>13051</v>
      </c>
      <c r="G4500" s="17">
        <v>82115</v>
      </c>
    </row>
    <row r="4501" spans="1:7">
      <c r="A4501" s="1" t="s">
        <v>13052</v>
      </c>
      <c r="B4501" s="1" t="s">
        <v>13053</v>
      </c>
      <c r="C4501">
        <f>(1-(B7/100))*63.86</f>
        <v>63.86</v>
      </c>
      <c r="D4501" s="1">
        <v>0</v>
      </c>
      <c r="E4501">
        <f>D4501*C4501</f>
        <v>0</v>
      </c>
      <c r="F4501" s="1" t="s">
        <v>13054</v>
      </c>
      <c r="G4501" s="17">
        <v>82116</v>
      </c>
    </row>
    <row r="4502" spans="1:7">
      <c r="A4502" s="1" t="s">
        <v>13055</v>
      </c>
      <c r="B4502" s="1" t="s">
        <v>13056</v>
      </c>
      <c r="C4502">
        <f>(1-(B7/100))*105.24</f>
        <v>105.24</v>
      </c>
      <c r="D4502" s="1">
        <v>0</v>
      </c>
      <c r="E4502">
        <f>D4502*C4502</f>
        <v>0</v>
      </c>
      <c r="F4502" s="1" t="s">
        <v>13057</v>
      </c>
      <c r="G4502" s="17">
        <v>82117</v>
      </c>
    </row>
    <row r="4503" spans="1:7">
      <c r="A4503" s="1" t="s">
        <v>13058</v>
      </c>
      <c r="B4503" s="1" t="s">
        <v>13059</v>
      </c>
      <c r="C4503">
        <f>(1-(B7/100))*63.86</f>
        <v>63.86</v>
      </c>
      <c r="D4503" s="1">
        <v>0</v>
      </c>
      <c r="E4503">
        <f>D4503*C4503</f>
        <v>0</v>
      </c>
      <c r="F4503" s="1" t="s">
        <v>13060</v>
      </c>
      <c r="G4503" s="17">
        <v>82118</v>
      </c>
    </row>
    <row r="4504" spans="1:7">
      <c r="A4504" s="1" t="s">
        <v>13061</v>
      </c>
      <c r="B4504" s="1" t="s">
        <v>13062</v>
      </c>
      <c r="C4504">
        <f>(1-(B7/100))*63.86</f>
        <v>63.86</v>
      </c>
      <c r="D4504" s="1">
        <v>0</v>
      </c>
      <c r="E4504">
        <f>D4504*C4504</f>
        <v>0</v>
      </c>
      <c r="F4504" s="1" t="s">
        <v>13063</v>
      </c>
      <c r="G4504" s="17">
        <v>82119</v>
      </c>
    </row>
    <row r="4505" spans="1:7">
      <c r="A4505" s="1" t="s">
        <v>13064</v>
      </c>
      <c r="B4505" s="1" t="s">
        <v>13065</v>
      </c>
      <c r="C4505">
        <f>(1-(B7/100))*105.24</f>
        <v>105.24</v>
      </c>
      <c r="D4505" s="1">
        <v>0</v>
      </c>
      <c r="E4505">
        <f>D4505*C4505</f>
        <v>0</v>
      </c>
      <c r="F4505" s="1" t="s">
        <v>13066</v>
      </c>
      <c r="G4505" s="17">
        <v>82120</v>
      </c>
    </row>
    <row r="4506" spans="1:7">
      <c r="A4506" s="1" t="s">
        <v>13067</v>
      </c>
      <c r="B4506" s="1" t="s">
        <v>13068</v>
      </c>
      <c r="C4506">
        <f>(1-(B7/100))*63.86</f>
        <v>63.86</v>
      </c>
      <c r="D4506" s="1">
        <v>0</v>
      </c>
      <c r="E4506">
        <f>D4506*C4506</f>
        <v>0</v>
      </c>
      <c r="F4506" s="1" t="s">
        <v>13069</v>
      </c>
      <c r="G4506" s="17">
        <v>82121</v>
      </c>
    </row>
    <row r="4507" spans="1:7">
      <c r="A4507" s="1" t="s">
        <v>13070</v>
      </c>
      <c r="B4507" s="1" t="s">
        <v>13071</v>
      </c>
      <c r="C4507">
        <f>(1-(B7/100))*63.86</f>
        <v>63.86</v>
      </c>
      <c r="D4507" s="1">
        <v>0</v>
      </c>
      <c r="E4507">
        <f>D4507*C4507</f>
        <v>0</v>
      </c>
      <c r="F4507" s="1" t="s">
        <v>13072</v>
      </c>
      <c r="G4507" s="17">
        <v>82122</v>
      </c>
    </row>
    <row r="4508" spans="1:7">
      <c r="A4508" s="1" t="s">
        <v>13073</v>
      </c>
      <c r="B4508" s="1" t="s">
        <v>13074</v>
      </c>
      <c r="C4508">
        <f>(1-(B7/100))*63.86</f>
        <v>63.86</v>
      </c>
      <c r="D4508" s="1">
        <v>0</v>
      </c>
      <c r="E4508">
        <f>D4508*C4508</f>
        <v>0</v>
      </c>
      <c r="F4508" s="1" t="s">
        <v>13075</v>
      </c>
      <c r="G4508" s="17">
        <v>82123</v>
      </c>
    </row>
    <row r="4509" spans="1:7">
      <c r="A4509" s="1" t="s">
        <v>13076</v>
      </c>
      <c r="B4509" s="1" t="s">
        <v>13077</v>
      </c>
      <c r="C4509">
        <f>(1-(B7/100))*63.86</f>
        <v>63.86</v>
      </c>
      <c r="D4509" s="1">
        <v>0</v>
      </c>
      <c r="E4509">
        <f>D4509*C4509</f>
        <v>0</v>
      </c>
      <c r="F4509" s="1" t="s">
        <v>13078</v>
      </c>
      <c r="G4509" s="17">
        <v>82124</v>
      </c>
    </row>
    <row r="4510" spans="1:7">
      <c r="A4510" s="1" t="s">
        <v>13079</v>
      </c>
      <c r="B4510" s="1" t="s">
        <v>13080</v>
      </c>
      <c r="C4510">
        <f>(1-(B7/100))*115.52</f>
        <v>115.52</v>
      </c>
      <c r="D4510" s="1">
        <v>0</v>
      </c>
      <c r="E4510">
        <f>D4510*C4510</f>
        <v>0</v>
      </c>
      <c r="F4510" s="1" t="s">
        <v>13081</v>
      </c>
      <c r="G4510" s="17">
        <v>82126</v>
      </c>
    </row>
    <row r="4511" spans="1:7">
      <c r="A4511" s="1" t="s">
        <v>13082</v>
      </c>
      <c r="B4511" s="1" t="s">
        <v>13083</v>
      </c>
      <c r="C4511">
        <f>(1-(B7/100))*293.9</f>
        <v>293.9</v>
      </c>
      <c r="D4511" s="1">
        <v>0</v>
      </c>
      <c r="E4511">
        <f>D4511*C4511</f>
        <v>0</v>
      </c>
      <c r="F4511" s="1" t="s">
        <v>13084</v>
      </c>
      <c r="G4511" s="17">
        <v>82128</v>
      </c>
    </row>
    <row r="4512" spans="1:7">
      <c r="A4512" s="1" t="s">
        <v>13085</v>
      </c>
      <c r="B4512" s="1" t="s">
        <v>13086</v>
      </c>
      <c r="C4512">
        <f>(1-(B7/100))*394.63</f>
        <v>394.63</v>
      </c>
      <c r="D4512" s="1">
        <v>0</v>
      </c>
      <c r="E4512">
        <f>D4512*C4512</f>
        <v>0</v>
      </c>
      <c r="F4512" s="1" t="s">
        <v>13087</v>
      </c>
      <c r="G4512" s="17">
        <v>82129</v>
      </c>
    </row>
    <row r="4513" spans="1:7">
      <c r="A4513" s="1" t="s">
        <v>13088</v>
      </c>
      <c r="B4513" s="1" t="s">
        <v>13089</v>
      </c>
      <c r="C4513">
        <f>(1-(B7/100))*18.16</f>
        <v>18.16</v>
      </c>
      <c r="D4513" s="1">
        <v>0</v>
      </c>
      <c r="E4513">
        <f>D4513*C4513</f>
        <v>0</v>
      </c>
      <c r="F4513" s="1" t="s">
        <v>13090</v>
      </c>
      <c r="G4513" s="17">
        <v>82130</v>
      </c>
    </row>
    <row r="4514" spans="1:7">
      <c r="A4514" s="1" t="s">
        <v>13091</v>
      </c>
      <c r="B4514" s="1" t="s">
        <v>13092</v>
      </c>
      <c r="C4514">
        <f>(1-(B7/100))*106.71</f>
        <v>106.71</v>
      </c>
      <c r="D4514" s="1">
        <v>0</v>
      </c>
      <c r="E4514">
        <f>D4514*C4514</f>
        <v>0</v>
      </c>
      <c r="F4514" s="1" t="s">
        <v>13093</v>
      </c>
      <c r="G4514" s="17">
        <v>82131</v>
      </c>
    </row>
    <row r="4515" spans="1:7">
      <c r="A4515" s="1" t="s">
        <v>13094</v>
      </c>
      <c r="B4515" s="1" t="s">
        <v>13095</v>
      </c>
      <c r="C4515">
        <f>(1-(B7/100))*104.09</f>
        <v>104.09</v>
      </c>
      <c r="D4515" s="1">
        <v>0</v>
      </c>
      <c r="E4515">
        <f>D4515*C4515</f>
        <v>0</v>
      </c>
      <c r="F4515" s="1" t="s">
        <v>13096</v>
      </c>
      <c r="G4515" s="17">
        <v>82133</v>
      </c>
    </row>
    <row r="4516" spans="1:7">
      <c r="A4516" s="1" t="s">
        <v>13097</v>
      </c>
      <c r="B4516" s="1" t="s">
        <v>13098</v>
      </c>
      <c r="C4516">
        <f>(1-(B7/100))*86.11</f>
        <v>86.11</v>
      </c>
      <c r="D4516" s="1">
        <v>0</v>
      </c>
      <c r="E4516">
        <f>D4516*C4516</f>
        <v>0</v>
      </c>
      <c r="F4516" s="1" t="s">
        <v>13099</v>
      </c>
      <c r="G4516" s="17">
        <v>82134</v>
      </c>
    </row>
    <row r="4517" spans="1:7">
      <c r="A4517" s="1" t="s">
        <v>13100</v>
      </c>
      <c r="B4517" s="1" t="s">
        <v>13101</v>
      </c>
      <c r="C4517">
        <f>(1-(B7/100))*106.71</f>
        <v>106.71</v>
      </c>
      <c r="D4517" s="1">
        <v>0</v>
      </c>
      <c r="E4517">
        <f>D4517*C4517</f>
        <v>0</v>
      </c>
      <c r="F4517" s="1" t="s">
        <v>13102</v>
      </c>
      <c r="G4517" s="17">
        <v>82135</v>
      </c>
    </row>
    <row r="4518" spans="1:7">
      <c r="A4518" s="1" t="s">
        <v>13103</v>
      </c>
      <c r="B4518" s="1" t="s">
        <v>13104</v>
      </c>
      <c r="C4518">
        <f>(1-(B7/100))*86.11</f>
        <v>86.11</v>
      </c>
      <c r="D4518" s="1">
        <v>0</v>
      </c>
      <c r="E4518">
        <f>D4518*C4518</f>
        <v>0</v>
      </c>
      <c r="F4518" s="1" t="s">
        <v>13105</v>
      </c>
      <c r="G4518" s="17">
        <v>82136</v>
      </c>
    </row>
    <row r="4519" spans="1:7">
      <c r="A4519" s="1" t="s">
        <v>13106</v>
      </c>
      <c r="B4519" s="1" t="s">
        <v>13107</v>
      </c>
      <c r="C4519">
        <f>(1-(B7/100))*89.05</f>
        <v>89.05</v>
      </c>
      <c r="D4519" s="1">
        <v>0</v>
      </c>
      <c r="E4519">
        <f>D4519*C4519</f>
        <v>0</v>
      </c>
      <c r="F4519" s="1" t="s">
        <v>13108</v>
      </c>
      <c r="G4519" s="17">
        <v>82141</v>
      </c>
    </row>
    <row r="4520" spans="1:7">
      <c r="A4520" s="1" t="s">
        <v>13109</v>
      </c>
      <c r="B4520" s="1" t="s">
        <v>13110</v>
      </c>
      <c r="C4520">
        <f>(1-(B7/100))*180.09</f>
        <v>180.09</v>
      </c>
      <c r="D4520" s="1">
        <v>0</v>
      </c>
      <c r="E4520">
        <f>D4520*C4520</f>
        <v>0</v>
      </c>
      <c r="F4520" s="1" t="s">
        <v>13111</v>
      </c>
      <c r="G4520" s="17">
        <v>82144</v>
      </c>
    </row>
    <row r="4521" spans="1:7">
      <c r="A4521" s="1" t="s">
        <v>13112</v>
      </c>
      <c r="B4521" s="1" t="s">
        <v>12429</v>
      </c>
      <c r="C4521">
        <f>(1-(B7/100))*266.86</f>
        <v>266.86</v>
      </c>
      <c r="D4521" s="1">
        <v>0</v>
      </c>
      <c r="E4521">
        <f>D4521*C4521</f>
        <v>0</v>
      </c>
      <c r="F4521" s="1" t="s">
        <v>13113</v>
      </c>
      <c r="G4521" s="17">
        <v>82147</v>
      </c>
    </row>
    <row r="4522" spans="1:7">
      <c r="A4522" s="1" t="s">
        <v>13114</v>
      </c>
      <c r="B4522" s="1" t="s">
        <v>13115</v>
      </c>
      <c r="C4522">
        <f>(1-(B7/100))*223.59</f>
        <v>223.59</v>
      </c>
      <c r="D4522" s="1">
        <v>0</v>
      </c>
      <c r="E4522">
        <f>D4522*C4522</f>
        <v>0</v>
      </c>
      <c r="F4522" s="1" t="s">
        <v>13116</v>
      </c>
      <c r="G4522" s="17">
        <v>82162</v>
      </c>
    </row>
    <row r="4523" spans="1:7">
      <c r="A4523" s="1" t="s">
        <v>13117</v>
      </c>
      <c r="B4523" s="1" t="s">
        <v>13118</v>
      </c>
      <c r="C4523">
        <f>(1-(B7/100))*117.26</f>
        <v>117.26</v>
      </c>
      <c r="D4523" s="1">
        <v>0</v>
      </c>
      <c r="E4523">
        <f>D4523*C4523</f>
        <v>0</v>
      </c>
      <c r="F4523" s="1" t="s">
        <v>13119</v>
      </c>
      <c r="G4523" s="17">
        <v>82166</v>
      </c>
    </row>
    <row r="4524" spans="1:7">
      <c r="A4524" s="1" t="s">
        <v>13120</v>
      </c>
      <c r="B4524" s="1" t="s">
        <v>13121</v>
      </c>
      <c r="C4524">
        <f>(1-(B7/100))*212.9</f>
        <v>212.9</v>
      </c>
      <c r="D4524" s="1">
        <v>0</v>
      </c>
      <c r="E4524">
        <f>D4524*C4524</f>
        <v>0</v>
      </c>
      <c r="F4524" s="1" t="s">
        <v>13122</v>
      </c>
      <c r="G4524" s="17">
        <v>82172</v>
      </c>
    </row>
    <row r="4525" spans="1:7">
      <c r="A4525" s="1" t="s">
        <v>13123</v>
      </c>
      <c r="B4525" s="1" t="s">
        <v>13124</v>
      </c>
      <c r="C4525">
        <f>(1-(B7/100))*221.71</f>
        <v>221.71</v>
      </c>
      <c r="D4525" s="1">
        <v>0</v>
      </c>
      <c r="E4525">
        <f>D4525*C4525</f>
        <v>0</v>
      </c>
      <c r="F4525" s="1" t="s">
        <v>13125</v>
      </c>
      <c r="G4525" s="17">
        <v>82174</v>
      </c>
    </row>
    <row r="4526" spans="1:7">
      <c r="A4526" s="1" t="s">
        <v>13126</v>
      </c>
      <c r="B4526" s="1" t="s">
        <v>13127</v>
      </c>
      <c r="C4526">
        <f>(1-(B7/100))*72.71</f>
        <v>72.71</v>
      </c>
      <c r="D4526" s="1">
        <v>0</v>
      </c>
      <c r="E4526">
        <f>D4526*C4526</f>
        <v>0</v>
      </c>
      <c r="F4526" s="1" t="s">
        <v>13128</v>
      </c>
      <c r="G4526" s="17">
        <v>82176</v>
      </c>
    </row>
    <row r="4527" spans="1:7">
      <c r="A4527" s="1" t="s">
        <v>13129</v>
      </c>
      <c r="B4527" s="1" t="s">
        <v>13130</v>
      </c>
      <c r="C4527">
        <f>(1-(B7/100))*242.54</f>
        <v>242.54</v>
      </c>
      <c r="D4527" s="1">
        <v>0</v>
      </c>
      <c r="E4527">
        <f>D4527*C4527</f>
        <v>0</v>
      </c>
      <c r="F4527" s="1" t="s">
        <v>13131</v>
      </c>
      <c r="G4527" s="17">
        <v>82179</v>
      </c>
    </row>
    <row r="4528" spans="1:7">
      <c r="A4528" s="1" t="s">
        <v>13132</v>
      </c>
      <c r="B4528" s="1" t="s">
        <v>13133</v>
      </c>
      <c r="C4528">
        <f>(1-(B7/100))*65.54</f>
        <v>65.54</v>
      </c>
      <c r="D4528" s="1">
        <v>0</v>
      </c>
      <c r="E4528">
        <f>D4528*C4528</f>
        <v>0</v>
      </c>
      <c r="F4528" s="1" t="s">
        <v>13134</v>
      </c>
      <c r="G4528" s="17">
        <v>82181</v>
      </c>
    </row>
    <row r="4529" spans="1:7">
      <c r="A4529" s="1" t="s">
        <v>13135</v>
      </c>
      <c r="B4529" s="1" t="s">
        <v>13136</v>
      </c>
      <c r="C4529">
        <f>(1-(B7/100))*236.21</f>
        <v>236.21</v>
      </c>
      <c r="D4529" s="1">
        <v>0</v>
      </c>
      <c r="E4529">
        <f>D4529*C4529</f>
        <v>0</v>
      </c>
      <c r="F4529" s="1" t="s">
        <v>13137</v>
      </c>
      <c r="G4529" s="17">
        <v>82187</v>
      </c>
    </row>
    <row r="4530" spans="1:7">
      <c r="A4530" s="1" t="s">
        <v>13138</v>
      </c>
      <c r="B4530" s="1" t="s">
        <v>13139</v>
      </c>
      <c r="C4530">
        <f>(1-(B7/100))*235.31</f>
        <v>235.31</v>
      </c>
      <c r="D4530" s="1">
        <v>0</v>
      </c>
      <c r="E4530">
        <f>D4530*C4530</f>
        <v>0</v>
      </c>
      <c r="F4530" s="1" t="s">
        <v>13140</v>
      </c>
      <c r="G4530" s="17">
        <v>82188</v>
      </c>
    </row>
    <row r="4531" spans="1:7">
      <c r="A4531" s="1" t="s">
        <v>13141</v>
      </c>
      <c r="B4531" s="1" t="s">
        <v>13142</v>
      </c>
      <c r="C4531">
        <f>(1-(B7/100))*236.21</f>
        <v>236.21</v>
      </c>
      <c r="D4531" s="1">
        <v>0</v>
      </c>
      <c r="E4531">
        <f>D4531*C4531</f>
        <v>0</v>
      </c>
      <c r="F4531" s="1" t="s">
        <v>13143</v>
      </c>
      <c r="G4531" s="17">
        <v>82189</v>
      </c>
    </row>
    <row r="4532" spans="1:7">
      <c r="A4532" s="1" t="s">
        <v>13144</v>
      </c>
      <c r="B4532" s="1" t="s">
        <v>13145</v>
      </c>
      <c r="C4532">
        <f>(1-(B7/100))*130.93</f>
        <v>130.93</v>
      </c>
      <c r="D4532" s="1">
        <v>0</v>
      </c>
      <c r="E4532">
        <f>D4532*C4532</f>
        <v>0</v>
      </c>
      <c r="F4532" s="1" t="s">
        <v>13146</v>
      </c>
      <c r="G4532" s="17">
        <v>82190</v>
      </c>
    </row>
    <row r="4533" spans="1:7">
      <c r="A4533" s="1" t="s">
        <v>13147</v>
      </c>
      <c r="B4533" s="1" t="s">
        <v>13148</v>
      </c>
      <c r="C4533">
        <f>(1-(B7/100))*131.84</f>
        <v>131.84</v>
      </c>
      <c r="D4533" s="1">
        <v>0</v>
      </c>
      <c r="E4533">
        <f>D4533*C4533</f>
        <v>0</v>
      </c>
      <c r="F4533" s="1" t="s">
        <v>13149</v>
      </c>
      <c r="G4533" s="17">
        <v>82192</v>
      </c>
    </row>
    <row r="4534" spans="1:7">
      <c r="A4534" s="1" t="s">
        <v>13150</v>
      </c>
      <c r="B4534" s="1" t="s">
        <v>13151</v>
      </c>
      <c r="C4534">
        <f>(1-(B7/100))*130.93</f>
        <v>130.93</v>
      </c>
      <c r="D4534" s="1">
        <v>0</v>
      </c>
      <c r="E4534">
        <f>D4534*C4534</f>
        <v>0</v>
      </c>
      <c r="F4534" s="1" t="s">
        <v>13152</v>
      </c>
      <c r="G4534" s="17">
        <v>82193</v>
      </c>
    </row>
    <row r="4535" spans="1:7">
      <c r="A4535" s="1" t="s">
        <v>13153</v>
      </c>
      <c r="B4535" s="1" t="s">
        <v>13154</v>
      </c>
      <c r="C4535">
        <f>(1-(B7/100))*130.93</f>
        <v>130.93</v>
      </c>
      <c r="D4535" s="1">
        <v>0</v>
      </c>
      <c r="E4535">
        <f>D4535*C4535</f>
        <v>0</v>
      </c>
      <c r="F4535" s="1" t="s">
        <v>13155</v>
      </c>
      <c r="G4535" s="17">
        <v>82194</v>
      </c>
    </row>
    <row r="4536" spans="1:7">
      <c r="A4536" s="1" t="s">
        <v>13156</v>
      </c>
      <c r="B4536" s="1" t="s">
        <v>13157</v>
      </c>
      <c r="C4536">
        <f>(1-(B7/100))*806.57</f>
        <v>806.57</v>
      </c>
      <c r="D4536" s="1">
        <v>0</v>
      </c>
      <c r="E4536">
        <f>D4536*C4536</f>
        <v>0</v>
      </c>
      <c r="F4536" s="1" t="s">
        <v>13158</v>
      </c>
      <c r="G4536" s="17">
        <v>82195</v>
      </c>
    </row>
    <row r="4537" spans="1:7">
      <c r="A4537" s="1" t="s">
        <v>13159</v>
      </c>
      <c r="B4537" s="1" t="s">
        <v>13160</v>
      </c>
      <c r="C4537">
        <f>(1-(B7/100))*93.68</f>
        <v>93.68</v>
      </c>
      <c r="D4537" s="1">
        <v>0</v>
      </c>
      <c r="E4537">
        <f>D4537*C4537</f>
        <v>0</v>
      </c>
      <c r="F4537" s="1" t="s">
        <v>13161</v>
      </c>
      <c r="G4537" s="17">
        <v>82199</v>
      </c>
    </row>
    <row r="4538" spans="1:7">
      <c r="A4538" s="1" t="s">
        <v>13162</v>
      </c>
      <c r="B4538" s="1" t="s">
        <v>13163</v>
      </c>
      <c r="C4538">
        <f>(1-(B7/100))*499.65</f>
        <v>499.65</v>
      </c>
      <c r="D4538" s="1">
        <v>0</v>
      </c>
      <c r="E4538">
        <f>D4538*C4538</f>
        <v>0</v>
      </c>
      <c r="F4538" s="1" t="s">
        <v>13164</v>
      </c>
      <c r="G4538" s="17">
        <v>82205</v>
      </c>
    </row>
    <row r="4539" spans="1:7">
      <c r="A4539" s="1" t="s">
        <v>13165</v>
      </c>
      <c r="B4539" s="1" t="s">
        <v>13166</v>
      </c>
      <c r="C4539">
        <f>(1-(B7/100))*30.17</f>
        <v>30.17</v>
      </c>
      <c r="D4539" s="1">
        <v>0</v>
      </c>
      <c r="E4539">
        <f>D4539*C4539</f>
        <v>0</v>
      </c>
      <c r="F4539" s="1" t="s">
        <v>13167</v>
      </c>
      <c r="G4539" s="17">
        <v>82210</v>
      </c>
    </row>
    <row r="4540" spans="1:7">
      <c r="A4540" s="1" t="s">
        <v>13168</v>
      </c>
      <c r="B4540" s="1" t="s">
        <v>13169</v>
      </c>
      <c r="C4540">
        <f>(1-(B7/100))*19.12</f>
        <v>19.12</v>
      </c>
      <c r="D4540" s="1">
        <v>0</v>
      </c>
      <c r="E4540">
        <f>D4540*C4540</f>
        <v>0</v>
      </c>
      <c r="F4540" s="1" t="s">
        <v>13170</v>
      </c>
      <c r="G4540" s="17">
        <v>82211</v>
      </c>
    </row>
    <row r="4541" spans="1:7">
      <c r="A4541" s="1" t="s">
        <v>13171</v>
      </c>
      <c r="B4541" s="1" t="s">
        <v>13172</v>
      </c>
      <c r="C4541">
        <f>(1-(B7/100))*19.12</f>
        <v>19.12</v>
      </c>
      <c r="D4541" s="1">
        <v>0</v>
      </c>
      <c r="E4541">
        <f>D4541*C4541</f>
        <v>0</v>
      </c>
      <c r="F4541" s="1" t="s">
        <v>13173</v>
      </c>
      <c r="G4541" s="17">
        <v>82212</v>
      </c>
    </row>
    <row r="4542" spans="1:7">
      <c r="A4542" s="1" t="s">
        <v>13174</v>
      </c>
      <c r="B4542" s="1" t="s">
        <v>13175</v>
      </c>
      <c r="C4542">
        <f>(1-(B7/100))*374.73</f>
        <v>374.73</v>
      </c>
      <c r="D4542" s="1">
        <v>0</v>
      </c>
      <c r="E4542">
        <f>D4542*C4542</f>
        <v>0</v>
      </c>
      <c r="F4542" s="1" t="s">
        <v>13176</v>
      </c>
      <c r="G4542" s="17">
        <v>82214</v>
      </c>
    </row>
    <row r="4543" spans="1:7">
      <c r="A4543" s="1" t="s">
        <v>13177</v>
      </c>
      <c r="B4543" s="1" t="s">
        <v>13178</v>
      </c>
      <c r="C4543">
        <f>(1-(B7/100))*645.75</f>
        <v>645.75</v>
      </c>
      <c r="D4543" s="1">
        <v>0</v>
      </c>
      <c r="E4543">
        <f>D4543*C4543</f>
        <v>0</v>
      </c>
      <c r="F4543" s="1" t="s">
        <v>13179</v>
      </c>
      <c r="G4543" s="17">
        <v>82216</v>
      </c>
    </row>
    <row r="4544" spans="1:7">
      <c r="A4544" s="1" t="s">
        <v>13180</v>
      </c>
      <c r="B4544" s="1" t="s">
        <v>13181</v>
      </c>
      <c r="C4544">
        <f>(1-(B7/100))*348.99</f>
        <v>348.99</v>
      </c>
      <c r="D4544" s="1">
        <v>0</v>
      </c>
      <c r="E4544">
        <f>D4544*C4544</f>
        <v>0</v>
      </c>
      <c r="F4544" s="1" t="s">
        <v>13182</v>
      </c>
      <c r="G4544" s="17">
        <v>82218</v>
      </c>
    </row>
    <row r="4545" spans="1:7">
      <c r="A4545" s="1" t="s">
        <v>13183</v>
      </c>
      <c r="B4545" s="1" t="s">
        <v>13184</v>
      </c>
      <c r="C4545">
        <f>(1-(B7/100))*629.76</f>
        <v>629.76</v>
      </c>
      <c r="D4545" s="1">
        <v>0</v>
      </c>
      <c r="E4545">
        <f>D4545*C4545</f>
        <v>0</v>
      </c>
      <c r="F4545" s="1" t="s">
        <v>13185</v>
      </c>
      <c r="G4545" s="17">
        <v>82222</v>
      </c>
    </row>
    <row r="4546" spans="1:7">
      <c r="A4546" s="1" t="s">
        <v>13186</v>
      </c>
      <c r="B4546" s="1" t="s">
        <v>13187</v>
      </c>
      <c r="C4546">
        <f>(1-(B7/100))*179.1</f>
        <v>179.1</v>
      </c>
      <c r="D4546" s="1">
        <v>0</v>
      </c>
      <c r="E4546">
        <f>D4546*C4546</f>
        <v>0</v>
      </c>
      <c r="F4546" s="1" t="s">
        <v>13188</v>
      </c>
      <c r="G4546" s="17">
        <v>82229</v>
      </c>
    </row>
    <row r="4547" spans="1:7">
      <c r="A4547" s="1" t="s">
        <v>13189</v>
      </c>
      <c r="B4547" s="1" t="s">
        <v>13190</v>
      </c>
      <c r="C4547">
        <f>(1-(B7/100))*416.37</f>
        <v>416.37</v>
      </c>
      <c r="D4547" s="1">
        <v>0</v>
      </c>
      <c r="E4547">
        <f>D4547*C4547</f>
        <v>0</v>
      </c>
      <c r="F4547" s="1" t="s">
        <v>13191</v>
      </c>
      <c r="G4547" s="17">
        <v>82230</v>
      </c>
    </row>
    <row r="4548" spans="1:7">
      <c r="A4548" s="1" t="s">
        <v>13192</v>
      </c>
      <c r="B4548" s="1" t="s">
        <v>13193</v>
      </c>
      <c r="C4548">
        <f>(1-(B7/100))*114.57</f>
        <v>114.57</v>
      </c>
      <c r="D4548" s="1">
        <v>0</v>
      </c>
      <c r="E4548">
        <f>D4548*C4548</f>
        <v>0</v>
      </c>
      <c r="F4548" s="1" t="s">
        <v>13194</v>
      </c>
      <c r="G4548" s="17">
        <v>82232</v>
      </c>
    </row>
    <row r="4549" spans="1:7">
      <c r="A4549" s="1" t="s">
        <v>13195</v>
      </c>
      <c r="B4549" s="1" t="s">
        <v>13196</v>
      </c>
      <c r="C4549">
        <f>(1-(B7/100))*128.12</f>
        <v>128.12</v>
      </c>
      <c r="D4549" s="1">
        <v>0</v>
      </c>
      <c r="E4549">
        <f>D4549*C4549</f>
        <v>0</v>
      </c>
      <c r="F4549" s="1" t="s">
        <v>13197</v>
      </c>
      <c r="G4549" s="17">
        <v>82234</v>
      </c>
    </row>
    <row r="4550" spans="1:7">
      <c r="A4550" s="1" t="s">
        <v>13198</v>
      </c>
      <c r="B4550" s="1" t="s">
        <v>13199</v>
      </c>
      <c r="C4550">
        <f>(1-(B7/100))*120</f>
        <v>120</v>
      </c>
      <c r="D4550" s="1">
        <v>0</v>
      </c>
      <c r="E4550">
        <f>D4550*C4550</f>
        <v>0</v>
      </c>
      <c r="F4550" s="1" t="s">
        <v>13200</v>
      </c>
      <c r="G4550" s="17">
        <v>82235</v>
      </c>
    </row>
    <row r="4551" spans="1:7">
      <c r="A4551" s="1" t="s">
        <v>13201</v>
      </c>
      <c r="B4551" s="1" t="s">
        <v>13202</v>
      </c>
      <c r="C4551">
        <f>(1-(B7/100))*248.7</f>
        <v>248.7</v>
      </c>
      <c r="D4551" s="1">
        <v>0</v>
      </c>
      <c r="E4551">
        <f>D4551*C4551</f>
        <v>0</v>
      </c>
      <c r="F4551" s="1" t="s">
        <v>13203</v>
      </c>
      <c r="G4551" s="17">
        <v>82243</v>
      </c>
    </row>
    <row r="4552" spans="1:7">
      <c r="A4552" s="1" t="s">
        <v>13204</v>
      </c>
      <c r="B4552" s="1" t="s">
        <v>13205</v>
      </c>
      <c r="C4552">
        <f>(1-(B7/100))*121.83</f>
        <v>121.83</v>
      </c>
      <c r="D4552" s="1">
        <v>0</v>
      </c>
      <c r="E4552">
        <f>D4552*C4552</f>
        <v>0</v>
      </c>
      <c r="F4552" s="1" t="s">
        <v>13206</v>
      </c>
      <c r="G4552" s="17">
        <v>82252</v>
      </c>
    </row>
    <row r="4553" spans="1:7">
      <c r="A4553" s="1" t="s">
        <v>13207</v>
      </c>
      <c r="B4553" s="1" t="s">
        <v>13208</v>
      </c>
      <c r="C4553">
        <f>(1-(B7/100))*199.12</f>
        <v>199.12</v>
      </c>
      <c r="D4553" s="1">
        <v>0</v>
      </c>
      <c r="E4553">
        <f>D4553*C4553</f>
        <v>0</v>
      </c>
      <c r="F4553" s="1" t="s">
        <v>13209</v>
      </c>
      <c r="G4553" s="17">
        <v>82264</v>
      </c>
    </row>
    <row r="4554" spans="1:7">
      <c r="A4554" s="1" t="s">
        <v>13210</v>
      </c>
      <c r="B4554" s="1" t="s">
        <v>13211</v>
      </c>
      <c r="C4554">
        <f>(1-(B7/100))*390.77</f>
        <v>390.77</v>
      </c>
      <c r="D4554" s="1">
        <v>0</v>
      </c>
      <c r="E4554">
        <f>D4554*C4554</f>
        <v>0</v>
      </c>
      <c r="F4554" s="1" t="s">
        <v>13212</v>
      </c>
      <c r="G4554" s="17">
        <v>82265</v>
      </c>
    </row>
    <row r="4555" spans="1:7">
      <c r="A4555" s="1" t="s">
        <v>13213</v>
      </c>
      <c r="B4555" s="1" t="s">
        <v>13214</v>
      </c>
      <c r="C4555">
        <f>(1-(B7/100))*54.58</f>
        <v>54.58</v>
      </c>
      <c r="D4555" s="1">
        <v>0</v>
      </c>
      <c r="E4555">
        <f>D4555*C4555</f>
        <v>0</v>
      </c>
      <c r="F4555" s="1" t="s">
        <v>13215</v>
      </c>
      <c r="G4555" s="17">
        <v>82270</v>
      </c>
    </row>
    <row r="4556" spans="1:7">
      <c r="A4556" s="1" t="s">
        <v>13216</v>
      </c>
      <c r="B4556" s="1" t="s">
        <v>13217</v>
      </c>
      <c r="C4556">
        <f>(1-(B7/100))*51.07</f>
        <v>51.07</v>
      </c>
      <c r="D4556" s="1">
        <v>0</v>
      </c>
      <c r="E4556">
        <f>D4556*C4556</f>
        <v>0</v>
      </c>
      <c r="F4556" s="1" t="s">
        <v>13218</v>
      </c>
      <c r="G4556" s="17">
        <v>82271</v>
      </c>
    </row>
    <row r="4557" spans="1:7">
      <c r="A4557" s="1" t="s">
        <v>13219</v>
      </c>
      <c r="B4557" s="1" t="s">
        <v>13220</v>
      </c>
      <c r="C4557">
        <f>(1-(B7/100))*141.18</f>
        <v>141.18</v>
      </c>
      <c r="D4557" s="1">
        <v>0</v>
      </c>
      <c r="E4557">
        <f>D4557*C4557</f>
        <v>0</v>
      </c>
      <c r="F4557" s="1" t="s">
        <v>13221</v>
      </c>
      <c r="G4557" s="17">
        <v>82284</v>
      </c>
    </row>
    <row r="4558" spans="1:7">
      <c r="A4558" s="1" t="s">
        <v>13222</v>
      </c>
      <c r="B4558" s="1" t="s">
        <v>13223</v>
      </c>
      <c r="C4558">
        <f>(1-(B7/100))*139.33</f>
        <v>139.33</v>
      </c>
      <c r="D4558" s="1">
        <v>0</v>
      </c>
      <c r="E4558">
        <f>D4558*C4558</f>
        <v>0</v>
      </c>
      <c r="F4558" s="1" t="s">
        <v>13224</v>
      </c>
      <c r="G4558" s="17">
        <v>82286</v>
      </c>
    </row>
    <row r="4559" spans="1:7">
      <c r="A4559" s="1" t="s">
        <v>13225</v>
      </c>
      <c r="B4559" s="1" t="s">
        <v>13226</v>
      </c>
      <c r="C4559">
        <f>(1-(B7/100))*137.62</f>
        <v>137.62</v>
      </c>
      <c r="D4559" s="1">
        <v>0</v>
      </c>
      <c r="E4559">
        <f>D4559*C4559</f>
        <v>0</v>
      </c>
      <c r="F4559" s="1" t="s">
        <v>13227</v>
      </c>
      <c r="G4559" s="17">
        <v>82288</v>
      </c>
    </row>
    <row r="4560" spans="1:7">
      <c r="A4560" s="1" t="s">
        <v>13228</v>
      </c>
      <c r="B4560" s="1" t="s">
        <v>13229</v>
      </c>
      <c r="C4560">
        <f>(1-(B7/100))*141.18</f>
        <v>141.18</v>
      </c>
      <c r="D4560" s="1">
        <v>0</v>
      </c>
      <c r="E4560">
        <f>D4560*C4560</f>
        <v>0</v>
      </c>
      <c r="F4560" s="1" t="s">
        <v>13230</v>
      </c>
      <c r="G4560" s="17">
        <v>82290</v>
      </c>
    </row>
    <row r="4561" spans="1:7">
      <c r="A4561" s="1" t="s">
        <v>13231</v>
      </c>
      <c r="B4561" s="1" t="s">
        <v>13232</v>
      </c>
      <c r="C4561">
        <f>(1-(B7/100))*141.18</f>
        <v>141.18</v>
      </c>
      <c r="D4561" s="1">
        <v>0</v>
      </c>
      <c r="E4561">
        <f>D4561*C4561</f>
        <v>0</v>
      </c>
      <c r="F4561" s="1" t="s">
        <v>13233</v>
      </c>
      <c r="G4561" s="17">
        <v>82291</v>
      </c>
    </row>
    <row r="4562" spans="1:7">
      <c r="A4562" s="1" t="s">
        <v>13234</v>
      </c>
      <c r="B4562" s="1" t="s">
        <v>13235</v>
      </c>
      <c r="C4562">
        <f>(1-(B7/100))*137.62</f>
        <v>137.62</v>
      </c>
      <c r="D4562" s="1">
        <v>0</v>
      </c>
      <c r="E4562">
        <f>D4562*C4562</f>
        <v>0</v>
      </c>
      <c r="F4562" s="1" t="s">
        <v>13236</v>
      </c>
      <c r="G4562" s="17">
        <v>82292</v>
      </c>
    </row>
    <row r="4563" spans="1:7">
      <c r="A4563" s="1" t="s">
        <v>13237</v>
      </c>
      <c r="B4563" s="1" t="s">
        <v>13238</v>
      </c>
      <c r="C4563">
        <f>(1-(B7/100))*137.62</f>
        <v>137.62</v>
      </c>
      <c r="D4563" s="1">
        <v>0</v>
      </c>
      <c r="E4563">
        <f>D4563*C4563</f>
        <v>0</v>
      </c>
      <c r="F4563" s="1" t="s">
        <v>13239</v>
      </c>
      <c r="G4563" s="17">
        <v>82293</v>
      </c>
    </row>
    <row r="4564" spans="1:7">
      <c r="A4564" s="1" t="s">
        <v>13240</v>
      </c>
      <c r="B4564" s="1" t="s">
        <v>13241</v>
      </c>
      <c r="C4564">
        <f>(1-(B7/100))*103.69</f>
        <v>103.69</v>
      </c>
      <c r="D4564" s="1">
        <v>0</v>
      </c>
      <c r="E4564">
        <f>D4564*C4564</f>
        <v>0</v>
      </c>
      <c r="F4564" s="1" t="s">
        <v>13242</v>
      </c>
      <c r="G4564" s="17">
        <v>82294</v>
      </c>
    </row>
    <row r="4565" spans="1:7">
      <c r="A4565" s="1" t="s">
        <v>13243</v>
      </c>
      <c r="B4565" s="1" t="s">
        <v>13244</v>
      </c>
      <c r="C4565">
        <f>(1-(B7/100))*203.95</f>
        <v>203.95</v>
      </c>
      <c r="D4565" s="1">
        <v>0</v>
      </c>
      <c r="E4565">
        <f>D4565*C4565</f>
        <v>0</v>
      </c>
      <c r="F4565" s="1" t="s">
        <v>13245</v>
      </c>
      <c r="G4565" s="17">
        <v>82295</v>
      </c>
    </row>
    <row r="4566" spans="1:7">
      <c r="A4566" s="1" t="s">
        <v>13246</v>
      </c>
      <c r="B4566" s="1" t="s">
        <v>13247</v>
      </c>
      <c r="C4566">
        <f>(1-(B7/100))*88.92</f>
        <v>88.92</v>
      </c>
      <c r="D4566" s="1">
        <v>0</v>
      </c>
      <c r="E4566">
        <f>D4566*C4566</f>
        <v>0</v>
      </c>
      <c r="F4566" s="1" t="s">
        <v>13248</v>
      </c>
      <c r="G4566" s="17">
        <v>82302</v>
      </c>
    </row>
    <row r="4567" spans="1:7">
      <c r="A4567" s="1" t="s">
        <v>13249</v>
      </c>
      <c r="B4567" s="1" t="s">
        <v>13250</v>
      </c>
      <c r="C4567">
        <f>(1-(B7/100))*235.56</f>
        <v>235.56</v>
      </c>
      <c r="D4567" s="1">
        <v>0</v>
      </c>
      <c r="E4567">
        <f>D4567*C4567</f>
        <v>0</v>
      </c>
      <c r="F4567" s="1" t="s">
        <v>13251</v>
      </c>
      <c r="G4567" s="17">
        <v>82303</v>
      </c>
    </row>
    <row r="4568" spans="1:7">
      <c r="A4568" s="1" t="s">
        <v>13252</v>
      </c>
      <c r="B4568" s="1" t="s">
        <v>13253</v>
      </c>
      <c r="C4568">
        <f>(1-(B7/100))*146.21</f>
        <v>146.21</v>
      </c>
      <c r="D4568" s="1">
        <v>0</v>
      </c>
      <c r="E4568">
        <f>D4568*C4568</f>
        <v>0</v>
      </c>
      <c r="F4568" s="1" t="s">
        <v>13254</v>
      </c>
      <c r="G4568" s="17">
        <v>82307</v>
      </c>
    </row>
    <row r="4569" spans="1:7">
      <c r="A4569" s="1" t="s">
        <v>13255</v>
      </c>
      <c r="B4569" s="1" t="s">
        <v>13256</v>
      </c>
      <c r="C4569">
        <f>(1-(B7/100))*16.13</f>
        <v>16.13</v>
      </c>
      <c r="D4569" s="1">
        <v>0</v>
      </c>
      <c r="E4569">
        <f>D4569*C4569</f>
        <v>0</v>
      </c>
      <c r="F4569" s="1" t="s">
        <v>13257</v>
      </c>
      <c r="G4569" s="17">
        <v>82312</v>
      </c>
    </row>
    <row r="4570" spans="1:7">
      <c r="A4570" s="1" t="s">
        <v>13258</v>
      </c>
      <c r="B4570" s="1" t="s">
        <v>13259</v>
      </c>
      <c r="C4570">
        <f>(1-(B7/100))*21.97</f>
        <v>21.97</v>
      </c>
      <c r="D4570" s="1">
        <v>0</v>
      </c>
      <c r="E4570">
        <f>D4570*C4570</f>
        <v>0</v>
      </c>
      <c r="F4570" s="1" t="s">
        <v>13260</v>
      </c>
      <c r="G4570" s="17">
        <v>82313</v>
      </c>
    </row>
    <row r="4571" spans="1:7">
      <c r="A4571" s="1" t="s">
        <v>13261</v>
      </c>
      <c r="B4571" s="1" t="s">
        <v>13262</v>
      </c>
      <c r="C4571">
        <f>(1-(B7/100))*17.83</f>
        <v>17.83</v>
      </c>
      <c r="D4571" s="1">
        <v>0</v>
      </c>
      <c r="E4571">
        <f>D4571*C4571</f>
        <v>0</v>
      </c>
      <c r="F4571" s="1" t="s">
        <v>13263</v>
      </c>
      <c r="G4571" s="17">
        <v>82314</v>
      </c>
    </row>
    <row r="4572" spans="1:7">
      <c r="A4572" s="1" t="s">
        <v>13264</v>
      </c>
      <c r="B4572" s="1" t="s">
        <v>13265</v>
      </c>
      <c r="C4572">
        <f>(1-(B7/100))*28.02</f>
        <v>28.02</v>
      </c>
      <c r="D4572" s="1">
        <v>0</v>
      </c>
      <c r="E4572">
        <f>D4572*C4572</f>
        <v>0</v>
      </c>
      <c r="F4572" s="1" t="s">
        <v>13266</v>
      </c>
      <c r="G4572" s="17">
        <v>82315</v>
      </c>
    </row>
    <row r="4573" spans="1:7">
      <c r="A4573" s="1" t="s">
        <v>13267</v>
      </c>
      <c r="B4573" s="1" t="s">
        <v>13268</v>
      </c>
      <c r="C4573">
        <f>(1-(B7/100))*28.58</f>
        <v>28.58</v>
      </c>
      <c r="D4573" s="1">
        <v>0</v>
      </c>
      <c r="E4573">
        <f>D4573*C4573</f>
        <v>0</v>
      </c>
      <c r="F4573" s="1" t="s">
        <v>13269</v>
      </c>
      <c r="G4573" s="17">
        <v>82316</v>
      </c>
    </row>
    <row r="4574" spans="1:7">
      <c r="A4574" s="1" t="s">
        <v>13270</v>
      </c>
      <c r="B4574" s="1" t="s">
        <v>13271</v>
      </c>
      <c r="C4574">
        <f>(1-(B7/100))*28.31</f>
        <v>28.31</v>
      </c>
      <c r="D4574" s="1">
        <v>0</v>
      </c>
      <c r="E4574">
        <f>D4574*C4574</f>
        <v>0</v>
      </c>
      <c r="F4574" s="1" t="s">
        <v>13272</v>
      </c>
      <c r="G4574" s="17">
        <v>82317</v>
      </c>
    </row>
    <row r="4575" spans="1:7">
      <c r="A4575" s="1" t="s">
        <v>13273</v>
      </c>
      <c r="B4575" s="1" t="s">
        <v>13274</v>
      </c>
      <c r="C4575">
        <f>(1-(B7/100))*22.93</f>
        <v>22.93</v>
      </c>
      <c r="D4575" s="1">
        <v>0</v>
      </c>
      <c r="E4575">
        <f>D4575*C4575</f>
        <v>0</v>
      </c>
      <c r="F4575" s="1" t="s">
        <v>13275</v>
      </c>
      <c r="G4575" s="17">
        <v>82318</v>
      </c>
    </row>
    <row r="4576" spans="1:7">
      <c r="A4576" s="1" t="s">
        <v>13276</v>
      </c>
      <c r="B4576" s="1" t="s">
        <v>13277</v>
      </c>
      <c r="C4576">
        <f>(1-(B7/100))*192.08</f>
        <v>192.08</v>
      </c>
      <c r="D4576" s="1">
        <v>0</v>
      </c>
      <c r="E4576">
        <f>D4576*C4576</f>
        <v>0</v>
      </c>
      <c r="F4576" s="1" t="s">
        <v>13278</v>
      </c>
      <c r="G4576" s="17">
        <v>82323</v>
      </c>
    </row>
    <row r="4577" spans="1:7">
      <c r="A4577" s="1" t="s">
        <v>13279</v>
      </c>
      <c r="B4577" s="1" t="s">
        <v>13280</v>
      </c>
      <c r="C4577">
        <f>(1-(B7/100))*144.75</f>
        <v>144.75</v>
      </c>
      <c r="D4577" s="1">
        <v>0</v>
      </c>
      <c r="E4577">
        <f>D4577*C4577</f>
        <v>0</v>
      </c>
      <c r="F4577" s="1" t="s">
        <v>13281</v>
      </c>
      <c r="G4577" s="17">
        <v>82324</v>
      </c>
    </row>
    <row r="4578" spans="1:7">
      <c r="A4578" s="1" t="s">
        <v>13282</v>
      </c>
      <c r="B4578" s="1" t="s">
        <v>13283</v>
      </c>
      <c r="C4578">
        <f>(1-(B7/100))*218.78</f>
        <v>218.78</v>
      </c>
      <c r="D4578" s="1">
        <v>0</v>
      </c>
      <c r="E4578">
        <f>D4578*C4578</f>
        <v>0</v>
      </c>
      <c r="F4578" s="1" t="s">
        <v>13284</v>
      </c>
      <c r="G4578" s="17">
        <v>82325</v>
      </c>
    </row>
    <row r="4579" spans="1:7">
      <c r="A4579" s="1" t="s">
        <v>13285</v>
      </c>
      <c r="B4579" s="1" t="s">
        <v>13286</v>
      </c>
      <c r="C4579">
        <f>(1-(B7/100))*185.86</f>
        <v>185.86</v>
      </c>
      <c r="D4579" s="1">
        <v>0</v>
      </c>
      <c r="E4579">
        <f>D4579*C4579</f>
        <v>0</v>
      </c>
      <c r="F4579" s="1" t="s">
        <v>13287</v>
      </c>
      <c r="G4579" s="17">
        <v>82326</v>
      </c>
    </row>
    <row r="4580" spans="1:7">
      <c r="A4580" s="1" t="s">
        <v>13288</v>
      </c>
      <c r="B4580" s="1" t="s">
        <v>13289</v>
      </c>
      <c r="C4580">
        <f>(1-(B7/100))*110.8</f>
        <v>110.8</v>
      </c>
      <c r="D4580" s="1">
        <v>0</v>
      </c>
      <c r="E4580">
        <f>D4580*C4580</f>
        <v>0</v>
      </c>
      <c r="F4580" s="1" t="s">
        <v>13290</v>
      </c>
      <c r="G4580" s="17">
        <v>82327</v>
      </c>
    </row>
    <row r="4581" spans="1:7">
      <c r="A4581" s="1" t="s">
        <v>13291</v>
      </c>
      <c r="B4581" s="1" t="s">
        <v>13292</v>
      </c>
      <c r="C4581">
        <f>(1-(B7/100))*119.64</f>
        <v>119.64</v>
      </c>
      <c r="D4581" s="1">
        <v>0</v>
      </c>
      <c r="E4581">
        <f>D4581*C4581</f>
        <v>0</v>
      </c>
      <c r="F4581" s="1" t="s">
        <v>13293</v>
      </c>
      <c r="G4581" s="17">
        <v>82328</v>
      </c>
    </row>
    <row r="4582" spans="1:7">
      <c r="A4582" s="1" t="s">
        <v>13294</v>
      </c>
      <c r="B4582" s="1" t="s">
        <v>13295</v>
      </c>
      <c r="C4582">
        <f>(1-(B7/100))*189.02</f>
        <v>189.02</v>
      </c>
      <c r="D4582" s="1">
        <v>0</v>
      </c>
      <c r="E4582">
        <f>D4582*C4582</f>
        <v>0</v>
      </c>
      <c r="F4582" s="1" t="s">
        <v>13296</v>
      </c>
      <c r="G4582" s="17">
        <v>82329</v>
      </c>
    </row>
    <row r="4583" spans="1:7">
      <c r="A4583" s="1" t="s">
        <v>13297</v>
      </c>
      <c r="B4583" s="1" t="s">
        <v>13298</v>
      </c>
      <c r="C4583">
        <f>(1-(B7/100))*123.29</f>
        <v>123.29</v>
      </c>
      <c r="D4583" s="1">
        <v>0</v>
      </c>
      <c r="E4583">
        <f>D4583*C4583</f>
        <v>0</v>
      </c>
      <c r="F4583" s="1" t="s">
        <v>13299</v>
      </c>
      <c r="G4583" s="17">
        <v>82332</v>
      </c>
    </row>
    <row r="4584" spans="1:7">
      <c r="A4584" s="1" t="s">
        <v>13300</v>
      </c>
      <c r="B4584" s="1" t="s">
        <v>13301</v>
      </c>
      <c r="C4584">
        <f>(1-(B7/100))*93.17</f>
        <v>93.17</v>
      </c>
      <c r="D4584" s="1">
        <v>0</v>
      </c>
      <c r="E4584">
        <f>D4584*C4584</f>
        <v>0</v>
      </c>
      <c r="F4584" s="1" t="s">
        <v>13302</v>
      </c>
      <c r="G4584" s="17">
        <v>82334</v>
      </c>
    </row>
    <row r="4585" spans="1:7">
      <c r="A4585" s="1" t="s">
        <v>13303</v>
      </c>
      <c r="B4585" s="1" t="s">
        <v>13304</v>
      </c>
      <c r="C4585">
        <f>(1-(B7/100))*88.78</f>
        <v>88.78</v>
      </c>
      <c r="D4585" s="1">
        <v>0</v>
      </c>
      <c r="E4585">
        <f>D4585*C4585</f>
        <v>0</v>
      </c>
      <c r="F4585" s="1" t="s">
        <v>13305</v>
      </c>
      <c r="G4585" s="17">
        <v>82335</v>
      </c>
    </row>
    <row r="4586" spans="1:7">
      <c r="A4586" s="1" t="s">
        <v>13306</v>
      </c>
      <c r="B4586" s="1" t="s">
        <v>13307</v>
      </c>
      <c r="C4586">
        <f>(1-(B7/100))*46.07</f>
        <v>46.07</v>
      </c>
      <c r="D4586" s="1">
        <v>0</v>
      </c>
      <c r="E4586">
        <f>D4586*C4586</f>
        <v>0</v>
      </c>
      <c r="F4586" s="1" t="s">
        <v>13308</v>
      </c>
      <c r="G4586" s="17">
        <v>82338</v>
      </c>
    </row>
    <row r="4587" spans="1:7">
      <c r="A4587" s="1" t="s">
        <v>13309</v>
      </c>
      <c r="B4587" s="1" t="s">
        <v>13310</v>
      </c>
      <c r="C4587">
        <f>(1-(B7/100))*50.51</f>
        <v>50.51</v>
      </c>
      <c r="D4587" s="1">
        <v>0</v>
      </c>
      <c r="E4587">
        <f>D4587*C4587</f>
        <v>0</v>
      </c>
      <c r="F4587" s="1" t="s">
        <v>13311</v>
      </c>
      <c r="G4587" s="17">
        <v>82339</v>
      </c>
    </row>
    <row r="4588" spans="1:7">
      <c r="A4588" s="1" t="s">
        <v>13312</v>
      </c>
      <c r="B4588" s="1" t="s">
        <v>13313</v>
      </c>
      <c r="C4588">
        <f>(1-(B7/100))*52.54</f>
        <v>52.54</v>
      </c>
      <c r="D4588" s="1">
        <v>0</v>
      </c>
      <c r="E4588">
        <f>D4588*C4588</f>
        <v>0</v>
      </c>
      <c r="F4588" s="1" t="s">
        <v>13314</v>
      </c>
      <c r="G4588" s="17">
        <v>82340</v>
      </c>
    </row>
    <row r="4589" spans="1:7">
      <c r="A4589" s="1" t="s">
        <v>13315</v>
      </c>
      <c r="B4589" s="1" t="s">
        <v>13316</v>
      </c>
      <c r="C4589">
        <f>(1-(B7/100))*50.51</f>
        <v>50.51</v>
      </c>
      <c r="D4589" s="1">
        <v>0</v>
      </c>
      <c r="E4589">
        <f>D4589*C4589</f>
        <v>0</v>
      </c>
      <c r="F4589" s="1" t="s">
        <v>13317</v>
      </c>
      <c r="G4589" s="17">
        <v>82341</v>
      </c>
    </row>
    <row r="4590" spans="1:7">
      <c r="A4590" s="1" t="s">
        <v>13318</v>
      </c>
      <c r="B4590" s="1" t="s">
        <v>13319</v>
      </c>
      <c r="C4590">
        <f>(1-(B7/100))*49.66</f>
        <v>49.66</v>
      </c>
      <c r="D4590" s="1">
        <v>0</v>
      </c>
      <c r="E4590">
        <f>D4590*C4590</f>
        <v>0</v>
      </c>
      <c r="F4590" s="1" t="s">
        <v>13320</v>
      </c>
      <c r="G4590" s="17">
        <v>82342</v>
      </c>
    </row>
    <row r="4591" spans="1:7">
      <c r="A4591" s="1" t="s">
        <v>13321</v>
      </c>
      <c r="B4591" s="1" t="s">
        <v>13322</v>
      </c>
      <c r="C4591">
        <f>(1-(B7/100))*45.36</f>
        <v>45.36</v>
      </c>
      <c r="D4591" s="1">
        <v>0</v>
      </c>
      <c r="E4591">
        <f>D4591*C4591</f>
        <v>0</v>
      </c>
      <c r="F4591" s="1" t="s">
        <v>13323</v>
      </c>
      <c r="G4591" s="17">
        <v>82343</v>
      </c>
    </row>
    <row r="4592" spans="1:7">
      <c r="A4592" s="1" t="s">
        <v>13324</v>
      </c>
      <c r="B4592" s="1" t="s">
        <v>13325</v>
      </c>
      <c r="C4592">
        <f>(1-(B7/100))*37.97</f>
        <v>37.97</v>
      </c>
      <c r="D4592" s="1">
        <v>0</v>
      </c>
      <c r="E4592">
        <f>D4592*C4592</f>
        <v>0</v>
      </c>
      <c r="F4592" s="1" t="s">
        <v>13326</v>
      </c>
      <c r="G4592" s="17">
        <v>82353</v>
      </c>
    </row>
    <row r="4593" spans="1:7">
      <c r="A4593" s="1" t="s">
        <v>13327</v>
      </c>
      <c r="B4593" s="1" t="s">
        <v>13328</v>
      </c>
      <c r="C4593">
        <f>(1-(B7/100))*40.15</f>
        <v>40.15</v>
      </c>
      <c r="D4593" s="1">
        <v>0</v>
      </c>
      <c r="E4593">
        <f>D4593*C4593</f>
        <v>0</v>
      </c>
      <c r="F4593" s="1" t="s">
        <v>13329</v>
      </c>
      <c r="G4593" s="17">
        <v>82354</v>
      </c>
    </row>
    <row r="4594" spans="1:7">
      <c r="A4594" s="1" t="s">
        <v>13330</v>
      </c>
      <c r="B4594" s="1" t="s">
        <v>13331</v>
      </c>
      <c r="C4594">
        <f>(1-(B7/100))*33.56</f>
        <v>33.56</v>
      </c>
      <c r="D4594" s="1">
        <v>0</v>
      </c>
      <c r="E4594">
        <f>D4594*C4594</f>
        <v>0</v>
      </c>
      <c r="F4594" s="1" t="s">
        <v>13332</v>
      </c>
      <c r="G4594" s="17">
        <v>82355</v>
      </c>
    </row>
    <row r="4595" spans="1:7">
      <c r="A4595" s="1" t="s">
        <v>13333</v>
      </c>
      <c r="B4595" s="1" t="s">
        <v>13334</v>
      </c>
      <c r="C4595">
        <f>(1-(B7/100))*36.52</f>
        <v>36.52</v>
      </c>
      <c r="D4595" s="1">
        <v>0</v>
      </c>
      <c r="E4595">
        <f>D4595*C4595</f>
        <v>0</v>
      </c>
      <c r="F4595" s="1" t="s">
        <v>13335</v>
      </c>
      <c r="G4595" s="17">
        <v>82356</v>
      </c>
    </row>
    <row r="4596" spans="1:7">
      <c r="A4596" s="1" t="s">
        <v>13336</v>
      </c>
      <c r="B4596" s="1" t="s">
        <v>13337</v>
      </c>
      <c r="C4596">
        <f>(1-(B7/100))*33.56</f>
        <v>33.56</v>
      </c>
      <c r="D4596" s="1">
        <v>0</v>
      </c>
      <c r="E4596">
        <f>D4596*C4596</f>
        <v>0</v>
      </c>
      <c r="F4596" s="1" t="s">
        <v>13338</v>
      </c>
      <c r="G4596" s="17">
        <v>82357</v>
      </c>
    </row>
    <row r="4597" spans="1:7">
      <c r="A4597" s="1" t="s">
        <v>13339</v>
      </c>
      <c r="B4597" s="1" t="s">
        <v>13340</v>
      </c>
      <c r="C4597">
        <f>(1-(B7/100))*47.86</f>
        <v>47.86</v>
      </c>
      <c r="D4597" s="1">
        <v>0</v>
      </c>
      <c r="E4597">
        <f>D4597*C4597</f>
        <v>0</v>
      </c>
      <c r="F4597" s="1" t="s">
        <v>13341</v>
      </c>
      <c r="G4597" s="17">
        <v>82358</v>
      </c>
    </row>
    <row r="4598" spans="1:7">
      <c r="A4598" s="1" t="s">
        <v>13342</v>
      </c>
      <c r="B4598" s="1" t="s">
        <v>13343</v>
      </c>
      <c r="C4598">
        <f>(1-(B7/100))*37.29</f>
        <v>37.29</v>
      </c>
      <c r="D4598" s="1">
        <v>0</v>
      </c>
      <c r="E4598">
        <f>D4598*C4598</f>
        <v>0</v>
      </c>
      <c r="F4598" s="1" t="s">
        <v>13344</v>
      </c>
      <c r="G4598" s="17">
        <v>82362</v>
      </c>
    </row>
    <row r="4599" spans="1:7">
      <c r="A4599" s="1" t="s">
        <v>13345</v>
      </c>
      <c r="B4599" s="1" t="s">
        <v>13346</v>
      </c>
      <c r="C4599">
        <f>(1-(B7/100))*44.9</f>
        <v>44.9</v>
      </c>
      <c r="D4599" s="1">
        <v>0</v>
      </c>
      <c r="E4599">
        <f>D4599*C4599</f>
        <v>0</v>
      </c>
      <c r="F4599" s="1" t="s">
        <v>13347</v>
      </c>
      <c r="G4599" s="17">
        <v>82363</v>
      </c>
    </row>
    <row r="4600" spans="1:7">
      <c r="A4600" s="1" t="s">
        <v>13348</v>
      </c>
      <c r="B4600" s="1" t="s">
        <v>13349</v>
      </c>
      <c r="C4600">
        <f>(1-(B7/100))*88.92</f>
        <v>88.92</v>
      </c>
      <c r="D4600" s="1">
        <v>0</v>
      </c>
      <c r="E4600">
        <f>D4600*C4600</f>
        <v>0</v>
      </c>
      <c r="F4600" s="1" t="s">
        <v>13350</v>
      </c>
      <c r="G4600" s="17">
        <v>82364</v>
      </c>
    </row>
    <row r="4601" spans="1:7">
      <c r="A4601" s="1" t="s">
        <v>13351</v>
      </c>
      <c r="B4601" s="1" t="s">
        <v>13352</v>
      </c>
      <c r="C4601">
        <f>(1-(B7/100))*165.99</f>
        <v>165.99</v>
      </c>
      <c r="D4601" s="1">
        <v>0</v>
      </c>
      <c r="E4601">
        <f>D4601*C4601</f>
        <v>0</v>
      </c>
      <c r="F4601" s="1" t="s">
        <v>13353</v>
      </c>
      <c r="G4601" s="17">
        <v>82366</v>
      </c>
    </row>
    <row r="4602" spans="1:7">
      <c r="A4602" s="1" t="s">
        <v>13354</v>
      </c>
      <c r="B4602" s="1" t="s">
        <v>13355</v>
      </c>
      <c r="C4602">
        <f>(1-(B7/100))*229.83</f>
        <v>229.83</v>
      </c>
      <c r="D4602" s="1">
        <v>0</v>
      </c>
      <c r="E4602">
        <f>D4602*C4602</f>
        <v>0</v>
      </c>
      <c r="F4602" s="1" t="s">
        <v>13356</v>
      </c>
      <c r="G4602" s="17">
        <v>82370</v>
      </c>
    </row>
    <row r="4603" spans="1:7">
      <c r="A4603" s="1" t="s">
        <v>13357</v>
      </c>
      <c r="B4603" s="1" t="s">
        <v>13358</v>
      </c>
      <c r="C4603">
        <f>(1-(B7/100))*59.85</f>
        <v>59.85</v>
      </c>
      <c r="D4603" s="1">
        <v>0</v>
      </c>
      <c r="E4603">
        <f>D4603*C4603</f>
        <v>0</v>
      </c>
      <c r="F4603" s="1" t="s">
        <v>13359</v>
      </c>
      <c r="G4603" s="17">
        <v>82373</v>
      </c>
    </row>
    <row r="4604" spans="1:7">
      <c r="A4604" s="1" t="s">
        <v>13360</v>
      </c>
      <c r="B4604" s="1" t="s">
        <v>13361</v>
      </c>
      <c r="C4604">
        <f>(1-(B7/100))*27.33</f>
        <v>27.33</v>
      </c>
      <c r="D4604" s="1">
        <v>0</v>
      </c>
      <c r="E4604">
        <f>D4604*C4604</f>
        <v>0</v>
      </c>
      <c r="F4604" s="1" t="s">
        <v>13362</v>
      </c>
      <c r="G4604" s="17">
        <v>82374</v>
      </c>
    </row>
    <row r="4605" spans="1:7">
      <c r="A4605" s="1" t="s">
        <v>13363</v>
      </c>
      <c r="B4605" s="1" t="s">
        <v>13364</v>
      </c>
      <c r="C4605">
        <f>(1-(B7/100))*40.15</f>
        <v>40.15</v>
      </c>
      <c r="D4605" s="1">
        <v>0</v>
      </c>
      <c r="E4605">
        <f>D4605*C4605</f>
        <v>0</v>
      </c>
      <c r="F4605" s="1" t="s">
        <v>13365</v>
      </c>
      <c r="G4605" s="17">
        <v>82375</v>
      </c>
    </row>
    <row r="4606" spans="1:7">
      <c r="A4606" s="1" t="s">
        <v>13366</v>
      </c>
      <c r="B4606" s="1" t="s">
        <v>13367</v>
      </c>
      <c r="C4606">
        <f>(1-(B7/100))*21.84</f>
        <v>21.84</v>
      </c>
      <c r="D4606" s="1">
        <v>0</v>
      </c>
      <c r="E4606">
        <f>D4606*C4606</f>
        <v>0</v>
      </c>
      <c r="F4606" s="1" t="s">
        <v>13368</v>
      </c>
      <c r="G4606" s="17">
        <v>82376</v>
      </c>
    </row>
    <row r="4607" spans="1:7">
      <c r="A4607" s="1" t="s">
        <v>13369</v>
      </c>
      <c r="B4607" s="1" t="s">
        <v>13370</v>
      </c>
      <c r="C4607">
        <f>(1-(B7/100))*260.51</f>
        <v>260.51</v>
      </c>
      <c r="D4607" s="1">
        <v>0</v>
      </c>
      <c r="E4607">
        <f>D4607*C4607</f>
        <v>0</v>
      </c>
      <c r="F4607" s="1" t="s">
        <v>13371</v>
      </c>
      <c r="G4607" s="17">
        <v>82380</v>
      </c>
    </row>
    <row r="4608" spans="1:7">
      <c r="A4608" s="1" t="s">
        <v>13372</v>
      </c>
      <c r="B4608" s="1" t="s">
        <v>13373</v>
      </c>
      <c r="C4608">
        <f>(1-(B7/100))*170.19</f>
        <v>170.19</v>
      </c>
      <c r="D4608" s="1">
        <v>0</v>
      </c>
      <c r="E4608">
        <f>D4608*C4608</f>
        <v>0</v>
      </c>
      <c r="F4608" s="1" t="s">
        <v>13374</v>
      </c>
      <c r="G4608" s="17">
        <v>82383</v>
      </c>
    </row>
    <row r="4609" spans="1:7">
      <c r="A4609" s="1" t="s">
        <v>13375</v>
      </c>
      <c r="B4609" s="1" t="s">
        <v>13376</v>
      </c>
      <c r="C4609">
        <f>(1-(B7/100))*410.33</f>
        <v>410.33</v>
      </c>
      <c r="D4609" s="1">
        <v>0</v>
      </c>
      <c r="E4609">
        <f>D4609*C4609</f>
        <v>0</v>
      </c>
      <c r="F4609" s="1" t="s">
        <v>13377</v>
      </c>
      <c r="G4609" s="17">
        <v>82384</v>
      </c>
    </row>
    <row r="4610" spans="1:7">
      <c r="A4610" s="1" t="s">
        <v>13378</v>
      </c>
      <c r="B4610" s="1" t="s">
        <v>13379</v>
      </c>
      <c r="C4610">
        <f>(1-(B7/100))*45.6</f>
        <v>45.6</v>
      </c>
      <c r="D4610" s="1">
        <v>0</v>
      </c>
      <c r="E4610">
        <f>D4610*C4610</f>
        <v>0</v>
      </c>
      <c r="F4610" s="1" t="s">
        <v>13380</v>
      </c>
      <c r="G4610" s="17">
        <v>82389</v>
      </c>
    </row>
    <row r="4611" spans="1:7">
      <c r="A4611" s="1" t="s">
        <v>13381</v>
      </c>
      <c r="B4611" s="1" t="s">
        <v>13382</v>
      </c>
      <c r="C4611">
        <f>(1-(B7/100))*300.35</f>
        <v>300.35</v>
      </c>
      <c r="D4611" s="1">
        <v>0</v>
      </c>
      <c r="E4611">
        <f>D4611*C4611</f>
        <v>0</v>
      </c>
      <c r="F4611" s="1" t="s">
        <v>13383</v>
      </c>
      <c r="G4611" s="17">
        <v>82396</v>
      </c>
    </row>
    <row r="4612" spans="1:7">
      <c r="A4612" s="1" t="s">
        <v>13384</v>
      </c>
      <c r="B4612" s="1" t="s">
        <v>13385</v>
      </c>
      <c r="C4612">
        <f>(1-(B7/100))*266.57</f>
        <v>266.57</v>
      </c>
      <c r="D4612" s="1">
        <v>0</v>
      </c>
      <c r="E4612">
        <f>D4612*C4612</f>
        <v>0</v>
      </c>
      <c r="F4612" s="1" t="s">
        <v>13386</v>
      </c>
      <c r="G4612" s="17">
        <v>82400</v>
      </c>
    </row>
    <row r="4613" spans="1:7">
      <c r="A4613" s="1">
        <v>16107862</v>
      </c>
      <c r="B4613" s="1" t="s">
        <v>13387</v>
      </c>
      <c r="C4613">
        <f>(1-(B7/100))*780.7</f>
        <v>780.7</v>
      </c>
      <c r="D4613" s="1">
        <v>0</v>
      </c>
      <c r="E4613">
        <f>D4613*C4613</f>
        <v>0</v>
      </c>
      <c r="F4613" s="1" t="s">
        <v>13388</v>
      </c>
      <c r="G4613" s="17">
        <v>82404</v>
      </c>
    </row>
    <row r="4614" spans="1:7">
      <c r="A4614" s="1" t="s">
        <v>13389</v>
      </c>
      <c r="B4614" s="1" t="s">
        <v>13390</v>
      </c>
      <c r="C4614">
        <f>(1-(B7/100))*1788.09</f>
        <v>1788.09</v>
      </c>
      <c r="D4614" s="1">
        <v>0</v>
      </c>
      <c r="E4614">
        <f>D4614*C4614</f>
        <v>0</v>
      </c>
      <c r="F4614" s="1" t="s">
        <v>13391</v>
      </c>
      <c r="G4614" s="17">
        <v>82406</v>
      </c>
    </row>
    <row r="4615" spans="1:7">
      <c r="A4615" s="1" t="s">
        <v>13392</v>
      </c>
      <c r="B4615" s="1" t="s">
        <v>13393</v>
      </c>
      <c r="C4615">
        <f>(1-(B7/100))*258.39</f>
        <v>258.39</v>
      </c>
      <c r="D4615" s="1">
        <v>0</v>
      </c>
      <c r="E4615">
        <f>D4615*C4615</f>
        <v>0</v>
      </c>
      <c r="F4615" s="1" t="s">
        <v>13394</v>
      </c>
      <c r="G4615" s="17">
        <v>82410</v>
      </c>
    </row>
    <row r="4616" spans="1:7">
      <c r="A4616" s="1" t="s">
        <v>13395</v>
      </c>
      <c r="B4616" s="1" t="s">
        <v>13396</v>
      </c>
      <c r="C4616">
        <f>(1-(B7/100))*598.13</f>
        <v>598.13</v>
      </c>
      <c r="D4616" s="1">
        <v>0</v>
      </c>
      <c r="E4616">
        <f>D4616*C4616</f>
        <v>0</v>
      </c>
      <c r="F4616" s="1" t="s">
        <v>13397</v>
      </c>
      <c r="G4616" s="17">
        <v>82412</v>
      </c>
    </row>
    <row r="4617" spans="1:7">
      <c r="A4617" s="1" t="s">
        <v>13398</v>
      </c>
      <c r="B4617" s="1" t="s">
        <v>13399</v>
      </c>
      <c r="C4617">
        <f>(1-(B7/100))*45.6</f>
        <v>45.6</v>
      </c>
      <c r="D4617" s="1">
        <v>0</v>
      </c>
      <c r="E4617">
        <f>D4617*C4617</f>
        <v>0</v>
      </c>
      <c r="F4617" s="1" t="s">
        <v>13400</v>
      </c>
      <c r="G4617" s="17">
        <v>82413</v>
      </c>
    </row>
    <row r="4618" spans="1:7">
      <c r="A4618" s="1" t="s">
        <v>13401</v>
      </c>
      <c r="B4618" s="1" t="s">
        <v>13402</v>
      </c>
      <c r="C4618">
        <f>(1-(B7/100))*193.57</f>
        <v>193.57</v>
      </c>
      <c r="D4618" s="1">
        <v>0</v>
      </c>
      <c r="E4618">
        <f>D4618*C4618</f>
        <v>0</v>
      </c>
      <c r="F4618" s="1" t="s">
        <v>13403</v>
      </c>
      <c r="G4618" s="17">
        <v>82416</v>
      </c>
    </row>
    <row r="4619" spans="1:7">
      <c r="A4619" s="1" t="s">
        <v>13404</v>
      </c>
      <c r="B4619" s="1" t="s">
        <v>13405</v>
      </c>
      <c r="C4619">
        <f>(1-(B7/100))*77.43</f>
        <v>77.43</v>
      </c>
      <c r="D4619" s="1">
        <v>0</v>
      </c>
      <c r="E4619">
        <f>D4619*C4619</f>
        <v>0</v>
      </c>
      <c r="F4619" s="1" t="s">
        <v>13406</v>
      </c>
      <c r="G4619" s="17">
        <v>82419</v>
      </c>
    </row>
    <row r="4620" spans="1:7">
      <c r="A4620" s="1" t="s">
        <v>13407</v>
      </c>
      <c r="B4620" s="1" t="s">
        <v>13408</v>
      </c>
      <c r="C4620">
        <f>(1-(B7/100))*125.35</f>
        <v>125.35</v>
      </c>
      <c r="D4620" s="1">
        <v>0</v>
      </c>
      <c r="E4620">
        <f>D4620*C4620</f>
        <v>0</v>
      </c>
      <c r="F4620" s="1" t="s">
        <v>13409</v>
      </c>
      <c r="G4620" s="17">
        <v>82421</v>
      </c>
    </row>
    <row r="4621" spans="1:7">
      <c r="A4621" s="1" t="s">
        <v>13410</v>
      </c>
      <c r="B4621" s="1" t="s">
        <v>13411</v>
      </c>
      <c r="C4621">
        <f>(1-(B7/100))*113.99</f>
        <v>113.99</v>
      </c>
      <c r="D4621" s="1">
        <v>0</v>
      </c>
      <c r="E4621">
        <f>D4621*C4621</f>
        <v>0</v>
      </c>
      <c r="F4621" s="1" t="s">
        <v>13412</v>
      </c>
      <c r="G4621" s="17">
        <v>82423</v>
      </c>
    </row>
    <row r="4622" spans="1:7">
      <c r="A4622" s="1" t="s">
        <v>13413</v>
      </c>
      <c r="B4622" s="1" t="s">
        <v>13414</v>
      </c>
      <c r="C4622">
        <f>(1-(B7/100))*79.24</f>
        <v>79.24</v>
      </c>
      <c r="D4622" s="1">
        <v>0</v>
      </c>
      <c r="E4622">
        <f>D4622*C4622</f>
        <v>0</v>
      </c>
      <c r="F4622" s="1" t="s">
        <v>13415</v>
      </c>
      <c r="G4622" s="17">
        <v>82426</v>
      </c>
    </row>
    <row r="4623" spans="1:7">
      <c r="A4623" s="1" t="s">
        <v>13416</v>
      </c>
      <c r="B4623" s="1" t="s">
        <v>13417</v>
      </c>
      <c r="C4623">
        <f>(1-(B7/100))*127.99</f>
        <v>127.99</v>
      </c>
      <c r="D4623" s="1">
        <v>0</v>
      </c>
      <c r="E4623">
        <f>D4623*C4623</f>
        <v>0</v>
      </c>
      <c r="F4623" s="1" t="s">
        <v>13418</v>
      </c>
      <c r="G4623" s="17">
        <v>82427</v>
      </c>
    </row>
    <row r="4624" spans="1:7">
      <c r="A4624" s="1" t="s">
        <v>13419</v>
      </c>
      <c r="B4624" s="1" t="s">
        <v>13420</v>
      </c>
      <c r="C4624">
        <f>(1-(B7/100))*46.81</f>
        <v>46.81</v>
      </c>
      <c r="D4624" s="1">
        <v>0</v>
      </c>
      <c r="E4624">
        <f>D4624*C4624</f>
        <v>0</v>
      </c>
      <c r="F4624" s="1" t="s">
        <v>13421</v>
      </c>
      <c r="G4624" s="17">
        <v>82428</v>
      </c>
    </row>
    <row r="4625" spans="1:7">
      <c r="A4625" s="1" t="s">
        <v>13422</v>
      </c>
      <c r="B4625" s="1" t="s">
        <v>13340</v>
      </c>
      <c r="C4625">
        <f>(1-(B7/100))*47.86</f>
        <v>47.86</v>
      </c>
      <c r="D4625" s="1">
        <v>0</v>
      </c>
      <c r="E4625">
        <f>D4625*C4625</f>
        <v>0</v>
      </c>
      <c r="F4625" s="1" t="s">
        <v>13423</v>
      </c>
      <c r="G4625" s="17">
        <v>82433</v>
      </c>
    </row>
    <row r="4626" spans="1:7">
      <c r="A4626" s="1" t="s">
        <v>13424</v>
      </c>
      <c r="B4626" s="1" t="s">
        <v>13425</v>
      </c>
      <c r="C4626">
        <f>(1-(B7/100))*24.77</f>
        <v>24.77</v>
      </c>
      <c r="D4626" s="1">
        <v>0</v>
      </c>
      <c r="E4626">
        <f>D4626*C4626</f>
        <v>0</v>
      </c>
      <c r="F4626" s="1" t="s">
        <v>13426</v>
      </c>
      <c r="G4626" s="17">
        <v>82436</v>
      </c>
    </row>
    <row r="4627" spans="1:7">
      <c r="A4627" s="1" t="s">
        <v>13427</v>
      </c>
      <c r="B4627" s="1" t="s">
        <v>13428</v>
      </c>
      <c r="C4627">
        <f>(1-(B7/100))*27.71</f>
        <v>27.71</v>
      </c>
      <c r="D4627" s="1">
        <v>0</v>
      </c>
      <c r="E4627">
        <f>D4627*C4627</f>
        <v>0</v>
      </c>
      <c r="F4627" s="1" t="s">
        <v>13429</v>
      </c>
      <c r="G4627" s="17">
        <v>82437</v>
      </c>
    </row>
    <row r="4628" spans="1:7">
      <c r="A4628" s="1" t="s">
        <v>13430</v>
      </c>
      <c r="B4628" s="1" t="s">
        <v>13431</v>
      </c>
      <c r="C4628">
        <f>(1-(B7/100))*24.77</f>
        <v>24.77</v>
      </c>
      <c r="D4628" s="1">
        <v>0</v>
      </c>
      <c r="E4628">
        <f>D4628*C4628</f>
        <v>0</v>
      </c>
      <c r="F4628" s="1" t="s">
        <v>13432</v>
      </c>
      <c r="G4628" s="17">
        <v>82438</v>
      </c>
    </row>
    <row r="4629" spans="1:7">
      <c r="A4629" s="1" t="s">
        <v>13433</v>
      </c>
      <c r="B4629" s="1" t="s">
        <v>13434</v>
      </c>
      <c r="C4629">
        <f>(1-(B7/100))*43.98</f>
        <v>43.98</v>
      </c>
      <c r="D4629" s="1">
        <v>0</v>
      </c>
      <c r="E4629">
        <f>D4629*C4629</f>
        <v>0</v>
      </c>
      <c r="F4629" s="1" t="s">
        <v>13435</v>
      </c>
      <c r="G4629" s="17">
        <v>82442</v>
      </c>
    </row>
    <row r="4630" spans="1:7">
      <c r="A4630" s="1" t="s">
        <v>13436</v>
      </c>
      <c r="B4630" s="1" t="s">
        <v>13437</v>
      </c>
      <c r="C4630">
        <f>(1-(B7/100))*75.03</f>
        <v>75.03</v>
      </c>
      <c r="D4630" s="1">
        <v>0</v>
      </c>
      <c r="E4630">
        <f>D4630*C4630</f>
        <v>0</v>
      </c>
      <c r="F4630" s="1" t="s">
        <v>13438</v>
      </c>
      <c r="G4630" s="17">
        <v>82443</v>
      </c>
    </row>
    <row r="4631" spans="1:7">
      <c r="A4631" s="1" t="s">
        <v>13439</v>
      </c>
      <c r="B4631" s="1" t="s">
        <v>13440</v>
      </c>
      <c r="C4631">
        <f>(1-(B7/100))*145.93</f>
        <v>145.93</v>
      </c>
      <c r="D4631" s="1">
        <v>0</v>
      </c>
      <c r="E4631">
        <f>D4631*C4631</f>
        <v>0</v>
      </c>
      <c r="F4631" s="1" t="s">
        <v>13441</v>
      </c>
      <c r="G4631" s="17">
        <v>82447</v>
      </c>
    </row>
    <row r="4632" spans="1:7">
      <c r="A4632" s="1" t="s">
        <v>13442</v>
      </c>
      <c r="B4632" s="1" t="s">
        <v>13443</v>
      </c>
      <c r="C4632">
        <f>(1-(B7/100))*179.13</f>
        <v>179.13</v>
      </c>
      <c r="D4632" s="1">
        <v>0</v>
      </c>
      <c r="E4632">
        <f>D4632*C4632</f>
        <v>0</v>
      </c>
      <c r="F4632" s="1" t="s">
        <v>13444</v>
      </c>
      <c r="G4632" s="17">
        <v>82448</v>
      </c>
    </row>
    <row r="4633" spans="1:7">
      <c r="A4633" s="1" t="s">
        <v>13445</v>
      </c>
      <c r="B4633" s="1" t="s">
        <v>13446</v>
      </c>
      <c r="C4633">
        <f>(1-(B7/100))*144.75</f>
        <v>144.75</v>
      </c>
      <c r="D4633" s="1">
        <v>0</v>
      </c>
      <c r="E4633">
        <f>D4633*C4633</f>
        <v>0</v>
      </c>
      <c r="F4633" s="1" t="s">
        <v>13447</v>
      </c>
      <c r="G4633" s="17">
        <v>82452</v>
      </c>
    </row>
    <row r="4634" spans="1:7">
      <c r="A4634" s="1" t="s">
        <v>13448</v>
      </c>
      <c r="B4634" s="1" t="s">
        <v>13449</v>
      </c>
      <c r="C4634">
        <f>(1-(B7/100))*1249.97</f>
        <v>1249.97</v>
      </c>
      <c r="D4634" s="1">
        <v>0</v>
      </c>
      <c r="E4634">
        <f>D4634*C4634</f>
        <v>0</v>
      </c>
      <c r="F4634" s="1" t="s">
        <v>13450</v>
      </c>
      <c r="G4634" s="17">
        <v>82460</v>
      </c>
    </row>
    <row r="4635" spans="1:7">
      <c r="A4635" s="1" t="s">
        <v>13451</v>
      </c>
      <c r="B4635" s="1" t="s">
        <v>13452</v>
      </c>
      <c r="C4635">
        <f>(1-(B7/100))*191.04</f>
        <v>191.04</v>
      </c>
      <c r="D4635" s="1">
        <v>0</v>
      </c>
      <c r="E4635">
        <f>D4635*C4635</f>
        <v>0</v>
      </c>
      <c r="F4635" s="1" t="s">
        <v>13453</v>
      </c>
      <c r="G4635" s="17">
        <v>82469</v>
      </c>
    </row>
    <row r="4636" spans="1:7">
      <c r="A4636" s="1" t="s">
        <v>13454</v>
      </c>
      <c r="B4636" s="1" t="s">
        <v>13455</v>
      </c>
      <c r="C4636">
        <f>(1-(B7/100))*312.28</f>
        <v>312.28</v>
      </c>
      <c r="D4636" s="1">
        <v>0</v>
      </c>
      <c r="E4636">
        <f>D4636*C4636</f>
        <v>0</v>
      </c>
      <c r="F4636" s="1" t="s">
        <v>13456</v>
      </c>
      <c r="G4636" s="17">
        <v>82470</v>
      </c>
    </row>
    <row r="4637" spans="1:7">
      <c r="A4637" s="1" t="s">
        <v>13457</v>
      </c>
      <c r="B4637" s="1" t="s">
        <v>13458</v>
      </c>
      <c r="C4637">
        <f>(1-(B7/100))*262.67</f>
        <v>262.67</v>
      </c>
      <c r="D4637" s="1">
        <v>0</v>
      </c>
      <c r="E4637">
        <f>D4637*C4637</f>
        <v>0</v>
      </c>
      <c r="F4637" s="1" t="s">
        <v>13459</v>
      </c>
      <c r="G4637" s="17">
        <v>82474</v>
      </c>
    </row>
    <row r="4638" spans="1:7">
      <c r="A4638" s="1" t="s">
        <v>13460</v>
      </c>
      <c r="B4638" s="1" t="s">
        <v>13461</v>
      </c>
      <c r="C4638">
        <f>(1-(B7/100))*172.68</f>
        <v>172.68</v>
      </c>
      <c r="D4638" s="1">
        <v>0</v>
      </c>
      <c r="E4638">
        <f>D4638*C4638</f>
        <v>0</v>
      </c>
      <c r="F4638" s="1" t="s">
        <v>13462</v>
      </c>
      <c r="G4638" s="17">
        <v>82475</v>
      </c>
    </row>
    <row r="4639" spans="1:7">
      <c r="A4639" s="1" t="s">
        <v>13463</v>
      </c>
      <c r="B4639" s="1" t="s">
        <v>13464</v>
      </c>
      <c r="C4639">
        <f>(1-(B7/100))*218.25</f>
        <v>218.25</v>
      </c>
      <c r="D4639" s="1">
        <v>0</v>
      </c>
      <c r="E4639">
        <f>D4639*C4639</f>
        <v>0</v>
      </c>
      <c r="F4639" s="1" t="s">
        <v>13465</v>
      </c>
      <c r="G4639" s="17">
        <v>82476</v>
      </c>
    </row>
    <row r="4640" spans="1:7">
      <c r="A4640" s="1" t="s">
        <v>13466</v>
      </c>
      <c r="B4640" s="1" t="s">
        <v>13467</v>
      </c>
      <c r="C4640">
        <f>(1-(B7/100))*240.2</f>
        <v>240.2</v>
      </c>
      <c r="D4640" s="1">
        <v>0</v>
      </c>
      <c r="E4640">
        <f>D4640*C4640</f>
        <v>0</v>
      </c>
      <c r="F4640" s="1" t="s">
        <v>13468</v>
      </c>
      <c r="G4640" s="17">
        <v>82477</v>
      </c>
    </row>
    <row r="4641" spans="1:7">
      <c r="A4641" s="1" t="s">
        <v>13469</v>
      </c>
      <c r="B4641" s="1" t="s">
        <v>13470</v>
      </c>
      <c r="C4641">
        <f>(1-(B7/100))*226.67</f>
        <v>226.67</v>
      </c>
      <c r="D4641" s="1">
        <v>0</v>
      </c>
      <c r="E4641">
        <f>D4641*C4641</f>
        <v>0</v>
      </c>
      <c r="F4641" s="1" t="s">
        <v>13471</v>
      </c>
      <c r="G4641" s="17">
        <v>82479</v>
      </c>
    </row>
    <row r="4642" spans="1:7">
      <c r="A4642" s="1" t="s">
        <v>13472</v>
      </c>
      <c r="B4642" s="1" t="s">
        <v>13473</v>
      </c>
      <c r="C4642">
        <f>(1-(B7/100))*213.35</f>
        <v>213.35</v>
      </c>
      <c r="D4642" s="1">
        <v>0</v>
      </c>
      <c r="E4642">
        <f>D4642*C4642</f>
        <v>0</v>
      </c>
      <c r="F4642" s="1" t="s">
        <v>13474</v>
      </c>
      <c r="G4642" s="17">
        <v>82480</v>
      </c>
    </row>
    <row r="4643" spans="1:7">
      <c r="A4643" s="1" t="s">
        <v>13475</v>
      </c>
      <c r="B4643" s="1" t="s">
        <v>13476</v>
      </c>
      <c r="C4643">
        <f>(1-(B7/100))*135.31</f>
        <v>135.31</v>
      </c>
      <c r="D4643" s="1">
        <v>0</v>
      </c>
      <c r="E4643">
        <f>D4643*C4643</f>
        <v>0</v>
      </c>
      <c r="F4643" s="1" t="s">
        <v>13477</v>
      </c>
      <c r="G4643" s="17">
        <v>82482</v>
      </c>
    </row>
    <row r="4644" spans="1:7">
      <c r="A4644" s="1" t="s">
        <v>13478</v>
      </c>
      <c r="B4644" s="1" t="s">
        <v>13479</v>
      </c>
      <c r="C4644">
        <f>(1-(B7/100))*394.63</f>
        <v>394.63</v>
      </c>
      <c r="D4644" s="1">
        <v>0</v>
      </c>
      <c r="E4644">
        <f>D4644*C4644</f>
        <v>0</v>
      </c>
      <c r="F4644" s="1" t="s">
        <v>13480</v>
      </c>
      <c r="G4644" s="17">
        <v>82483</v>
      </c>
    </row>
    <row r="4645" spans="1:7">
      <c r="A4645" s="1" t="s">
        <v>13481</v>
      </c>
      <c r="B4645" s="1" t="s">
        <v>13482</v>
      </c>
      <c r="C4645">
        <f>(1-(B7/100))*151.07</f>
        <v>151.07</v>
      </c>
      <c r="D4645" s="1">
        <v>0</v>
      </c>
      <c r="E4645">
        <f>D4645*C4645</f>
        <v>0</v>
      </c>
      <c r="F4645" s="1" t="s">
        <v>13483</v>
      </c>
      <c r="G4645" s="17">
        <v>82485</v>
      </c>
    </row>
    <row r="4646" spans="1:7">
      <c r="A4646" s="1" t="s">
        <v>13484</v>
      </c>
      <c r="B4646" s="1" t="s">
        <v>13485</v>
      </c>
      <c r="C4646">
        <f>(1-(B7/100))*71.79</f>
        <v>71.79</v>
      </c>
      <c r="D4646" s="1">
        <v>0</v>
      </c>
      <c r="E4646">
        <f>D4646*C4646</f>
        <v>0</v>
      </c>
      <c r="F4646" s="1" t="s">
        <v>13486</v>
      </c>
      <c r="G4646" s="17">
        <v>82488</v>
      </c>
    </row>
    <row r="4647" spans="1:7">
      <c r="A4647" s="1" t="s">
        <v>13487</v>
      </c>
      <c r="B4647" s="1" t="s">
        <v>13488</v>
      </c>
      <c r="C4647">
        <f>(1-(B7/100))*115.11</f>
        <v>115.11</v>
      </c>
      <c r="D4647" s="1">
        <v>0</v>
      </c>
      <c r="E4647">
        <f>D4647*C4647</f>
        <v>0</v>
      </c>
      <c r="F4647" s="1" t="s">
        <v>13489</v>
      </c>
      <c r="G4647" s="17">
        <v>82489</v>
      </c>
    </row>
    <row r="4648" spans="1:7">
      <c r="A4648" s="1" t="s">
        <v>13490</v>
      </c>
      <c r="B4648" s="1" t="s">
        <v>13491</v>
      </c>
      <c r="C4648">
        <f>(1-(B7/100))*372.33</f>
        <v>372.33</v>
      </c>
      <c r="D4648" s="1">
        <v>0</v>
      </c>
      <c r="E4648">
        <f>D4648*C4648</f>
        <v>0</v>
      </c>
      <c r="F4648" s="1" t="s">
        <v>13492</v>
      </c>
      <c r="G4648" s="17">
        <v>82502</v>
      </c>
    </row>
    <row r="4649" spans="1:7">
      <c r="A4649" s="1" t="s">
        <v>13493</v>
      </c>
      <c r="B4649" s="1" t="s">
        <v>13494</v>
      </c>
      <c r="C4649">
        <f>(1-(B7/100))*372.33</f>
        <v>372.33</v>
      </c>
      <c r="D4649" s="1">
        <v>0</v>
      </c>
      <c r="E4649">
        <f>D4649*C4649</f>
        <v>0</v>
      </c>
      <c r="F4649" s="1" t="s">
        <v>13495</v>
      </c>
      <c r="G4649" s="17">
        <v>82503</v>
      </c>
    </row>
    <row r="4650" spans="1:7">
      <c r="A4650" s="1" t="s">
        <v>13496</v>
      </c>
      <c r="B4650" s="1" t="s">
        <v>13497</v>
      </c>
      <c r="C4650">
        <f>(1-(B7/100))*372.33</f>
        <v>372.33</v>
      </c>
      <c r="D4650" s="1">
        <v>0</v>
      </c>
      <c r="E4650">
        <f>D4650*C4650</f>
        <v>0</v>
      </c>
      <c r="F4650" s="1" t="s">
        <v>13498</v>
      </c>
      <c r="G4650" s="17">
        <v>82504</v>
      </c>
    </row>
    <row r="4651" spans="1:7">
      <c r="A4651" s="1" t="s">
        <v>13499</v>
      </c>
      <c r="B4651" s="1" t="s">
        <v>13500</v>
      </c>
      <c r="C4651">
        <f>(1-(B7/100))*425.51</f>
        <v>425.51</v>
      </c>
      <c r="D4651" s="1">
        <v>0</v>
      </c>
      <c r="E4651">
        <f>D4651*C4651</f>
        <v>0</v>
      </c>
      <c r="F4651" s="1" t="s">
        <v>13501</v>
      </c>
      <c r="G4651" s="17">
        <v>82520</v>
      </c>
    </row>
    <row r="4652" spans="1:7">
      <c r="A4652" s="1" t="s">
        <v>13502</v>
      </c>
      <c r="B4652" s="1" t="s">
        <v>13503</v>
      </c>
      <c r="C4652">
        <f>(1-(B7/100))*372.33</f>
        <v>372.33</v>
      </c>
      <c r="D4652" s="1">
        <v>0</v>
      </c>
      <c r="E4652">
        <f>D4652*C4652</f>
        <v>0</v>
      </c>
      <c r="F4652" s="1" t="s">
        <v>13504</v>
      </c>
      <c r="G4652" s="17">
        <v>82523</v>
      </c>
    </row>
    <row r="4653" spans="1:7">
      <c r="A4653" s="1" t="s">
        <v>13505</v>
      </c>
      <c r="B4653" s="1" t="s">
        <v>13506</v>
      </c>
      <c r="C4653">
        <f>(1-(B7/100))*372.33</f>
        <v>372.33</v>
      </c>
      <c r="D4653" s="1">
        <v>0</v>
      </c>
      <c r="E4653">
        <f>D4653*C4653</f>
        <v>0</v>
      </c>
      <c r="F4653" s="1" t="s">
        <v>13507</v>
      </c>
      <c r="G4653" s="17">
        <v>82529</v>
      </c>
    </row>
    <row r="4654" spans="1:7">
      <c r="A4654" s="1" t="s">
        <v>13508</v>
      </c>
      <c r="B4654" s="1" t="s">
        <v>13509</v>
      </c>
      <c r="C4654">
        <f>(1-(B7/100))*372.33</f>
        <v>372.33</v>
      </c>
      <c r="D4654" s="1">
        <v>0</v>
      </c>
      <c r="E4654">
        <f>D4654*C4654</f>
        <v>0</v>
      </c>
      <c r="F4654" s="1" t="s">
        <v>13510</v>
      </c>
      <c r="G4654" s="17">
        <v>82530</v>
      </c>
    </row>
    <row r="4655" spans="1:7">
      <c r="A4655" s="1" t="s">
        <v>13511</v>
      </c>
      <c r="B4655" s="1" t="s">
        <v>13512</v>
      </c>
      <c r="C4655">
        <f>(1-(B7/100))*372.33</f>
        <v>372.33</v>
      </c>
      <c r="D4655" s="1">
        <v>0</v>
      </c>
      <c r="E4655">
        <f>D4655*C4655</f>
        <v>0</v>
      </c>
      <c r="F4655" s="1" t="s">
        <v>13513</v>
      </c>
      <c r="G4655" s="17">
        <v>82532</v>
      </c>
    </row>
    <row r="4656" spans="1:7">
      <c r="A4656" s="1" t="s">
        <v>13514</v>
      </c>
      <c r="B4656" s="1" t="s">
        <v>13515</v>
      </c>
      <c r="C4656">
        <f>(1-(B7/100))*372.33</f>
        <v>372.33</v>
      </c>
      <c r="D4656" s="1">
        <v>0</v>
      </c>
      <c r="E4656">
        <f>D4656*C4656</f>
        <v>0</v>
      </c>
      <c r="F4656" s="1" t="s">
        <v>13516</v>
      </c>
      <c r="G4656" s="17">
        <v>82534</v>
      </c>
    </row>
    <row r="4657" spans="1:7">
      <c r="A4657" s="1" t="s">
        <v>13517</v>
      </c>
      <c r="B4657" s="1" t="s">
        <v>13518</v>
      </c>
      <c r="C4657">
        <f>(1-(B7/100))*372.33</f>
        <v>372.33</v>
      </c>
      <c r="D4657" s="1">
        <v>0</v>
      </c>
      <c r="E4657">
        <f>D4657*C4657</f>
        <v>0</v>
      </c>
      <c r="F4657" s="1" t="s">
        <v>13519</v>
      </c>
      <c r="G4657" s="17">
        <v>82535</v>
      </c>
    </row>
    <row r="4658" spans="1:7">
      <c r="A4658" s="1" t="s">
        <v>13520</v>
      </c>
      <c r="B4658" s="1" t="s">
        <v>13521</v>
      </c>
      <c r="C4658">
        <f>(1-(B7/100))*372.33</f>
        <v>372.33</v>
      </c>
      <c r="D4658" s="1">
        <v>0</v>
      </c>
      <c r="E4658">
        <f>D4658*C4658</f>
        <v>0</v>
      </c>
      <c r="F4658" s="1" t="s">
        <v>13522</v>
      </c>
      <c r="G4658" s="17">
        <v>82536</v>
      </c>
    </row>
    <row r="4659" spans="1:7">
      <c r="A4659" s="1" t="s">
        <v>13523</v>
      </c>
      <c r="B4659" s="1" t="s">
        <v>13524</v>
      </c>
      <c r="C4659">
        <f>(1-(B7/100))*372.33</f>
        <v>372.33</v>
      </c>
      <c r="D4659" s="1">
        <v>0</v>
      </c>
      <c r="E4659">
        <f>D4659*C4659</f>
        <v>0</v>
      </c>
      <c r="F4659" s="1" t="s">
        <v>13525</v>
      </c>
      <c r="G4659" s="17">
        <v>82537</v>
      </c>
    </row>
    <row r="4660" spans="1:7">
      <c r="A4660" s="1" t="s">
        <v>13526</v>
      </c>
      <c r="B4660" s="1" t="s">
        <v>13527</v>
      </c>
      <c r="C4660">
        <f>(1-(B7/100))*372.33</f>
        <v>372.33</v>
      </c>
      <c r="D4660" s="1">
        <v>0</v>
      </c>
      <c r="E4660">
        <f>D4660*C4660</f>
        <v>0</v>
      </c>
      <c r="F4660" s="1" t="s">
        <v>13528</v>
      </c>
      <c r="G4660" s="17">
        <v>82538</v>
      </c>
    </row>
    <row r="4661" spans="1:7">
      <c r="A4661" s="1" t="s">
        <v>13529</v>
      </c>
      <c r="B4661" s="1" t="s">
        <v>13530</v>
      </c>
      <c r="C4661">
        <f>(1-(B7/100))*372.33</f>
        <v>372.33</v>
      </c>
      <c r="D4661" s="1">
        <v>0</v>
      </c>
      <c r="E4661">
        <f>D4661*C4661</f>
        <v>0</v>
      </c>
      <c r="F4661" s="1" t="s">
        <v>13531</v>
      </c>
      <c r="G4661" s="17">
        <v>82539</v>
      </c>
    </row>
    <row r="4662" spans="1:7">
      <c r="A4662" s="1" t="s">
        <v>13532</v>
      </c>
      <c r="B4662" s="1" t="s">
        <v>13533</v>
      </c>
      <c r="C4662">
        <f>(1-(B7/100))*372.33</f>
        <v>372.33</v>
      </c>
      <c r="D4662" s="1">
        <v>0</v>
      </c>
      <c r="E4662">
        <f>D4662*C4662</f>
        <v>0</v>
      </c>
      <c r="F4662" s="1" t="s">
        <v>13534</v>
      </c>
      <c r="G4662" s="17">
        <v>82540</v>
      </c>
    </row>
    <row r="4663" spans="1:7">
      <c r="A4663" s="1" t="s">
        <v>13535</v>
      </c>
      <c r="B4663" s="1" t="s">
        <v>13536</v>
      </c>
      <c r="C4663">
        <f>(1-(B7/100))*372.33</f>
        <v>372.33</v>
      </c>
      <c r="D4663" s="1">
        <v>0</v>
      </c>
      <c r="E4663">
        <f>D4663*C4663</f>
        <v>0</v>
      </c>
      <c r="F4663" s="1" t="s">
        <v>13537</v>
      </c>
      <c r="G4663" s="17">
        <v>82541</v>
      </c>
    </row>
    <row r="4664" spans="1:7">
      <c r="A4664" s="1" t="s">
        <v>13538</v>
      </c>
      <c r="B4664" s="1" t="s">
        <v>13539</v>
      </c>
      <c r="C4664">
        <f>(1-(B7/100))*372.33</f>
        <v>372.33</v>
      </c>
      <c r="D4664" s="1">
        <v>0</v>
      </c>
      <c r="E4664">
        <f>D4664*C4664</f>
        <v>0</v>
      </c>
      <c r="F4664" s="1" t="s">
        <v>13540</v>
      </c>
      <c r="G4664" s="17">
        <v>82542</v>
      </c>
    </row>
    <row r="4665" spans="1:7">
      <c r="A4665" s="1" t="s">
        <v>13541</v>
      </c>
      <c r="B4665" s="1" t="s">
        <v>13542</v>
      </c>
      <c r="C4665">
        <f>(1-(B7/100))*372.33</f>
        <v>372.33</v>
      </c>
      <c r="D4665" s="1">
        <v>0</v>
      </c>
      <c r="E4665">
        <f>D4665*C4665</f>
        <v>0</v>
      </c>
      <c r="F4665" s="1" t="s">
        <v>13543</v>
      </c>
      <c r="G4665" s="17">
        <v>82545</v>
      </c>
    </row>
    <row r="4666" spans="1:7">
      <c r="A4666" s="1" t="s">
        <v>13544</v>
      </c>
      <c r="B4666" s="1" t="s">
        <v>13545</v>
      </c>
      <c r="C4666">
        <f>(1-(B7/100))*372.33</f>
        <v>372.33</v>
      </c>
      <c r="D4666" s="1">
        <v>0</v>
      </c>
      <c r="E4666">
        <f>D4666*C4666</f>
        <v>0</v>
      </c>
      <c r="F4666" s="1" t="s">
        <v>13546</v>
      </c>
      <c r="G4666" s="17">
        <v>82546</v>
      </c>
    </row>
    <row r="4667" spans="1:7">
      <c r="A4667" s="1" t="s">
        <v>13547</v>
      </c>
      <c r="B4667" s="1" t="s">
        <v>13548</v>
      </c>
      <c r="C4667">
        <f>(1-(B7/100))*372.33</f>
        <v>372.33</v>
      </c>
      <c r="D4667" s="1">
        <v>0</v>
      </c>
      <c r="E4667">
        <f>D4667*C4667</f>
        <v>0</v>
      </c>
      <c r="F4667" s="1" t="s">
        <v>13549</v>
      </c>
      <c r="G4667" s="17">
        <v>82547</v>
      </c>
    </row>
    <row r="4668" spans="1:7">
      <c r="A4668" s="1" t="s">
        <v>13550</v>
      </c>
      <c r="B4668" s="1" t="s">
        <v>13551</v>
      </c>
      <c r="C4668">
        <f>(1-(B7/100))*372.33</f>
        <v>372.33</v>
      </c>
      <c r="D4668" s="1">
        <v>0</v>
      </c>
      <c r="E4668">
        <f>D4668*C4668</f>
        <v>0</v>
      </c>
      <c r="F4668" s="1" t="s">
        <v>13552</v>
      </c>
      <c r="G4668" s="17">
        <v>82548</v>
      </c>
    </row>
    <row r="4669" spans="1:7">
      <c r="A4669" s="1" t="s">
        <v>13553</v>
      </c>
      <c r="B4669" s="1" t="s">
        <v>13554</v>
      </c>
      <c r="C4669">
        <f>(1-(B7/100))*372.33</f>
        <v>372.33</v>
      </c>
      <c r="D4669" s="1">
        <v>0</v>
      </c>
      <c r="E4669">
        <f>D4669*C4669</f>
        <v>0</v>
      </c>
      <c r="F4669" s="1" t="s">
        <v>13555</v>
      </c>
      <c r="G4669" s="17">
        <v>82549</v>
      </c>
    </row>
    <row r="4670" spans="1:7">
      <c r="A4670" s="1" t="s">
        <v>13556</v>
      </c>
      <c r="B4670" s="1" t="s">
        <v>13557</v>
      </c>
      <c r="C4670">
        <f>(1-(B7/100))*372.33</f>
        <v>372.33</v>
      </c>
      <c r="D4670" s="1">
        <v>0</v>
      </c>
      <c r="E4670">
        <f>D4670*C4670</f>
        <v>0</v>
      </c>
      <c r="F4670" s="1" t="s">
        <v>13558</v>
      </c>
      <c r="G4670" s="17">
        <v>82550</v>
      </c>
    </row>
    <row r="4671" spans="1:7">
      <c r="A4671" s="1" t="s">
        <v>13559</v>
      </c>
      <c r="B4671" s="1" t="s">
        <v>13560</v>
      </c>
      <c r="C4671">
        <f>(1-(B7/100))*372.33</f>
        <v>372.33</v>
      </c>
      <c r="D4671" s="1">
        <v>0</v>
      </c>
      <c r="E4671">
        <f>D4671*C4671</f>
        <v>0</v>
      </c>
      <c r="F4671" s="1" t="s">
        <v>13561</v>
      </c>
      <c r="G4671" s="17">
        <v>82554</v>
      </c>
    </row>
    <row r="4672" spans="1:7">
      <c r="A4672" s="1" t="s">
        <v>13562</v>
      </c>
      <c r="B4672" s="1" t="s">
        <v>13563</v>
      </c>
      <c r="C4672">
        <f>(1-(B7/100))*113.65</f>
        <v>113.65</v>
      </c>
      <c r="D4672" s="1">
        <v>0</v>
      </c>
      <c r="E4672">
        <f>D4672*C4672</f>
        <v>0</v>
      </c>
      <c r="F4672" s="1" t="s">
        <v>13564</v>
      </c>
      <c r="G4672" s="17">
        <v>82558</v>
      </c>
    </row>
    <row r="4673" spans="1:7">
      <c r="A4673" s="1" t="s">
        <v>13565</v>
      </c>
      <c r="B4673" s="1" t="s">
        <v>13566</v>
      </c>
      <c r="C4673">
        <f>(1-(B7/100))*258.39</f>
        <v>258.39</v>
      </c>
      <c r="D4673" s="1">
        <v>0</v>
      </c>
      <c r="E4673">
        <f>D4673*C4673</f>
        <v>0</v>
      </c>
      <c r="F4673" s="1" t="s">
        <v>13567</v>
      </c>
      <c r="G4673" s="17">
        <v>82560</v>
      </c>
    </row>
    <row r="4674" spans="1:7">
      <c r="A4674" s="1" t="s">
        <v>13568</v>
      </c>
      <c r="B4674" s="1" t="s">
        <v>13569</v>
      </c>
      <c r="C4674">
        <f>(1-(B7/100))*77.24</f>
        <v>77.24</v>
      </c>
      <c r="D4674" s="1">
        <v>0</v>
      </c>
      <c r="E4674">
        <f>D4674*C4674</f>
        <v>0</v>
      </c>
      <c r="F4674" s="1" t="s">
        <v>13570</v>
      </c>
      <c r="G4674" s="17">
        <v>82561</v>
      </c>
    </row>
    <row r="4675" spans="1:7">
      <c r="A4675" s="1" t="s">
        <v>13571</v>
      </c>
      <c r="B4675" s="1" t="s">
        <v>13572</v>
      </c>
      <c r="C4675">
        <f>(1-(B7/100))*71.79</f>
        <v>71.79</v>
      </c>
      <c r="D4675" s="1">
        <v>0</v>
      </c>
      <c r="E4675">
        <f>D4675*C4675</f>
        <v>0</v>
      </c>
      <c r="F4675" s="1" t="s">
        <v>13573</v>
      </c>
      <c r="G4675" s="17">
        <v>82562</v>
      </c>
    </row>
    <row r="4676" spans="1:7">
      <c r="A4676" s="1" t="s">
        <v>13574</v>
      </c>
      <c r="B4676" s="1" t="s">
        <v>13575</v>
      </c>
      <c r="C4676">
        <f>(1-(B7/100))*161.38</f>
        <v>161.38</v>
      </c>
      <c r="D4676" s="1">
        <v>0</v>
      </c>
      <c r="E4676">
        <f>D4676*C4676</f>
        <v>0</v>
      </c>
      <c r="F4676" s="1" t="s">
        <v>13576</v>
      </c>
      <c r="G4676" s="17">
        <v>82565</v>
      </c>
    </row>
    <row r="4677" spans="1:7">
      <c r="A4677" s="1" t="s">
        <v>13577</v>
      </c>
      <c r="B4677" s="1" t="s">
        <v>13578</v>
      </c>
      <c r="C4677">
        <f>(1-(B7/100))*162.73</f>
        <v>162.73</v>
      </c>
      <c r="D4677" s="1">
        <v>0</v>
      </c>
      <c r="E4677">
        <f>D4677*C4677</f>
        <v>0</v>
      </c>
      <c r="F4677" s="1" t="s">
        <v>13579</v>
      </c>
      <c r="G4677" s="17">
        <v>82569</v>
      </c>
    </row>
    <row r="4678" spans="1:7">
      <c r="A4678" s="1" t="s">
        <v>13580</v>
      </c>
      <c r="B4678" s="1" t="s">
        <v>13581</v>
      </c>
      <c r="C4678">
        <f>(1-(B7/100))*56.38</f>
        <v>56.38</v>
      </c>
      <c r="D4678" s="1">
        <v>0</v>
      </c>
      <c r="E4678">
        <f>D4678*C4678</f>
        <v>0</v>
      </c>
      <c r="F4678" s="1" t="s">
        <v>13582</v>
      </c>
      <c r="G4678" s="17">
        <v>82577</v>
      </c>
    </row>
    <row r="4679" spans="1:7">
      <c r="A4679" s="1" t="s">
        <v>13583</v>
      </c>
      <c r="B4679" s="1" t="s">
        <v>13584</v>
      </c>
      <c r="C4679">
        <f>(1-(B7/100))*50.75</f>
        <v>50.75</v>
      </c>
      <c r="D4679" s="1">
        <v>0</v>
      </c>
      <c r="E4679">
        <f>D4679*C4679</f>
        <v>0</v>
      </c>
      <c r="F4679" s="1" t="s">
        <v>13585</v>
      </c>
      <c r="G4679" s="17">
        <v>82579</v>
      </c>
    </row>
    <row r="4680" spans="1:7">
      <c r="A4680" s="1" t="s">
        <v>13586</v>
      </c>
      <c r="B4680" s="1" t="s">
        <v>13587</v>
      </c>
      <c r="C4680">
        <f>(1-(B7/100))*193.78</f>
        <v>193.78</v>
      </c>
      <c r="D4680" s="1">
        <v>0</v>
      </c>
      <c r="E4680">
        <f>D4680*C4680</f>
        <v>0</v>
      </c>
      <c r="F4680" s="1" t="s">
        <v>13588</v>
      </c>
      <c r="G4680" s="17">
        <v>82580</v>
      </c>
    </row>
    <row r="4681" spans="1:7">
      <c r="A4681" s="1" t="s">
        <v>13589</v>
      </c>
      <c r="B4681" s="1" t="s">
        <v>13590</v>
      </c>
      <c r="C4681">
        <f>(1-(B7/100))*33.45</f>
        <v>33.45</v>
      </c>
      <c r="D4681" s="1">
        <v>0</v>
      </c>
      <c r="E4681">
        <f>D4681*C4681</f>
        <v>0</v>
      </c>
      <c r="F4681" s="1" t="s">
        <v>13591</v>
      </c>
      <c r="G4681" s="17">
        <v>82582</v>
      </c>
    </row>
    <row r="4682" spans="1:7">
      <c r="A4682" s="1" t="s">
        <v>13592</v>
      </c>
      <c r="B4682" s="1" t="s">
        <v>13593</v>
      </c>
      <c r="C4682">
        <f>(1-(B7/100))*280.97</f>
        <v>280.97</v>
      </c>
      <c r="D4682" s="1">
        <v>0</v>
      </c>
      <c r="E4682">
        <f>D4682*C4682</f>
        <v>0</v>
      </c>
      <c r="F4682" s="1" t="s">
        <v>13594</v>
      </c>
      <c r="G4682" s="17">
        <v>82583</v>
      </c>
    </row>
    <row r="4683" spans="1:7">
      <c r="A4683" s="1" t="s">
        <v>13595</v>
      </c>
      <c r="B4683" s="1" t="s">
        <v>13596</v>
      </c>
      <c r="C4683">
        <f>(1-(B7/100))*207.55</f>
        <v>207.55</v>
      </c>
      <c r="D4683" s="1">
        <v>0</v>
      </c>
      <c r="E4683">
        <f>D4683*C4683</f>
        <v>0</v>
      </c>
      <c r="F4683" s="1" t="s">
        <v>13597</v>
      </c>
      <c r="G4683" s="17">
        <v>82586</v>
      </c>
    </row>
    <row r="4684" spans="1:7">
      <c r="A4684" s="1" t="s">
        <v>13598</v>
      </c>
      <c r="B4684" s="1" t="s">
        <v>13599</v>
      </c>
      <c r="C4684">
        <f>(1-(B7/100))*191.58</f>
        <v>191.58</v>
      </c>
      <c r="D4684" s="1">
        <v>0</v>
      </c>
      <c r="E4684">
        <f>D4684*C4684</f>
        <v>0</v>
      </c>
      <c r="F4684" s="1" t="s">
        <v>13600</v>
      </c>
      <c r="G4684" s="17">
        <v>82587</v>
      </c>
    </row>
    <row r="4685" spans="1:7">
      <c r="A4685" s="1" t="s">
        <v>13601</v>
      </c>
      <c r="B4685" s="1" t="s">
        <v>13602</v>
      </c>
      <c r="C4685">
        <f>(1-(B7/100))*207.1</f>
        <v>207.1</v>
      </c>
      <c r="D4685" s="1">
        <v>0</v>
      </c>
      <c r="E4685">
        <f>D4685*C4685</f>
        <v>0</v>
      </c>
      <c r="F4685" s="1" t="s">
        <v>13603</v>
      </c>
      <c r="G4685" s="17">
        <v>82588</v>
      </c>
    </row>
    <row r="4686" spans="1:7">
      <c r="A4686" s="1" t="s">
        <v>13604</v>
      </c>
      <c r="B4686" s="1" t="s">
        <v>13605</v>
      </c>
      <c r="C4686">
        <f>(1-(B7/100))*191.58</f>
        <v>191.58</v>
      </c>
      <c r="D4686" s="1">
        <v>0</v>
      </c>
      <c r="E4686">
        <f>D4686*C4686</f>
        <v>0</v>
      </c>
      <c r="F4686" s="1" t="s">
        <v>13606</v>
      </c>
      <c r="G4686" s="17">
        <v>82589</v>
      </c>
    </row>
    <row r="4687" spans="1:7">
      <c r="A4687" s="1" t="s">
        <v>13607</v>
      </c>
      <c r="B4687" s="1" t="s">
        <v>13608</v>
      </c>
      <c r="C4687">
        <f>(1-(B7/100))*207.1</f>
        <v>207.1</v>
      </c>
      <c r="D4687" s="1">
        <v>0</v>
      </c>
      <c r="E4687">
        <f>D4687*C4687</f>
        <v>0</v>
      </c>
      <c r="F4687" s="1" t="s">
        <v>13609</v>
      </c>
      <c r="G4687" s="17">
        <v>82590</v>
      </c>
    </row>
    <row r="4688" spans="1:7">
      <c r="A4688" s="1" t="s">
        <v>13610</v>
      </c>
      <c r="B4688" s="1" t="s">
        <v>13611</v>
      </c>
      <c r="C4688">
        <f>(1-(B7/100))*191.58</f>
        <v>191.58</v>
      </c>
      <c r="D4688" s="1">
        <v>0</v>
      </c>
      <c r="E4688">
        <f>D4688*C4688</f>
        <v>0</v>
      </c>
      <c r="F4688" s="1" t="s">
        <v>13612</v>
      </c>
      <c r="G4688" s="17">
        <v>82591</v>
      </c>
    </row>
    <row r="4689" spans="1:7">
      <c r="A4689" s="1" t="s">
        <v>13613</v>
      </c>
      <c r="B4689" s="1" t="s">
        <v>13614</v>
      </c>
      <c r="C4689">
        <f>(1-(B7/100))*190.68</f>
        <v>190.68</v>
      </c>
      <c r="D4689" s="1">
        <v>0</v>
      </c>
      <c r="E4689">
        <f>D4689*C4689</f>
        <v>0</v>
      </c>
      <c r="F4689" s="1" t="s">
        <v>13615</v>
      </c>
      <c r="G4689" s="17">
        <v>82592</v>
      </c>
    </row>
    <row r="4690" spans="1:7">
      <c r="A4690" s="1" t="s">
        <v>13616</v>
      </c>
      <c r="B4690" s="1" t="s">
        <v>13617</v>
      </c>
      <c r="C4690">
        <f>(1-(B7/100))*207.7</f>
        <v>207.7</v>
      </c>
      <c r="D4690" s="1">
        <v>0</v>
      </c>
      <c r="E4690">
        <f>D4690*C4690</f>
        <v>0</v>
      </c>
      <c r="F4690" s="1" t="s">
        <v>13618</v>
      </c>
      <c r="G4690" s="17">
        <v>82593</v>
      </c>
    </row>
    <row r="4691" spans="1:7">
      <c r="A4691" s="1" t="s">
        <v>13619</v>
      </c>
      <c r="B4691" s="1" t="s">
        <v>13620</v>
      </c>
      <c r="C4691">
        <f>(1-(B7/100))*249.39</f>
        <v>249.39</v>
      </c>
      <c r="D4691" s="1">
        <v>0</v>
      </c>
      <c r="E4691">
        <f>D4691*C4691</f>
        <v>0</v>
      </c>
      <c r="F4691" s="1" t="s">
        <v>13621</v>
      </c>
      <c r="G4691" s="17">
        <v>82602</v>
      </c>
    </row>
    <row r="4692" spans="1:7">
      <c r="A4692" s="1" t="s">
        <v>13622</v>
      </c>
      <c r="B4692" s="1" t="s">
        <v>13623</v>
      </c>
      <c r="C4692">
        <f>(1-(B7/100))*192.51</f>
        <v>192.51</v>
      </c>
      <c r="D4692" s="1">
        <v>0</v>
      </c>
      <c r="E4692">
        <f>D4692*C4692</f>
        <v>0</v>
      </c>
      <c r="F4692" s="1" t="s">
        <v>13624</v>
      </c>
      <c r="G4692" s="17">
        <v>82603</v>
      </c>
    </row>
    <row r="4693" spans="1:7">
      <c r="A4693" s="1" t="s">
        <v>13625</v>
      </c>
      <c r="B4693" s="1" t="s">
        <v>13626</v>
      </c>
      <c r="C4693">
        <f>(1-(B7/100))*470.04</f>
        <v>470.04</v>
      </c>
      <c r="D4693" s="1">
        <v>0</v>
      </c>
      <c r="E4693">
        <f>D4693*C4693</f>
        <v>0</v>
      </c>
      <c r="F4693" s="1" t="s">
        <v>16</v>
      </c>
      <c r="G4693" s="17">
        <v>82615</v>
      </c>
    </row>
    <row r="4694" spans="1:7">
      <c r="A4694" s="1" t="s">
        <v>13627</v>
      </c>
      <c r="B4694" s="1" t="s">
        <v>13628</v>
      </c>
      <c r="C4694">
        <f>(1-(B7/100))*236</f>
        <v>236</v>
      </c>
      <c r="D4694" s="1">
        <v>0</v>
      </c>
      <c r="E4694">
        <f>D4694*C4694</f>
        <v>0</v>
      </c>
      <c r="F4694" s="1" t="s">
        <v>13629</v>
      </c>
      <c r="G4694" s="17">
        <v>82622</v>
      </c>
    </row>
    <row r="4695" spans="1:7">
      <c r="A4695" s="1" t="s">
        <v>13630</v>
      </c>
      <c r="B4695" s="1" t="s">
        <v>13631</v>
      </c>
      <c r="C4695">
        <f>(1-(B7/100))*236.93</f>
        <v>236.93</v>
      </c>
      <c r="D4695" s="1">
        <v>0</v>
      </c>
      <c r="E4695">
        <f>D4695*C4695</f>
        <v>0</v>
      </c>
      <c r="F4695" s="1" t="s">
        <v>13632</v>
      </c>
      <c r="G4695" s="17">
        <v>82624</v>
      </c>
    </row>
    <row r="4696" spans="1:7">
      <c r="A4696" s="1" t="s">
        <v>13633</v>
      </c>
      <c r="B4696" s="1" t="s">
        <v>13634</v>
      </c>
      <c r="C4696">
        <f>(1-(B7/100))*239.65</f>
        <v>239.65</v>
      </c>
      <c r="D4696" s="1">
        <v>0</v>
      </c>
      <c r="E4696">
        <f>D4696*C4696</f>
        <v>0</v>
      </c>
      <c r="F4696" s="1" t="s">
        <v>13635</v>
      </c>
      <c r="G4696" s="17">
        <v>82630</v>
      </c>
    </row>
    <row r="4697" spans="1:7">
      <c r="A4697" s="1" t="s">
        <v>13636</v>
      </c>
      <c r="B4697" s="1" t="s">
        <v>13637</v>
      </c>
      <c r="C4697">
        <f>(1-(B7/100))*194.32</f>
        <v>194.32</v>
      </c>
      <c r="D4697" s="1">
        <v>0</v>
      </c>
      <c r="E4697">
        <f>D4697*C4697</f>
        <v>0</v>
      </c>
      <c r="F4697" s="1" t="s">
        <v>13638</v>
      </c>
      <c r="G4697" s="17">
        <v>82631</v>
      </c>
    </row>
    <row r="4698" spans="1:7">
      <c r="A4698" s="1" t="s">
        <v>13639</v>
      </c>
      <c r="B4698" s="1" t="s">
        <v>13640</v>
      </c>
      <c r="C4698">
        <f>(1-(B7/100))*236.93</f>
        <v>236.93</v>
      </c>
      <c r="D4698" s="1">
        <v>0</v>
      </c>
      <c r="E4698">
        <f>D4698*C4698</f>
        <v>0</v>
      </c>
      <c r="F4698" s="1" t="s">
        <v>13641</v>
      </c>
      <c r="G4698" s="17">
        <v>82632</v>
      </c>
    </row>
    <row r="4699" spans="1:7">
      <c r="A4699" s="1" t="s">
        <v>13642</v>
      </c>
      <c r="B4699" s="1" t="s">
        <v>13643</v>
      </c>
      <c r="C4699">
        <f>(1-(B7/100))*239.65</f>
        <v>239.65</v>
      </c>
      <c r="D4699" s="1">
        <v>0</v>
      </c>
      <c r="E4699">
        <f>D4699*C4699</f>
        <v>0</v>
      </c>
      <c r="F4699" s="1" t="s">
        <v>13644</v>
      </c>
      <c r="G4699" s="17">
        <v>82638</v>
      </c>
    </row>
    <row r="4700" spans="1:7">
      <c r="A4700" s="1" t="s">
        <v>13645</v>
      </c>
      <c r="B4700" s="1" t="s">
        <v>13646</v>
      </c>
      <c r="C4700">
        <f>(1-(B7/100))*194.32</f>
        <v>194.32</v>
      </c>
      <c r="D4700" s="1">
        <v>0</v>
      </c>
      <c r="E4700">
        <f>D4700*C4700</f>
        <v>0</v>
      </c>
      <c r="F4700" s="1" t="s">
        <v>13647</v>
      </c>
      <c r="G4700" s="17">
        <v>82639</v>
      </c>
    </row>
    <row r="4701" spans="1:7">
      <c r="A4701" s="1" t="s">
        <v>13648</v>
      </c>
      <c r="B4701" s="1" t="s">
        <v>13649</v>
      </c>
      <c r="C4701">
        <f>(1-(B7/100))*236.93</f>
        <v>236.93</v>
      </c>
      <c r="D4701" s="1">
        <v>0</v>
      </c>
      <c r="E4701">
        <f>D4701*C4701</f>
        <v>0</v>
      </c>
      <c r="F4701" s="1" t="s">
        <v>13650</v>
      </c>
      <c r="G4701" s="17">
        <v>82640</v>
      </c>
    </row>
    <row r="4702" spans="1:7">
      <c r="A4702" s="1" t="s">
        <v>13651</v>
      </c>
      <c r="B4702" s="1" t="s">
        <v>13652</v>
      </c>
      <c r="C4702">
        <f>(1-(B7/100))*46.51</f>
        <v>46.51</v>
      </c>
      <c r="D4702" s="1">
        <v>0</v>
      </c>
      <c r="E4702">
        <f>D4702*C4702</f>
        <v>0</v>
      </c>
      <c r="F4702" s="1" t="s">
        <v>13653</v>
      </c>
      <c r="G4702" s="17">
        <v>82642</v>
      </c>
    </row>
    <row r="4703" spans="1:7">
      <c r="A4703" s="1" t="s">
        <v>13654</v>
      </c>
      <c r="B4703" s="1" t="s">
        <v>13655</v>
      </c>
      <c r="C4703">
        <f>(1-(B7/100))*1465.81</f>
        <v>1465.81</v>
      </c>
      <c r="D4703" s="1">
        <v>0</v>
      </c>
      <c r="E4703">
        <f>D4703*C4703</f>
        <v>0</v>
      </c>
      <c r="F4703" s="1" t="s">
        <v>13656</v>
      </c>
      <c r="G4703" s="17">
        <v>82653</v>
      </c>
    </row>
    <row r="4704" spans="1:7">
      <c r="A4704" s="1" t="s">
        <v>13657</v>
      </c>
      <c r="B4704" s="1" t="s">
        <v>13658</v>
      </c>
      <c r="C4704">
        <f>(1-(B7/100))*133.68</f>
        <v>133.68</v>
      </c>
      <c r="D4704" s="1">
        <v>0</v>
      </c>
      <c r="E4704">
        <f>D4704*C4704</f>
        <v>0</v>
      </c>
      <c r="F4704" s="1" t="s">
        <v>13659</v>
      </c>
      <c r="G4704" s="17">
        <v>82661</v>
      </c>
    </row>
    <row r="4705" spans="1:7">
      <c r="A4705" s="1" t="s">
        <v>13660</v>
      </c>
      <c r="B4705" s="1" t="s">
        <v>13661</v>
      </c>
      <c r="C4705">
        <f>(1-(B7/100))*230.65</f>
        <v>230.65</v>
      </c>
      <c r="D4705" s="1">
        <v>0</v>
      </c>
      <c r="E4705">
        <f>D4705*C4705</f>
        <v>0</v>
      </c>
      <c r="F4705" s="1" t="s">
        <v>13662</v>
      </c>
      <c r="G4705" s="17">
        <v>82662</v>
      </c>
    </row>
    <row r="4706" spans="1:7">
      <c r="A4706" s="1" t="s">
        <v>13663</v>
      </c>
      <c r="B4706" s="1" t="s">
        <v>13664</v>
      </c>
      <c r="C4706">
        <f>(1-(B7/100))*1305.39</f>
        <v>1305.39</v>
      </c>
      <c r="D4706" s="1">
        <v>0</v>
      </c>
      <c r="E4706">
        <f>D4706*C4706</f>
        <v>0</v>
      </c>
      <c r="F4706" s="1" t="s">
        <v>13665</v>
      </c>
      <c r="G4706" s="17">
        <v>82664</v>
      </c>
    </row>
    <row r="4707" spans="1:7">
      <c r="A4707" s="1" t="s">
        <v>13666</v>
      </c>
      <c r="B4707" s="1" t="s">
        <v>13667</v>
      </c>
      <c r="C4707">
        <f>(1-(B7/100))*629.49</f>
        <v>629.49</v>
      </c>
      <c r="D4707" s="1">
        <v>0</v>
      </c>
      <c r="E4707">
        <f>D4707*C4707</f>
        <v>0</v>
      </c>
      <c r="F4707" s="1" t="s">
        <v>13668</v>
      </c>
      <c r="G4707" s="17">
        <v>82665</v>
      </c>
    </row>
    <row r="4708" spans="1:7">
      <c r="A4708" s="1" t="s">
        <v>13669</v>
      </c>
      <c r="B4708" s="1" t="s">
        <v>13670</v>
      </c>
      <c r="C4708">
        <f>(1-(B7/100))*1230.83</f>
        <v>1230.83</v>
      </c>
      <c r="D4708" s="1">
        <v>0</v>
      </c>
      <c r="E4708">
        <f>D4708*C4708</f>
        <v>0</v>
      </c>
      <c r="F4708" s="1" t="s">
        <v>13671</v>
      </c>
      <c r="G4708" s="17">
        <v>82667</v>
      </c>
    </row>
    <row r="4709" spans="1:7">
      <c r="A4709" s="1" t="s">
        <v>13672</v>
      </c>
      <c r="B4709" s="1" t="s">
        <v>13673</v>
      </c>
      <c r="C4709">
        <f>(1-(B7/100))*548.81</f>
        <v>548.81</v>
      </c>
      <c r="D4709" s="1">
        <v>0</v>
      </c>
      <c r="E4709">
        <f>D4709*C4709</f>
        <v>0</v>
      </c>
      <c r="F4709" s="1" t="s">
        <v>13674</v>
      </c>
      <c r="G4709" s="17">
        <v>82668</v>
      </c>
    </row>
    <row r="4710" spans="1:7">
      <c r="A4710" s="1" t="s">
        <v>13675</v>
      </c>
      <c r="B4710" s="1" t="s">
        <v>13676</v>
      </c>
      <c r="C4710">
        <f>(1-(B7/100))*625.9</f>
        <v>625.9</v>
      </c>
      <c r="D4710" s="1">
        <v>0</v>
      </c>
      <c r="E4710">
        <f>D4710*C4710</f>
        <v>0</v>
      </c>
      <c r="F4710" s="1" t="s">
        <v>13677</v>
      </c>
      <c r="G4710" s="17">
        <v>82673</v>
      </c>
    </row>
    <row r="4711" spans="1:7">
      <c r="A4711" s="1" t="s">
        <v>13678</v>
      </c>
      <c r="B4711" s="1" t="s">
        <v>13679</v>
      </c>
      <c r="C4711">
        <f>(1-(B7/100))*676.53</f>
        <v>676.53</v>
      </c>
      <c r="D4711" s="1">
        <v>0</v>
      </c>
      <c r="E4711">
        <f>D4711*C4711</f>
        <v>0</v>
      </c>
      <c r="F4711" s="1" t="s">
        <v>13680</v>
      </c>
      <c r="G4711" s="17">
        <v>82677</v>
      </c>
    </row>
    <row r="4712" spans="1:7">
      <c r="A4712" s="1" t="s">
        <v>13681</v>
      </c>
      <c r="B4712" s="1" t="s">
        <v>13682</v>
      </c>
      <c r="C4712">
        <f>(1-(B7/100))*641.79</f>
        <v>641.79</v>
      </c>
      <c r="D4712" s="1">
        <v>0</v>
      </c>
      <c r="E4712">
        <f>D4712*C4712</f>
        <v>0</v>
      </c>
      <c r="F4712" s="1" t="s">
        <v>13683</v>
      </c>
      <c r="G4712" s="17">
        <v>82678</v>
      </c>
    </row>
    <row r="4713" spans="1:7">
      <c r="A4713" s="1" t="s">
        <v>13684</v>
      </c>
      <c r="B4713" s="1" t="s">
        <v>13685</v>
      </c>
      <c r="C4713">
        <f>(1-(B7/100))*721.68</f>
        <v>721.68</v>
      </c>
      <c r="D4713" s="1">
        <v>0</v>
      </c>
      <c r="E4713">
        <f>D4713*C4713</f>
        <v>0</v>
      </c>
      <c r="F4713" s="1" t="s">
        <v>13686</v>
      </c>
      <c r="G4713" s="17">
        <v>82679</v>
      </c>
    </row>
    <row r="4714" spans="1:7">
      <c r="A4714" s="1" t="s">
        <v>13687</v>
      </c>
      <c r="B4714" s="1" t="s">
        <v>13688</v>
      </c>
      <c r="C4714">
        <f>(1-(B7/100))*126.32</f>
        <v>126.32</v>
      </c>
      <c r="D4714" s="1">
        <v>0</v>
      </c>
      <c r="E4714">
        <f>D4714*C4714</f>
        <v>0</v>
      </c>
      <c r="F4714" s="1" t="s">
        <v>13689</v>
      </c>
      <c r="G4714" s="17">
        <v>82680</v>
      </c>
    </row>
    <row r="4715" spans="1:7">
      <c r="A4715" s="1" t="s">
        <v>13690</v>
      </c>
      <c r="B4715" s="1" t="s">
        <v>13691</v>
      </c>
      <c r="C4715">
        <f>(1-(B7/100))*260.23</f>
        <v>260.23</v>
      </c>
      <c r="D4715" s="1">
        <v>0</v>
      </c>
      <c r="E4715">
        <f>D4715*C4715</f>
        <v>0</v>
      </c>
      <c r="F4715" s="1" t="s">
        <v>13692</v>
      </c>
      <c r="G4715" s="17">
        <v>82682</v>
      </c>
    </row>
    <row r="4716" spans="1:7">
      <c r="A4716" s="1" t="s">
        <v>13693</v>
      </c>
      <c r="B4716" s="1" t="s">
        <v>13694</v>
      </c>
      <c r="C4716">
        <f>(1-(B7/100))*122.81</f>
        <v>122.81</v>
      </c>
      <c r="D4716" s="1">
        <v>0</v>
      </c>
      <c r="E4716">
        <f>D4716*C4716</f>
        <v>0</v>
      </c>
      <c r="F4716" s="1" t="s">
        <v>13695</v>
      </c>
      <c r="G4716" s="17">
        <v>82684</v>
      </c>
    </row>
    <row r="4717" spans="1:7">
      <c r="A4717" s="1" t="s">
        <v>13696</v>
      </c>
      <c r="B4717" s="1" t="s">
        <v>13697</v>
      </c>
      <c r="C4717">
        <f>(1-(B7/100))*140.53</f>
        <v>140.53</v>
      </c>
      <c r="D4717" s="1">
        <v>0</v>
      </c>
      <c r="E4717">
        <f>D4717*C4717</f>
        <v>0</v>
      </c>
      <c r="F4717" s="1" t="s">
        <v>13698</v>
      </c>
      <c r="G4717" s="17">
        <v>82686</v>
      </c>
    </row>
    <row r="4718" spans="1:7">
      <c r="A4718" s="1" t="s">
        <v>13699</v>
      </c>
      <c r="B4718" s="1" t="s">
        <v>13700</v>
      </c>
      <c r="C4718">
        <f>(1-(B7/100))*302.22</f>
        <v>302.22</v>
      </c>
      <c r="D4718" s="1">
        <v>0</v>
      </c>
      <c r="E4718">
        <f>D4718*C4718</f>
        <v>0</v>
      </c>
      <c r="F4718" s="1" t="s">
        <v>13701</v>
      </c>
      <c r="G4718" s="17">
        <v>82687</v>
      </c>
    </row>
    <row r="4719" spans="1:7">
      <c r="A4719" s="1" t="s">
        <v>13702</v>
      </c>
      <c r="B4719" s="1" t="s">
        <v>13703</v>
      </c>
      <c r="C4719">
        <f>(1-(B7/100))*145.64</f>
        <v>145.64</v>
      </c>
      <c r="D4719" s="1">
        <v>0</v>
      </c>
      <c r="E4719">
        <f>D4719*C4719</f>
        <v>0</v>
      </c>
      <c r="F4719" s="1" t="s">
        <v>13704</v>
      </c>
      <c r="G4719" s="17">
        <v>82692</v>
      </c>
    </row>
    <row r="4720" spans="1:7">
      <c r="A4720" s="1" t="s">
        <v>13705</v>
      </c>
      <c r="B4720" s="1" t="s">
        <v>13706</v>
      </c>
      <c r="C4720">
        <f>(1-(B7/100))*681.67</f>
        <v>681.67</v>
      </c>
      <c r="D4720" s="1">
        <v>0</v>
      </c>
      <c r="E4720">
        <f>D4720*C4720</f>
        <v>0</v>
      </c>
      <c r="F4720" s="1" t="s">
        <v>13707</v>
      </c>
      <c r="G4720" s="17">
        <v>82703</v>
      </c>
    </row>
    <row r="4721" spans="1:7">
      <c r="A4721" s="1" t="s">
        <v>13708</v>
      </c>
      <c r="B4721" s="1" t="s">
        <v>13709</v>
      </c>
      <c r="C4721">
        <f>(1-(B7/100))*531.91</f>
        <v>531.91</v>
      </c>
      <c r="D4721" s="1">
        <v>0</v>
      </c>
      <c r="E4721">
        <f>D4721*C4721</f>
        <v>0</v>
      </c>
      <c r="F4721" s="1" t="s">
        <v>13710</v>
      </c>
      <c r="G4721" s="17">
        <v>82706</v>
      </c>
    </row>
    <row r="4722" spans="1:7">
      <c r="A4722" s="1" t="s">
        <v>13711</v>
      </c>
      <c r="B4722" s="1" t="s">
        <v>13712</v>
      </c>
      <c r="C4722">
        <f>(1-(B7/100))*687.62</f>
        <v>687.62</v>
      </c>
      <c r="D4722" s="1">
        <v>0</v>
      </c>
      <c r="E4722">
        <f>D4722*C4722</f>
        <v>0</v>
      </c>
      <c r="F4722" s="1" t="s">
        <v>13713</v>
      </c>
      <c r="G4722" s="17">
        <v>82712</v>
      </c>
    </row>
    <row r="4723" spans="1:7">
      <c r="A4723" s="1" t="s">
        <v>13714</v>
      </c>
      <c r="B4723" s="1" t="s">
        <v>13715</v>
      </c>
      <c r="C4723">
        <f>(1-(B7/100))*667.37</f>
        <v>667.37</v>
      </c>
      <c r="D4723" s="1">
        <v>0</v>
      </c>
      <c r="E4723">
        <f>D4723*C4723</f>
        <v>0</v>
      </c>
      <c r="F4723" s="1" t="s">
        <v>13716</v>
      </c>
      <c r="G4723" s="17">
        <v>82713</v>
      </c>
    </row>
    <row r="4724" spans="1:7">
      <c r="A4724" s="1" t="s">
        <v>13717</v>
      </c>
      <c r="B4724" s="1" t="s">
        <v>13718</v>
      </c>
      <c r="C4724">
        <f>(1-(B7/100))*316.45</f>
        <v>316.45</v>
      </c>
      <c r="D4724" s="1">
        <v>0</v>
      </c>
      <c r="E4724">
        <f>D4724*C4724</f>
        <v>0</v>
      </c>
      <c r="F4724" s="1" t="s">
        <v>13719</v>
      </c>
      <c r="G4724" s="17">
        <v>82717</v>
      </c>
    </row>
    <row r="4725" spans="1:7">
      <c r="A4725" s="1" t="s">
        <v>13720</v>
      </c>
      <c r="B4725" s="1" t="s">
        <v>13721</v>
      </c>
      <c r="C4725">
        <f>(1-(B7/100))*260.23</f>
        <v>260.23</v>
      </c>
      <c r="D4725" s="1">
        <v>0</v>
      </c>
      <c r="E4725">
        <f>D4725*C4725</f>
        <v>0</v>
      </c>
      <c r="F4725" s="1" t="s">
        <v>13722</v>
      </c>
      <c r="G4725" s="17">
        <v>82719</v>
      </c>
    </row>
    <row r="4726" spans="1:7">
      <c r="A4726" s="1" t="s">
        <v>13723</v>
      </c>
      <c r="B4726" s="1" t="s">
        <v>13724</v>
      </c>
      <c r="C4726">
        <f>(1-(B7/100))*279.39</f>
        <v>279.39</v>
      </c>
      <c r="D4726" s="1">
        <v>0</v>
      </c>
      <c r="E4726">
        <f>D4726*C4726</f>
        <v>0</v>
      </c>
      <c r="F4726" s="1" t="s">
        <v>13725</v>
      </c>
      <c r="G4726" s="17">
        <v>82721</v>
      </c>
    </row>
    <row r="4727" spans="1:7">
      <c r="A4727" s="1" t="s">
        <v>13726</v>
      </c>
      <c r="B4727" s="1" t="s">
        <v>13727</v>
      </c>
      <c r="C4727">
        <f>(1-(B7/100))*269.17</f>
        <v>269.17</v>
      </c>
      <c r="D4727" s="1">
        <v>0</v>
      </c>
      <c r="E4727">
        <f>D4727*C4727</f>
        <v>0</v>
      </c>
      <c r="F4727" s="1" t="s">
        <v>13728</v>
      </c>
      <c r="G4727" s="17">
        <v>82722</v>
      </c>
    </row>
    <row r="4728" spans="1:7">
      <c r="A4728" s="1" t="s">
        <v>13729</v>
      </c>
      <c r="B4728" s="1" t="s">
        <v>13730</v>
      </c>
      <c r="C4728">
        <f>(1-(B7/100))*343.06</f>
        <v>343.06</v>
      </c>
      <c r="D4728" s="1">
        <v>0</v>
      </c>
      <c r="E4728">
        <f>D4728*C4728</f>
        <v>0</v>
      </c>
      <c r="F4728" s="1" t="s">
        <v>13731</v>
      </c>
      <c r="G4728" s="17">
        <v>82723</v>
      </c>
    </row>
    <row r="4729" spans="1:7">
      <c r="A4729" s="1" t="s">
        <v>13732</v>
      </c>
      <c r="B4729" s="1" t="s">
        <v>13733</v>
      </c>
      <c r="C4729">
        <f>(1-(B7/100))*412.65</f>
        <v>412.65</v>
      </c>
      <c r="D4729" s="1">
        <v>0</v>
      </c>
      <c r="E4729">
        <f>D4729*C4729</f>
        <v>0</v>
      </c>
      <c r="F4729" s="1" t="s">
        <v>13734</v>
      </c>
      <c r="G4729" s="17">
        <v>82726</v>
      </c>
    </row>
    <row r="4730" spans="1:7">
      <c r="A4730" s="1" t="s">
        <v>13735</v>
      </c>
      <c r="B4730" s="1" t="s">
        <v>13736</v>
      </c>
      <c r="C4730">
        <f>(1-(B7/100))*404.63</f>
        <v>404.63</v>
      </c>
      <c r="D4730" s="1">
        <v>0</v>
      </c>
      <c r="E4730">
        <f>D4730*C4730</f>
        <v>0</v>
      </c>
      <c r="F4730" s="1" t="s">
        <v>13737</v>
      </c>
      <c r="G4730" s="17">
        <v>82728</v>
      </c>
    </row>
    <row r="4731" spans="1:7">
      <c r="A4731" s="1" t="s">
        <v>13738</v>
      </c>
      <c r="B4731" s="1" t="s">
        <v>13739</v>
      </c>
      <c r="C4731">
        <f>(1-(B7/100))*1607.05</f>
        <v>1607.05</v>
      </c>
      <c r="D4731" s="1">
        <v>0</v>
      </c>
      <c r="E4731">
        <f>D4731*C4731</f>
        <v>0</v>
      </c>
      <c r="F4731" s="1" t="s">
        <v>13740</v>
      </c>
      <c r="G4731" s="17">
        <v>82738</v>
      </c>
    </row>
    <row r="4732" spans="1:7">
      <c r="A4732" s="1" t="s">
        <v>13741</v>
      </c>
      <c r="B4732" s="1" t="s">
        <v>13742</v>
      </c>
      <c r="C4732">
        <f>(1-(B7/100))*426.78</f>
        <v>426.78</v>
      </c>
      <c r="D4732" s="1">
        <v>0</v>
      </c>
      <c r="E4732">
        <f>D4732*C4732</f>
        <v>0</v>
      </c>
      <c r="F4732" s="1" t="s">
        <v>13743</v>
      </c>
      <c r="G4732" s="17">
        <v>82739</v>
      </c>
    </row>
    <row r="4733" spans="1:7">
      <c r="A4733" s="1" t="s">
        <v>13744</v>
      </c>
      <c r="B4733" s="1" t="s">
        <v>13745</v>
      </c>
      <c r="C4733">
        <f>(1-(B7/100))*542.33</f>
        <v>542.33</v>
      </c>
      <c r="D4733" s="1">
        <v>0</v>
      </c>
      <c r="E4733">
        <f>D4733*C4733</f>
        <v>0</v>
      </c>
      <c r="F4733" s="1" t="s">
        <v>13746</v>
      </c>
      <c r="G4733" s="17">
        <v>82742</v>
      </c>
    </row>
    <row r="4734" spans="1:7">
      <c r="A4734" s="1" t="s">
        <v>13747</v>
      </c>
      <c r="B4734" s="1" t="s">
        <v>13748</v>
      </c>
      <c r="C4734">
        <f>(1-(B7/100))*293.38</f>
        <v>293.38</v>
      </c>
      <c r="D4734" s="1">
        <v>0</v>
      </c>
      <c r="E4734">
        <f>D4734*C4734</f>
        <v>0</v>
      </c>
      <c r="F4734" s="1" t="s">
        <v>13749</v>
      </c>
      <c r="G4734" s="17">
        <v>82747</v>
      </c>
    </row>
    <row r="4735" spans="1:7">
      <c r="A4735" s="1" t="s">
        <v>13750</v>
      </c>
      <c r="B4735" s="1" t="s">
        <v>13751</v>
      </c>
      <c r="C4735">
        <f>(1-(B7/100))*208.19</f>
        <v>208.19</v>
      </c>
      <c r="D4735" s="1">
        <v>0</v>
      </c>
      <c r="E4735">
        <f>D4735*C4735</f>
        <v>0</v>
      </c>
      <c r="F4735" s="1" t="s">
        <v>13752</v>
      </c>
      <c r="G4735" s="17">
        <v>82749</v>
      </c>
    </row>
    <row r="4736" spans="1:7">
      <c r="A4736" s="1" t="s">
        <v>13753</v>
      </c>
      <c r="B4736" s="1" t="s">
        <v>13754</v>
      </c>
      <c r="C4736">
        <f>(1-(B7/100))*93.68</f>
        <v>93.68</v>
      </c>
      <c r="D4736" s="1">
        <v>0</v>
      </c>
      <c r="E4736">
        <f>D4736*C4736</f>
        <v>0</v>
      </c>
      <c r="F4736" s="1" t="s">
        <v>13755</v>
      </c>
      <c r="G4736" s="17">
        <v>82751</v>
      </c>
    </row>
    <row r="4737" spans="1:7">
      <c r="A4737" s="1" t="s">
        <v>13756</v>
      </c>
      <c r="B4737" s="1" t="s">
        <v>13757</v>
      </c>
      <c r="C4737">
        <f>(1-(B7/100))*208.19</f>
        <v>208.19</v>
      </c>
      <c r="D4737" s="1">
        <v>0</v>
      </c>
      <c r="E4737">
        <f>D4737*C4737</f>
        <v>0</v>
      </c>
      <c r="F4737" s="1" t="s">
        <v>13758</v>
      </c>
      <c r="G4737" s="17">
        <v>82753</v>
      </c>
    </row>
    <row r="4738" spans="1:7">
      <c r="A4738" s="1" t="s">
        <v>13759</v>
      </c>
      <c r="B4738" s="1" t="s">
        <v>13760</v>
      </c>
      <c r="C4738">
        <f>(1-(B7/100))*138.54</f>
        <v>138.54</v>
      </c>
      <c r="D4738" s="1">
        <v>0</v>
      </c>
      <c r="E4738">
        <f>D4738*C4738</f>
        <v>0</v>
      </c>
      <c r="F4738" s="1" t="s">
        <v>13761</v>
      </c>
      <c r="G4738" s="17">
        <v>82768</v>
      </c>
    </row>
    <row r="4739" spans="1:7">
      <c r="A4739" s="1" t="s">
        <v>13762</v>
      </c>
      <c r="B4739" s="1" t="s">
        <v>13763</v>
      </c>
      <c r="C4739">
        <f>(1-(B7/100))*88.92</f>
        <v>88.92</v>
      </c>
      <c r="D4739" s="1">
        <v>0</v>
      </c>
      <c r="E4739">
        <f>D4739*C4739</f>
        <v>0</v>
      </c>
      <c r="F4739" s="1" t="s">
        <v>13764</v>
      </c>
      <c r="G4739" s="17">
        <v>82769</v>
      </c>
    </row>
    <row r="4740" spans="1:7">
      <c r="A4740" s="1" t="s">
        <v>13765</v>
      </c>
      <c r="B4740" s="1" t="s">
        <v>13766</v>
      </c>
      <c r="C4740">
        <f>(1-(B7/100))*137.18</f>
        <v>137.18</v>
      </c>
      <c r="D4740" s="1">
        <v>0</v>
      </c>
      <c r="E4740">
        <f>D4740*C4740</f>
        <v>0</v>
      </c>
      <c r="F4740" s="1" t="s">
        <v>13767</v>
      </c>
      <c r="G4740" s="17">
        <v>82772</v>
      </c>
    </row>
    <row r="4741" spans="1:7">
      <c r="A4741" s="1" t="s">
        <v>13768</v>
      </c>
      <c r="B4741" s="1" t="s">
        <v>13769</v>
      </c>
      <c r="C4741">
        <f>(1-(B7/100))*220.71</f>
        <v>220.71</v>
      </c>
      <c r="D4741" s="1">
        <v>0</v>
      </c>
      <c r="E4741">
        <f>D4741*C4741</f>
        <v>0</v>
      </c>
      <c r="F4741" s="1" t="s">
        <v>13770</v>
      </c>
      <c r="G4741" s="17">
        <v>82786</v>
      </c>
    </row>
    <row r="4742" spans="1:7">
      <c r="A4742" s="1" t="s">
        <v>13771</v>
      </c>
      <c r="B4742" s="1" t="s">
        <v>13772</v>
      </c>
      <c r="C4742">
        <f>(1-(B7/100))*134.26</f>
        <v>134.26</v>
      </c>
      <c r="D4742" s="1">
        <v>0</v>
      </c>
      <c r="E4742">
        <f>D4742*C4742</f>
        <v>0</v>
      </c>
      <c r="F4742" s="1" t="s">
        <v>13773</v>
      </c>
      <c r="G4742" s="17">
        <v>82790</v>
      </c>
    </row>
    <row r="4743" spans="1:7">
      <c r="A4743" s="1" t="s">
        <v>13774</v>
      </c>
      <c r="B4743" s="1" t="s">
        <v>13775</v>
      </c>
      <c r="C4743">
        <f>(1-(B7/100))*120.03</f>
        <v>120.03</v>
      </c>
      <c r="D4743" s="1">
        <v>0</v>
      </c>
      <c r="E4743">
        <f>D4743*C4743</f>
        <v>0</v>
      </c>
      <c r="F4743" s="1" t="s">
        <v>13776</v>
      </c>
      <c r="G4743" s="17">
        <v>82791</v>
      </c>
    </row>
    <row r="4744" spans="1:7">
      <c r="A4744" s="1" t="s">
        <v>13777</v>
      </c>
      <c r="B4744" s="1" t="s">
        <v>13778</v>
      </c>
      <c r="C4744">
        <f>(1-(B7/100))*72.59</f>
        <v>72.59</v>
      </c>
      <c r="D4744" s="1">
        <v>0</v>
      </c>
      <c r="E4744">
        <f>D4744*C4744</f>
        <v>0</v>
      </c>
      <c r="F4744" s="1" t="s">
        <v>13779</v>
      </c>
      <c r="G4744" s="17">
        <v>82792</v>
      </c>
    </row>
    <row r="4745" spans="1:7">
      <c r="A4745" s="1" t="s">
        <v>13780</v>
      </c>
      <c r="B4745" s="1" t="s">
        <v>13781</v>
      </c>
      <c r="C4745">
        <f>(1-(B7/100))*97.85</f>
        <v>97.85</v>
      </c>
      <c r="D4745" s="1">
        <v>0</v>
      </c>
      <c r="E4745">
        <f>D4745*C4745</f>
        <v>0</v>
      </c>
      <c r="F4745" s="1" t="s">
        <v>13782</v>
      </c>
      <c r="G4745" s="17">
        <v>82793</v>
      </c>
    </row>
    <row r="4746" spans="1:7">
      <c r="A4746" s="1" t="s">
        <v>13783</v>
      </c>
      <c r="B4746" s="1" t="s">
        <v>13784</v>
      </c>
      <c r="C4746">
        <f>(1-(B7/100))*163.82</f>
        <v>163.82</v>
      </c>
      <c r="D4746" s="1">
        <v>0</v>
      </c>
      <c r="E4746">
        <f>D4746*C4746</f>
        <v>0</v>
      </c>
      <c r="F4746" s="1" t="s">
        <v>13785</v>
      </c>
      <c r="G4746" s="17">
        <v>82801</v>
      </c>
    </row>
    <row r="4747" spans="1:7">
      <c r="A4747" s="1" t="s">
        <v>13786</v>
      </c>
      <c r="B4747" s="1" t="s">
        <v>13787</v>
      </c>
      <c r="C4747">
        <f>(1-(B7/100))*137.11</f>
        <v>137.11</v>
      </c>
      <c r="D4747" s="1">
        <v>0</v>
      </c>
      <c r="E4747">
        <f>D4747*C4747</f>
        <v>0</v>
      </c>
      <c r="F4747" s="1" t="s">
        <v>13788</v>
      </c>
      <c r="G4747" s="17">
        <v>82804</v>
      </c>
    </row>
    <row r="4748" spans="1:7">
      <c r="A4748" s="1" t="s">
        <v>13789</v>
      </c>
      <c r="B4748" s="1" t="s">
        <v>13790</v>
      </c>
      <c r="C4748">
        <f>(1-(B7/100))*382.46</f>
        <v>382.46</v>
      </c>
      <c r="D4748" s="1">
        <v>0</v>
      </c>
      <c r="E4748">
        <f>D4748*C4748</f>
        <v>0</v>
      </c>
      <c r="F4748" s="1" t="s">
        <v>13791</v>
      </c>
      <c r="G4748" s="17">
        <v>82808</v>
      </c>
    </row>
    <row r="4749" spans="1:7">
      <c r="A4749" s="1" t="s">
        <v>13792</v>
      </c>
      <c r="B4749" s="1" t="s">
        <v>13793</v>
      </c>
      <c r="C4749">
        <f>(1-(B7/100))*330.2</f>
        <v>330.2</v>
      </c>
      <c r="D4749" s="1">
        <v>0</v>
      </c>
      <c r="E4749">
        <f>D4749*C4749</f>
        <v>0</v>
      </c>
      <c r="F4749" s="1" t="s">
        <v>13794</v>
      </c>
      <c r="G4749" s="17">
        <v>82809</v>
      </c>
    </row>
    <row r="4750" spans="1:7">
      <c r="A4750" s="1" t="s">
        <v>13795</v>
      </c>
      <c r="B4750" s="1" t="s">
        <v>13796</v>
      </c>
      <c r="C4750">
        <f>(1-(B7/100))*295.76</f>
        <v>295.76</v>
      </c>
      <c r="D4750" s="1">
        <v>0</v>
      </c>
      <c r="E4750">
        <f>D4750*C4750</f>
        <v>0</v>
      </c>
      <c r="F4750" s="1" t="s">
        <v>13797</v>
      </c>
      <c r="G4750" s="17">
        <v>82815</v>
      </c>
    </row>
    <row r="4751" spans="1:7">
      <c r="A4751" s="1" t="s">
        <v>13798</v>
      </c>
      <c r="B4751" s="1" t="s">
        <v>13799</v>
      </c>
      <c r="C4751">
        <f>(1-(B7/100))*217.91</f>
        <v>217.91</v>
      </c>
      <c r="D4751" s="1">
        <v>0</v>
      </c>
      <c r="E4751">
        <f>D4751*C4751</f>
        <v>0</v>
      </c>
      <c r="F4751" s="1" t="s">
        <v>13800</v>
      </c>
      <c r="G4751" s="17">
        <v>82816</v>
      </c>
    </row>
    <row r="4752" spans="1:7">
      <c r="A4752" s="1" t="s">
        <v>13801</v>
      </c>
      <c r="B4752" s="1" t="s">
        <v>13802</v>
      </c>
      <c r="C4752">
        <f>(1-(B7/100))*304.84</f>
        <v>304.84</v>
      </c>
      <c r="D4752" s="1">
        <v>0</v>
      </c>
      <c r="E4752">
        <f>D4752*C4752</f>
        <v>0</v>
      </c>
      <c r="F4752" s="1" t="s">
        <v>13803</v>
      </c>
      <c r="G4752" s="17">
        <v>82817</v>
      </c>
    </row>
    <row r="4753" spans="1:7">
      <c r="A4753" s="1" t="s">
        <v>13804</v>
      </c>
      <c r="B4753" s="1" t="s">
        <v>13805</v>
      </c>
      <c r="C4753">
        <f>(1-(B7/100))*270.04</f>
        <v>270.04</v>
      </c>
      <c r="D4753" s="1">
        <v>0</v>
      </c>
      <c r="E4753">
        <f>D4753*C4753</f>
        <v>0</v>
      </c>
      <c r="F4753" s="1" t="s">
        <v>13806</v>
      </c>
      <c r="G4753" s="17">
        <v>82818</v>
      </c>
    </row>
    <row r="4754" spans="1:7">
      <c r="A4754" s="1" t="s">
        <v>13807</v>
      </c>
      <c r="B4754" s="1" t="s">
        <v>13808</v>
      </c>
      <c r="C4754">
        <f>(1-(B7/100))*265.67</f>
        <v>265.67</v>
      </c>
      <c r="D4754" s="1">
        <v>0</v>
      </c>
      <c r="E4754">
        <f>D4754*C4754</f>
        <v>0</v>
      </c>
      <c r="F4754" s="1" t="s">
        <v>13809</v>
      </c>
      <c r="G4754" s="17">
        <v>82819</v>
      </c>
    </row>
    <row r="4755" spans="1:7">
      <c r="A4755" s="1" t="s">
        <v>13810</v>
      </c>
      <c r="B4755" s="1" t="s">
        <v>13811</v>
      </c>
      <c r="C4755">
        <f>(1-(B7/100))*314.24</f>
        <v>314.24</v>
      </c>
      <c r="D4755" s="1">
        <v>0</v>
      </c>
      <c r="E4755">
        <f>D4755*C4755</f>
        <v>0</v>
      </c>
      <c r="F4755" s="1" t="s">
        <v>13812</v>
      </c>
      <c r="G4755" s="17">
        <v>82821</v>
      </c>
    </row>
    <row r="4756" spans="1:7">
      <c r="A4756" s="1" t="s">
        <v>13813</v>
      </c>
      <c r="B4756" s="1" t="s">
        <v>13814</v>
      </c>
      <c r="C4756">
        <f>(1-(B7/100))*341.29</f>
        <v>341.29</v>
      </c>
      <c r="D4756" s="1">
        <v>0</v>
      </c>
      <c r="E4756">
        <f>D4756*C4756</f>
        <v>0</v>
      </c>
      <c r="F4756" s="1" t="s">
        <v>13815</v>
      </c>
      <c r="G4756" s="17">
        <v>82823</v>
      </c>
    </row>
    <row r="4757" spans="1:7">
      <c r="A4757" s="1" t="s">
        <v>13816</v>
      </c>
      <c r="B4757" s="1" t="s">
        <v>13817</v>
      </c>
      <c r="C4757">
        <f>(1-(B7/100))*313.42</f>
        <v>313.42</v>
      </c>
      <c r="D4757" s="1">
        <v>0</v>
      </c>
      <c r="E4757">
        <f>D4757*C4757</f>
        <v>0</v>
      </c>
      <c r="F4757" s="1" t="s">
        <v>13818</v>
      </c>
      <c r="G4757" s="17">
        <v>82825</v>
      </c>
    </row>
    <row r="4758" spans="1:7">
      <c r="A4758" s="1" t="s">
        <v>13819</v>
      </c>
      <c r="B4758" s="1" t="s">
        <v>13820</v>
      </c>
      <c r="C4758">
        <f>(1-(B7/100))*393.47</f>
        <v>393.47</v>
      </c>
      <c r="D4758" s="1">
        <v>0</v>
      </c>
      <c r="E4758">
        <f>D4758*C4758</f>
        <v>0</v>
      </c>
      <c r="F4758" s="1" t="s">
        <v>13821</v>
      </c>
      <c r="G4758" s="17">
        <v>82827</v>
      </c>
    </row>
    <row r="4759" spans="1:7">
      <c r="A4759" s="1" t="s">
        <v>13822</v>
      </c>
      <c r="B4759" s="1" t="s">
        <v>13823</v>
      </c>
      <c r="C4759">
        <f>(1-(B7/100))*632.96</f>
        <v>632.96</v>
      </c>
      <c r="D4759" s="1">
        <v>0</v>
      </c>
      <c r="E4759">
        <f>D4759*C4759</f>
        <v>0</v>
      </c>
      <c r="F4759" s="1" t="s">
        <v>13824</v>
      </c>
      <c r="G4759" s="17">
        <v>82830</v>
      </c>
    </row>
    <row r="4760" spans="1:7">
      <c r="A4760" s="1" t="s">
        <v>13825</v>
      </c>
      <c r="B4760" s="1" t="s">
        <v>13826</v>
      </c>
      <c r="C4760">
        <f>(1-(B7/100))*494.88</f>
        <v>494.88</v>
      </c>
      <c r="D4760" s="1">
        <v>0</v>
      </c>
      <c r="E4760">
        <f>D4760*C4760</f>
        <v>0</v>
      </c>
      <c r="F4760" s="1" t="s">
        <v>13827</v>
      </c>
      <c r="G4760" s="17">
        <v>82834</v>
      </c>
    </row>
    <row r="4761" spans="1:7">
      <c r="A4761" s="1" t="s">
        <v>13828</v>
      </c>
      <c r="B4761" s="1" t="s">
        <v>13829</v>
      </c>
      <c r="C4761">
        <f>(1-(B7/100))*196.31</f>
        <v>196.31</v>
      </c>
      <c r="D4761" s="1">
        <v>0</v>
      </c>
      <c r="E4761">
        <f>D4761*C4761</f>
        <v>0</v>
      </c>
      <c r="F4761" s="1" t="s">
        <v>13830</v>
      </c>
      <c r="G4761" s="17">
        <v>82835</v>
      </c>
    </row>
    <row r="4762" spans="1:7">
      <c r="A4762" s="1" t="s">
        <v>13831</v>
      </c>
      <c r="B4762" s="1" t="s">
        <v>13832</v>
      </c>
      <c r="C4762">
        <f>(1-(B7/100))*43.55</f>
        <v>43.55</v>
      </c>
      <c r="D4762" s="1">
        <v>0</v>
      </c>
      <c r="E4762">
        <f>D4762*C4762</f>
        <v>0</v>
      </c>
      <c r="F4762" s="1" t="s">
        <v>13833</v>
      </c>
      <c r="G4762" s="17">
        <v>82837</v>
      </c>
    </row>
    <row r="4763" spans="1:7">
      <c r="A4763" s="1" t="s">
        <v>13834</v>
      </c>
      <c r="B4763" s="1" t="s">
        <v>13835</v>
      </c>
      <c r="C4763">
        <f>(1-(B7/100))*68.47</f>
        <v>68.47</v>
      </c>
      <c r="D4763" s="1">
        <v>0</v>
      </c>
      <c r="E4763">
        <f>D4763*C4763</f>
        <v>0</v>
      </c>
      <c r="F4763" s="1" t="s">
        <v>13836</v>
      </c>
      <c r="G4763" s="17">
        <v>82839</v>
      </c>
    </row>
    <row r="4764" spans="1:7">
      <c r="A4764" s="1" t="s">
        <v>13837</v>
      </c>
      <c r="B4764" s="1" t="s">
        <v>13838</v>
      </c>
      <c r="C4764">
        <f>(1-(B7/100))*57.34</f>
        <v>57.34</v>
      </c>
      <c r="D4764" s="1">
        <v>0</v>
      </c>
      <c r="E4764">
        <f>D4764*C4764</f>
        <v>0</v>
      </c>
      <c r="F4764" s="1" t="s">
        <v>16</v>
      </c>
      <c r="G4764" s="17">
        <v>82840</v>
      </c>
    </row>
    <row r="4765" spans="1:7">
      <c r="A4765" s="1" t="s">
        <v>13839</v>
      </c>
      <c r="B4765" s="1" t="s">
        <v>13840</v>
      </c>
      <c r="C4765">
        <f>(1-(B7/100))*94.43</f>
        <v>94.43</v>
      </c>
      <c r="D4765" s="1">
        <v>0</v>
      </c>
      <c r="E4765">
        <f>D4765*C4765</f>
        <v>0</v>
      </c>
      <c r="F4765" s="1" t="s">
        <v>13841</v>
      </c>
      <c r="G4765" s="17">
        <v>82841</v>
      </c>
    </row>
    <row r="4766" spans="1:7">
      <c r="A4766" s="1" t="s">
        <v>13842</v>
      </c>
      <c r="B4766" s="1" t="s">
        <v>13843</v>
      </c>
      <c r="C4766">
        <f>(1-(B7/100))*72.05</f>
        <v>72.05</v>
      </c>
      <c r="D4766" s="1">
        <v>0</v>
      </c>
      <c r="E4766">
        <f>D4766*C4766</f>
        <v>0</v>
      </c>
      <c r="F4766" s="1" t="s">
        <v>13844</v>
      </c>
      <c r="G4766" s="17">
        <v>82843</v>
      </c>
    </row>
    <row r="4767" spans="1:7">
      <c r="A4767" s="1" t="s">
        <v>13845</v>
      </c>
      <c r="B4767" s="1" t="s">
        <v>13846</v>
      </c>
      <c r="C4767">
        <f>(1-(B7/100))*69.98</f>
        <v>69.98</v>
      </c>
      <c r="D4767" s="1">
        <v>0</v>
      </c>
      <c r="E4767">
        <f>D4767*C4767</f>
        <v>0</v>
      </c>
      <c r="F4767" s="1" t="s">
        <v>13847</v>
      </c>
      <c r="G4767" s="17">
        <v>82845</v>
      </c>
    </row>
    <row r="4768" spans="1:7">
      <c r="A4768" s="1" t="s">
        <v>13848</v>
      </c>
      <c r="B4768" s="1" t="s">
        <v>13849</v>
      </c>
      <c r="C4768">
        <f>(1-(B7/100))*69.98</f>
        <v>69.98</v>
      </c>
      <c r="D4768" s="1">
        <v>0</v>
      </c>
      <c r="E4768">
        <f>D4768*C4768</f>
        <v>0</v>
      </c>
      <c r="F4768" s="1" t="s">
        <v>13850</v>
      </c>
      <c r="G4768" s="17">
        <v>82846</v>
      </c>
    </row>
    <row r="4769" spans="1:7">
      <c r="A4769" s="1" t="s">
        <v>13851</v>
      </c>
      <c r="B4769" s="1" t="s">
        <v>13852</v>
      </c>
      <c r="C4769">
        <f>(1-(B7/100))*1036.88</f>
        <v>1036.88</v>
      </c>
      <c r="D4769" s="1">
        <v>0</v>
      </c>
      <c r="E4769">
        <f>D4769*C4769</f>
        <v>0</v>
      </c>
      <c r="F4769" s="1" t="s">
        <v>13853</v>
      </c>
      <c r="G4769" s="17">
        <v>82848</v>
      </c>
    </row>
    <row r="4770" spans="1:7">
      <c r="A4770" s="1" t="s">
        <v>13854</v>
      </c>
      <c r="B4770" s="1" t="s">
        <v>13855</v>
      </c>
      <c r="C4770">
        <f>(1-(B7/100))*911.89</f>
        <v>911.89</v>
      </c>
      <c r="D4770" s="1">
        <v>0</v>
      </c>
      <c r="E4770">
        <f>D4770*C4770</f>
        <v>0</v>
      </c>
      <c r="F4770" s="1" t="s">
        <v>13856</v>
      </c>
      <c r="G4770" s="17">
        <v>82850</v>
      </c>
    </row>
    <row r="4771" spans="1:7">
      <c r="A4771" s="1" t="s">
        <v>13857</v>
      </c>
      <c r="B4771" s="1" t="s">
        <v>13858</v>
      </c>
      <c r="C4771">
        <f>(1-(B7/100))*1194.58</f>
        <v>1194.58</v>
      </c>
      <c r="D4771" s="1">
        <v>0</v>
      </c>
      <c r="E4771">
        <f>D4771*C4771</f>
        <v>0</v>
      </c>
      <c r="F4771" s="1" t="s">
        <v>13859</v>
      </c>
      <c r="G4771" s="17">
        <v>82851</v>
      </c>
    </row>
    <row r="4772" spans="1:7">
      <c r="A4772" s="1" t="s">
        <v>13860</v>
      </c>
      <c r="B4772" s="1" t="s">
        <v>13861</v>
      </c>
      <c r="C4772">
        <f>(1-(B7/100))*236.76</f>
        <v>236.76</v>
      </c>
      <c r="D4772" s="1">
        <v>0</v>
      </c>
      <c r="E4772">
        <f>D4772*C4772</f>
        <v>0</v>
      </c>
      <c r="F4772" s="1" t="s">
        <v>13862</v>
      </c>
      <c r="G4772" s="17">
        <v>82858</v>
      </c>
    </row>
    <row r="4773" spans="1:7">
      <c r="A4773" s="1" t="s">
        <v>13863</v>
      </c>
      <c r="B4773" s="1" t="s">
        <v>13864</v>
      </c>
      <c r="C4773">
        <f>(1-(B7/100))*260.32</f>
        <v>260.32</v>
      </c>
      <c r="D4773" s="1">
        <v>0</v>
      </c>
      <c r="E4773">
        <f>D4773*C4773</f>
        <v>0</v>
      </c>
      <c r="F4773" s="1" t="s">
        <v>13865</v>
      </c>
      <c r="G4773" s="17">
        <v>82859</v>
      </c>
    </row>
    <row r="4774" spans="1:7">
      <c r="A4774" s="1" t="s">
        <v>13866</v>
      </c>
      <c r="B4774" s="1" t="s">
        <v>13867</v>
      </c>
      <c r="C4774">
        <f>(1-(B7/100))*48.13</f>
        <v>48.13</v>
      </c>
      <c r="D4774" s="1">
        <v>0</v>
      </c>
      <c r="E4774">
        <f>D4774*C4774</f>
        <v>0</v>
      </c>
      <c r="F4774" s="1" t="s">
        <v>13868</v>
      </c>
      <c r="G4774" s="17">
        <v>82860</v>
      </c>
    </row>
    <row r="4775" spans="1:7">
      <c r="A4775" s="1" t="s">
        <v>13869</v>
      </c>
      <c r="B4775" s="1" t="s">
        <v>13870</v>
      </c>
      <c r="C4775">
        <f>(1-(B7/100))*237.34</f>
        <v>237.34</v>
      </c>
      <c r="D4775" s="1">
        <v>0</v>
      </c>
      <c r="E4775">
        <f>D4775*C4775</f>
        <v>0</v>
      </c>
      <c r="F4775" s="1" t="s">
        <v>13871</v>
      </c>
      <c r="G4775" s="17">
        <v>82865</v>
      </c>
    </row>
    <row r="4776" spans="1:7">
      <c r="A4776" s="1" t="s">
        <v>13872</v>
      </c>
      <c r="B4776" s="1" t="s">
        <v>13873</v>
      </c>
      <c r="C4776">
        <f>(1-(B7/100))*341.08</f>
        <v>341.08</v>
      </c>
      <c r="D4776" s="1">
        <v>0</v>
      </c>
      <c r="E4776">
        <f>D4776*C4776</f>
        <v>0</v>
      </c>
      <c r="F4776" s="1" t="s">
        <v>13874</v>
      </c>
      <c r="G4776" s="17">
        <v>82867</v>
      </c>
    </row>
    <row r="4777" spans="1:7">
      <c r="A4777" s="1" t="s">
        <v>13875</v>
      </c>
      <c r="B4777" s="1" t="s">
        <v>13876</v>
      </c>
      <c r="C4777">
        <f>(1-(B7/100))*360.4</f>
        <v>360.4</v>
      </c>
      <c r="D4777" s="1">
        <v>0</v>
      </c>
      <c r="E4777">
        <f>D4777*C4777</f>
        <v>0</v>
      </c>
      <c r="F4777" s="1" t="s">
        <v>13877</v>
      </c>
      <c r="G4777" s="17">
        <v>82870</v>
      </c>
    </row>
    <row r="4778" spans="1:7">
      <c r="A4778" s="1" t="s">
        <v>13878</v>
      </c>
      <c r="B4778" s="1" t="s">
        <v>13879</v>
      </c>
      <c r="C4778">
        <f>(1-(B7/100))*346.28</f>
        <v>346.28</v>
      </c>
      <c r="D4778" s="1">
        <v>0</v>
      </c>
      <c r="E4778">
        <f>D4778*C4778</f>
        <v>0</v>
      </c>
      <c r="F4778" s="1" t="s">
        <v>13880</v>
      </c>
      <c r="G4778" s="17">
        <v>82873</v>
      </c>
    </row>
    <row r="4779" spans="1:7">
      <c r="A4779" s="1" t="s">
        <v>13881</v>
      </c>
      <c r="B4779" s="1" t="s">
        <v>13882</v>
      </c>
      <c r="C4779">
        <f>(1-(B7/100))*78.93</f>
        <v>78.93</v>
      </c>
      <c r="D4779" s="1">
        <v>0</v>
      </c>
      <c r="E4779">
        <f>D4779*C4779</f>
        <v>0</v>
      </c>
      <c r="F4779" s="1" t="s">
        <v>13883</v>
      </c>
      <c r="G4779" s="17">
        <v>82874</v>
      </c>
    </row>
    <row r="4780" spans="1:7">
      <c r="A4780" s="1" t="s">
        <v>13884</v>
      </c>
      <c r="B4780" s="1" t="s">
        <v>13885</v>
      </c>
      <c r="C4780">
        <f>(1-(B7/100))*136.61</f>
        <v>136.61</v>
      </c>
      <c r="D4780" s="1">
        <v>0</v>
      </c>
      <c r="E4780">
        <f>D4780*C4780</f>
        <v>0</v>
      </c>
      <c r="F4780" s="1" t="s">
        <v>13886</v>
      </c>
      <c r="G4780" s="17">
        <v>82881</v>
      </c>
    </row>
    <row r="4781" spans="1:7">
      <c r="A4781" s="1" t="s">
        <v>13887</v>
      </c>
      <c r="B4781" s="1" t="s">
        <v>13888</v>
      </c>
      <c r="C4781">
        <f>(1-(B7/100))*155.94</f>
        <v>155.94</v>
      </c>
      <c r="D4781" s="1">
        <v>0</v>
      </c>
      <c r="E4781">
        <f>D4781*C4781</f>
        <v>0</v>
      </c>
      <c r="F4781" s="1" t="s">
        <v>13889</v>
      </c>
      <c r="G4781" s="17">
        <v>82883</v>
      </c>
    </row>
    <row r="4782" spans="1:7">
      <c r="A4782" s="1" t="s">
        <v>13890</v>
      </c>
      <c r="B4782" s="1" t="s">
        <v>13891</v>
      </c>
      <c r="C4782">
        <f>(1-(B7/100))*65.95</f>
        <v>65.95</v>
      </c>
      <c r="D4782" s="1">
        <v>0</v>
      </c>
      <c r="E4782">
        <f>D4782*C4782</f>
        <v>0</v>
      </c>
      <c r="F4782" s="1" t="s">
        <v>13892</v>
      </c>
      <c r="G4782" s="17">
        <v>82885</v>
      </c>
    </row>
    <row r="4783" spans="1:7">
      <c r="A4783" s="1" t="s">
        <v>13893</v>
      </c>
      <c r="B4783" s="1" t="s">
        <v>13894</v>
      </c>
      <c r="C4783">
        <f>(1-(B7/100))*356.85</f>
        <v>356.85</v>
      </c>
      <c r="D4783" s="1">
        <v>0</v>
      </c>
      <c r="E4783">
        <f>D4783*C4783</f>
        <v>0</v>
      </c>
      <c r="F4783" s="1" t="s">
        <v>13895</v>
      </c>
      <c r="G4783" s="17">
        <v>82896</v>
      </c>
    </row>
    <row r="4784" spans="1:7">
      <c r="A4784" s="1" t="s">
        <v>13896</v>
      </c>
      <c r="B4784" s="1" t="s">
        <v>13897</v>
      </c>
      <c r="C4784">
        <f>(1-(B7/100))*427.04</f>
        <v>427.04</v>
      </c>
      <c r="D4784" s="1">
        <v>0</v>
      </c>
      <c r="E4784">
        <f>D4784*C4784</f>
        <v>0</v>
      </c>
      <c r="F4784" s="1" t="s">
        <v>13898</v>
      </c>
      <c r="G4784" s="17">
        <v>82901</v>
      </c>
    </row>
    <row r="4785" spans="1:7">
      <c r="A4785" s="1" t="s">
        <v>13899</v>
      </c>
      <c r="B4785" s="1" t="s">
        <v>13900</v>
      </c>
      <c r="C4785">
        <f>(1-(B7/100))*341.08</f>
        <v>341.08</v>
      </c>
      <c r="D4785" s="1">
        <v>0</v>
      </c>
      <c r="E4785">
        <f>D4785*C4785</f>
        <v>0</v>
      </c>
      <c r="F4785" s="1" t="s">
        <v>13901</v>
      </c>
      <c r="G4785" s="17">
        <v>82909</v>
      </c>
    </row>
    <row r="4786" spans="1:7">
      <c r="A4786" s="1" t="s">
        <v>13902</v>
      </c>
      <c r="B4786" s="1" t="s">
        <v>13903</v>
      </c>
      <c r="C4786">
        <f>(1-(B7/100))*23.49</f>
        <v>23.49</v>
      </c>
      <c r="D4786" s="1">
        <v>0</v>
      </c>
      <c r="E4786">
        <f>D4786*C4786</f>
        <v>0</v>
      </c>
      <c r="F4786" s="1" t="s">
        <v>13904</v>
      </c>
      <c r="G4786" s="17">
        <v>82919</v>
      </c>
    </row>
    <row r="4787" spans="1:7">
      <c r="A4787" s="1" t="s">
        <v>13905</v>
      </c>
      <c r="B4787" s="1" t="s">
        <v>13906</v>
      </c>
      <c r="C4787">
        <f>(1-(B7/100))*21.97</f>
        <v>21.97</v>
      </c>
      <c r="D4787" s="1">
        <v>0</v>
      </c>
      <c r="E4787">
        <f>D4787*C4787</f>
        <v>0</v>
      </c>
      <c r="F4787" s="1" t="s">
        <v>13907</v>
      </c>
      <c r="G4787" s="17">
        <v>82920</v>
      </c>
    </row>
    <row r="4788" spans="1:7">
      <c r="A4788" s="1" t="s">
        <v>13908</v>
      </c>
      <c r="B4788" s="1" t="s">
        <v>13909</v>
      </c>
      <c r="C4788">
        <f>(1-(B7/100))*17.83</f>
        <v>17.83</v>
      </c>
      <c r="D4788" s="1">
        <v>0</v>
      </c>
      <c r="E4788">
        <f>D4788*C4788</f>
        <v>0</v>
      </c>
      <c r="F4788" s="1" t="s">
        <v>13910</v>
      </c>
      <c r="G4788" s="17">
        <v>82921</v>
      </c>
    </row>
    <row r="4789" spans="1:7">
      <c r="A4789" s="1" t="s">
        <v>13911</v>
      </c>
      <c r="B4789" s="1" t="s">
        <v>13912</v>
      </c>
      <c r="C4789">
        <f>(1-(B7/100))*17.83</f>
        <v>17.83</v>
      </c>
      <c r="D4789" s="1">
        <v>0</v>
      </c>
      <c r="E4789">
        <f>D4789*C4789</f>
        <v>0</v>
      </c>
      <c r="F4789" s="1" t="s">
        <v>13913</v>
      </c>
      <c r="G4789" s="17">
        <v>82922</v>
      </c>
    </row>
    <row r="4790" spans="1:7">
      <c r="A4790" s="1" t="s">
        <v>13914</v>
      </c>
      <c r="B4790" s="1" t="s">
        <v>13915</v>
      </c>
      <c r="C4790">
        <f>(1-(B7/100))*47.88</f>
        <v>47.88</v>
      </c>
      <c r="D4790" s="1">
        <v>0</v>
      </c>
      <c r="E4790">
        <f>D4790*C4790</f>
        <v>0</v>
      </c>
      <c r="F4790" s="1" t="s">
        <v>13916</v>
      </c>
      <c r="G4790" s="17">
        <v>82927</v>
      </c>
    </row>
    <row r="4791" spans="1:7">
      <c r="A4791" s="1" t="s">
        <v>13917</v>
      </c>
      <c r="B4791" s="1" t="s">
        <v>13918</v>
      </c>
      <c r="C4791">
        <f>(1-(B7/100))*33.45</f>
        <v>33.45</v>
      </c>
      <c r="D4791" s="1">
        <v>0</v>
      </c>
      <c r="E4791">
        <f>D4791*C4791</f>
        <v>0</v>
      </c>
      <c r="F4791" s="1" t="s">
        <v>13919</v>
      </c>
      <c r="G4791" s="17">
        <v>82928</v>
      </c>
    </row>
    <row r="4792" spans="1:7">
      <c r="A4792" s="1" t="s">
        <v>13920</v>
      </c>
      <c r="B4792" s="1" t="s">
        <v>13921</v>
      </c>
      <c r="C4792">
        <f>(1-(B7/100))*111.56</f>
        <v>111.56</v>
      </c>
      <c r="D4792" s="1">
        <v>0</v>
      </c>
      <c r="E4792">
        <f>D4792*C4792</f>
        <v>0</v>
      </c>
      <c r="F4792" s="1" t="s">
        <v>13922</v>
      </c>
      <c r="G4792" s="17">
        <v>82933</v>
      </c>
    </row>
    <row r="4793" spans="1:7">
      <c r="A4793" s="1" t="s">
        <v>13923</v>
      </c>
      <c r="B4793" s="1" t="s">
        <v>13924</v>
      </c>
      <c r="C4793">
        <f>(1-(B7/100))*193.11</f>
        <v>193.11</v>
      </c>
      <c r="D4793" s="1">
        <v>0</v>
      </c>
      <c r="E4793">
        <f>D4793*C4793</f>
        <v>0</v>
      </c>
      <c r="F4793" s="1" t="s">
        <v>13925</v>
      </c>
      <c r="G4793" s="17">
        <v>82941</v>
      </c>
    </row>
    <row r="4794" spans="1:7">
      <c r="A4794" s="1" t="s">
        <v>13926</v>
      </c>
      <c r="B4794" s="1" t="s">
        <v>13927</v>
      </c>
      <c r="C4794">
        <f>(1-(B7/100))*134.07</f>
        <v>134.07</v>
      </c>
      <c r="D4794" s="1">
        <v>0</v>
      </c>
      <c r="E4794">
        <f>D4794*C4794</f>
        <v>0</v>
      </c>
      <c r="F4794" s="1" t="s">
        <v>13928</v>
      </c>
      <c r="G4794" s="17">
        <v>82943</v>
      </c>
    </row>
    <row r="4795" spans="1:7">
      <c r="A4795" s="1" t="s">
        <v>13929</v>
      </c>
      <c r="B4795" s="1" t="s">
        <v>13930</v>
      </c>
      <c r="C4795">
        <f>(1-(B7/100))*191.56</f>
        <v>191.56</v>
      </c>
      <c r="D4795" s="1">
        <v>0</v>
      </c>
      <c r="E4795">
        <f>D4795*C4795</f>
        <v>0</v>
      </c>
      <c r="F4795" s="1" t="s">
        <v>13931</v>
      </c>
      <c r="G4795" s="17">
        <v>82947</v>
      </c>
    </row>
    <row r="4796" spans="1:7">
      <c r="A4796" s="1" t="s">
        <v>13932</v>
      </c>
      <c r="B4796" s="1" t="s">
        <v>13933</v>
      </c>
      <c r="C4796">
        <f>(1-(B7/100))*194.27</f>
        <v>194.27</v>
      </c>
      <c r="D4796" s="1">
        <v>0</v>
      </c>
      <c r="E4796">
        <f>D4796*C4796</f>
        <v>0</v>
      </c>
      <c r="F4796" s="1" t="s">
        <v>13934</v>
      </c>
      <c r="G4796" s="17">
        <v>82949</v>
      </c>
    </row>
    <row r="4797" spans="1:7">
      <c r="A4797" s="1" t="s">
        <v>13935</v>
      </c>
      <c r="B4797" s="1" t="s">
        <v>13936</v>
      </c>
      <c r="C4797">
        <f>(1-(B7/100))*110.67</f>
        <v>110.67</v>
      </c>
      <c r="D4797" s="1">
        <v>0</v>
      </c>
      <c r="E4797">
        <f>D4797*C4797</f>
        <v>0</v>
      </c>
      <c r="F4797" s="1" t="s">
        <v>13937</v>
      </c>
      <c r="G4797" s="17">
        <v>82958</v>
      </c>
    </row>
    <row r="4798" spans="1:7">
      <c r="A4798" s="1" t="s">
        <v>13938</v>
      </c>
      <c r="B4798" s="1" t="s">
        <v>13939</v>
      </c>
      <c r="C4798">
        <f>(1-(B7/100))*116.89</f>
        <v>116.89</v>
      </c>
      <c r="D4798" s="1">
        <v>0</v>
      </c>
      <c r="E4798">
        <f>D4798*C4798</f>
        <v>0</v>
      </c>
      <c r="F4798" s="1" t="s">
        <v>13940</v>
      </c>
      <c r="G4798" s="17">
        <v>82962</v>
      </c>
    </row>
    <row r="4799" spans="1:7">
      <c r="A4799" s="1" t="s">
        <v>13941</v>
      </c>
      <c r="B4799" s="1" t="s">
        <v>13942</v>
      </c>
      <c r="C4799">
        <f>(1-(B7/100))*108.8</f>
        <v>108.8</v>
      </c>
      <c r="D4799" s="1">
        <v>0</v>
      </c>
      <c r="E4799">
        <f>D4799*C4799</f>
        <v>0</v>
      </c>
      <c r="F4799" s="1" t="s">
        <v>13943</v>
      </c>
      <c r="G4799" s="17">
        <v>82965</v>
      </c>
    </row>
    <row r="4800" spans="1:7">
      <c r="A4800" s="1" t="s">
        <v>13944</v>
      </c>
      <c r="B4800" s="1" t="s">
        <v>13945</v>
      </c>
      <c r="C4800">
        <f>(1-(B7/100))*221.71</f>
        <v>221.71</v>
      </c>
      <c r="D4800" s="1">
        <v>0</v>
      </c>
      <c r="E4800">
        <f>D4800*C4800</f>
        <v>0</v>
      </c>
      <c r="F4800" s="1" t="s">
        <v>13946</v>
      </c>
      <c r="G4800" s="17">
        <v>82975</v>
      </c>
    </row>
    <row r="4801" spans="1:7">
      <c r="A4801" s="1" t="s">
        <v>13947</v>
      </c>
      <c r="B4801" s="1" t="s">
        <v>13948</v>
      </c>
      <c r="C4801">
        <f>(1-(B7/100))*115.67</f>
        <v>115.67</v>
      </c>
      <c r="D4801" s="1">
        <v>0</v>
      </c>
      <c r="E4801">
        <f>D4801*C4801</f>
        <v>0</v>
      </c>
      <c r="F4801" s="1" t="s">
        <v>13949</v>
      </c>
      <c r="G4801" s="17">
        <v>82976</v>
      </c>
    </row>
    <row r="4802" spans="1:7">
      <c r="A4802" s="1" t="s">
        <v>13950</v>
      </c>
      <c r="B4802" s="1" t="s">
        <v>13951</v>
      </c>
      <c r="C4802">
        <f>(1-(B7/100))*86.01</f>
        <v>86.01</v>
      </c>
      <c r="D4802" s="1">
        <v>0</v>
      </c>
      <c r="E4802">
        <f>D4802*C4802</f>
        <v>0</v>
      </c>
      <c r="F4802" s="1" t="s">
        <v>13952</v>
      </c>
      <c r="G4802" s="17">
        <v>82998</v>
      </c>
    </row>
    <row r="4803" spans="1:7">
      <c r="A4803" s="1" t="s">
        <v>13953</v>
      </c>
      <c r="B4803" s="1" t="s">
        <v>13954</v>
      </c>
      <c r="C4803">
        <f>(1-(B7/100))*123.09</f>
        <v>123.09</v>
      </c>
      <c r="D4803" s="1">
        <v>0</v>
      </c>
      <c r="E4803">
        <f>D4803*C4803</f>
        <v>0</v>
      </c>
      <c r="F4803" s="1" t="s">
        <v>13955</v>
      </c>
      <c r="G4803" s="17">
        <v>83001</v>
      </c>
    </row>
    <row r="4804" spans="1:7">
      <c r="A4804" s="1" t="s">
        <v>13956</v>
      </c>
      <c r="B4804" s="1" t="s">
        <v>13957</v>
      </c>
      <c r="C4804">
        <f>(1-(B7/100))*117.19</f>
        <v>117.19</v>
      </c>
      <c r="D4804" s="1">
        <v>0</v>
      </c>
      <c r="E4804">
        <f>D4804*C4804</f>
        <v>0</v>
      </c>
      <c r="F4804" s="1" t="s">
        <v>13958</v>
      </c>
      <c r="G4804" s="17">
        <v>83006</v>
      </c>
    </row>
    <row r="4805" spans="1:7">
      <c r="A4805" s="1" t="s">
        <v>13959</v>
      </c>
      <c r="B4805" s="1" t="s">
        <v>13960</v>
      </c>
      <c r="C4805">
        <f>(1-(B7/100))*141.09</f>
        <v>141.09</v>
      </c>
      <c r="D4805" s="1">
        <v>0</v>
      </c>
      <c r="E4805">
        <f>D4805*C4805</f>
        <v>0</v>
      </c>
      <c r="F4805" s="1" t="s">
        <v>13961</v>
      </c>
      <c r="G4805" s="17">
        <v>83007</v>
      </c>
    </row>
    <row r="4806" spans="1:7">
      <c r="A4806" s="1" t="s">
        <v>13962</v>
      </c>
      <c r="B4806" s="1" t="s">
        <v>13963</v>
      </c>
      <c r="C4806">
        <f>(1-(B7/100))*199.03</f>
        <v>199.03</v>
      </c>
      <c r="D4806" s="1">
        <v>0</v>
      </c>
      <c r="E4806">
        <f>D4806*C4806</f>
        <v>0</v>
      </c>
      <c r="F4806" s="1" t="s">
        <v>13964</v>
      </c>
      <c r="G4806" s="17">
        <v>83010</v>
      </c>
    </row>
    <row r="4807" spans="1:7">
      <c r="A4807" s="1" t="s">
        <v>13965</v>
      </c>
      <c r="B4807" s="1" t="s">
        <v>13966</v>
      </c>
      <c r="C4807">
        <f>(1-(B7/100))*541.61</f>
        <v>541.61</v>
      </c>
      <c r="D4807" s="1">
        <v>0</v>
      </c>
      <c r="E4807">
        <f>D4807*C4807</f>
        <v>0</v>
      </c>
      <c r="F4807" s="1" t="s">
        <v>13967</v>
      </c>
      <c r="G4807" s="17">
        <v>83017</v>
      </c>
    </row>
    <row r="4808" spans="1:7">
      <c r="A4808" s="1" t="s">
        <v>13968</v>
      </c>
      <c r="B4808" s="1" t="s">
        <v>13969</v>
      </c>
      <c r="C4808">
        <f>(1-(B7/100))*430.73</f>
        <v>430.73</v>
      </c>
      <c r="D4808" s="1">
        <v>0</v>
      </c>
      <c r="E4808">
        <f>D4808*C4808</f>
        <v>0</v>
      </c>
      <c r="F4808" s="1" t="s">
        <v>13970</v>
      </c>
      <c r="G4808" s="17">
        <v>83019</v>
      </c>
    </row>
    <row r="4809" spans="1:7">
      <c r="A4809" s="1" t="s">
        <v>13971</v>
      </c>
      <c r="B4809" s="1" t="s">
        <v>13972</v>
      </c>
      <c r="C4809">
        <f>(1-(B7/100))*590.28</f>
        <v>590.28</v>
      </c>
      <c r="D4809" s="1">
        <v>0</v>
      </c>
      <c r="E4809">
        <f>D4809*C4809</f>
        <v>0</v>
      </c>
      <c r="F4809" s="1" t="s">
        <v>13973</v>
      </c>
      <c r="G4809" s="17">
        <v>83028</v>
      </c>
    </row>
    <row r="4810" spans="1:7">
      <c r="A4810" s="1" t="s">
        <v>13974</v>
      </c>
      <c r="B4810" s="1" t="s">
        <v>13975</v>
      </c>
      <c r="C4810">
        <f>(1-(B7/100))*1816.58</f>
        <v>1816.58</v>
      </c>
      <c r="D4810" s="1">
        <v>0</v>
      </c>
      <c r="E4810">
        <f>D4810*C4810</f>
        <v>0</v>
      </c>
      <c r="F4810" s="1" t="s">
        <v>13976</v>
      </c>
      <c r="G4810" s="17">
        <v>83031</v>
      </c>
    </row>
    <row r="4811" spans="1:7">
      <c r="A4811" s="1" t="s">
        <v>13977</v>
      </c>
      <c r="B4811" s="1" t="s">
        <v>13978</v>
      </c>
      <c r="C4811">
        <f>(1-(B7/100))*87.09</f>
        <v>87.09</v>
      </c>
      <c r="D4811" s="1">
        <v>0</v>
      </c>
      <c r="E4811">
        <f>D4811*C4811</f>
        <v>0</v>
      </c>
      <c r="F4811" s="1" t="s">
        <v>13979</v>
      </c>
      <c r="G4811" s="17">
        <v>83036</v>
      </c>
    </row>
    <row r="4812" spans="1:7">
      <c r="A4812" s="1" t="s">
        <v>13980</v>
      </c>
      <c r="B4812" s="1" t="s">
        <v>13981</v>
      </c>
      <c r="C4812">
        <f>(1-(B7/100))*263.04</f>
        <v>263.04</v>
      </c>
      <c r="D4812" s="1">
        <v>0</v>
      </c>
      <c r="E4812">
        <f>D4812*C4812</f>
        <v>0</v>
      </c>
      <c r="F4812" s="1" t="s">
        <v>13982</v>
      </c>
      <c r="G4812" s="17">
        <v>83046</v>
      </c>
    </row>
    <row r="4813" spans="1:7">
      <c r="A4813" s="1" t="s">
        <v>13983</v>
      </c>
      <c r="B4813" s="1" t="s">
        <v>13984</v>
      </c>
      <c r="C4813">
        <f>(1-(B7/100))*638.29</f>
        <v>638.29</v>
      </c>
      <c r="D4813" s="1">
        <v>0</v>
      </c>
      <c r="E4813">
        <f>D4813*C4813</f>
        <v>0</v>
      </c>
      <c r="F4813" s="1" t="s">
        <v>13985</v>
      </c>
      <c r="G4813" s="17">
        <v>83052</v>
      </c>
    </row>
    <row r="4814" spans="1:7">
      <c r="A4814" s="1" t="s">
        <v>13986</v>
      </c>
      <c r="B4814" s="1" t="s">
        <v>13987</v>
      </c>
      <c r="C4814">
        <f>(1-(B7/100))*1465.81</f>
        <v>1465.81</v>
      </c>
      <c r="D4814" s="1">
        <v>0</v>
      </c>
      <c r="E4814">
        <f>D4814*C4814</f>
        <v>0</v>
      </c>
      <c r="F4814" s="1" t="s">
        <v>13988</v>
      </c>
      <c r="G4814" s="17">
        <v>83056</v>
      </c>
    </row>
    <row r="4815" spans="1:7">
      <c r="A4815" s="1" t="s">
        <v>13989</v>
      </c>
      <c r="B4815" s="1" t="s">
        <v>13990</v>
      </c>
      <c r="C4815">
        <f>(1-(B7/100))*1628.3</f>
        <v>1628.3</v>
      </c>
      <c r="D4815" s="1">
        <v>0</v>
      </c>
      <c r="E4815">
        <f>D4815*C4815</f>
        <v>0</v>
      </c>
      <c r="F4815" s="1" t="s">
        <v>13991</v>
      </c>
      <c r="G4815" s="17">
        <v>83057</v>
      </c>
    </row>
    <row r="4816" spans="1:7">
      <c r="A4816" s="1" t="s">
        <v>13992</v>
      </c>
      <c r="B4816" s="1" t="s">
        <v>13993</v>
      </c>
      <c r="C4816">
        <f>(1-(B7/100))*1519.91</f>
        <v>1519.91</v>
      </c>
      <c r="D4816" s="1">
        <v>0</v>
      </c>
      <c r="E4816">
        <f>D4816*C4816</f>
        <v>0</v>
      </c>
      <c r="F4816" s="1" t="s">
        <v>13994</v>
      </c>
      <c r="G4816" s="17">
        <v>83061</v>
      </c>
    </row>
    <row r="4817" spans="1:7">
      <c r="A4817" s="1" t="s">
        <v>13995</v>
      </c>
      <c r="B4817" s="1" t="s">
        <v>13996</v>
      </c>
      <c r="C4817">
        <f>(1-(B7/100))*1511.07</f>
        <v>1511.07</v>
      </c>
      <c r="D4817" s="1">
        <v>0</v>
      </c>
      <c r="E4817">
        <f>D4817*C4817</f>
        <v>0</v>
      </c>
      <c r="F4817" s="1" t="s">
        <v>13997</v>
      </c>
      <c r="G4817" s="17">
        <v>83062</v>
      </c>
    </row>
    <row r="4818" spans="1:7">
      <c r="A4818" s="1" t="s">
        <v>13998</v>
      </c>
      <c r="B4818" s="1" t="s">
        <v>13999</v>
      </c>
      <c r="C4818">
        <f>(1-(B7/100))*133.7</f>
        <v>133.7</v>
      </c>
      <c r="D4818" s="1">
        <v>0</v>
      </c>
      <c r="E4818">
        <f>D4818*C4818</f>
        <v>0</v>
      </c>
      <c r="F4818" s="1" t="s">
        <v>14000</v>
      </c>
      <c r="G4818" s="17">
        <v>83064</v>
      </c>
    </row>
    <row r="4819" spans="1:7">
      <c r="A4819" s="1" t="s">
        <v>14001</v>
      </c>
      <c r="B4819" s="1" t="s">
        <v>14002</v>
      </c>
      <c r="C4819">
        <f>(1-(B7/100))*185.78</f>
        <v>185.78</v>
      </c>
      <c r="D4819" s="1">
        <v>0</v>
      </c>
      <c r="E4819">
        <f>D4819*C4819</f>
        <v>0</v>
      </c>
      <c r="F4819" s="1" t="s">
        <v>14003</v>
      </c>
      <c r="G4819" s="17">
        <v>83065</v>
      </c>
    </row>
    <row r="4820" spans="1:7">
      <c r="A4820" s="1" t="s">
        <v>14004</v>
      </c>
      <c r="B4820" s="1" t="s">
        <v>14005</v>
      </c>
      <c r="C4820">
        <f>(1-(B7/100))*448.04</f>
        <v>448.04</v>
      </c>
      <c r="D4820" s="1">
        <v>0</v>
      </c>
      <c r="E4820">
        <f>D4820*C4820</f>
        <v>0</v>
      </c>
      <c r="F4820" s="1" t="s">
        <v>14006</v>
      </c>
      <c r="G4820" s="17">
        <v>83068</v>
      </c>
    </row>
    <row r="4821" spans="1:7">
      <c r="A4821" s="1" t="s">
        <v>14007</v>
      </c>
      <c r="B4821" s="1" t="s">
        <v>14008</v>
      </c>
      <c r="C4821">
        <f>(1-(B7/100))*620.51</f>
        <v>620.51</v>
      </c>
      <c r="D4821" s="1">
        <v>0</v>
      </c>
      <c r="E4821">
        <f>D4821*C4821</f>
        <v>0</v>
      </c>
      <c r="F4821" s="1" t="s">
        <v>14009</v>
      </c>
      <c r="G4821" s="17">
        <v>83072</v>
      </c>
    </row>
    <row r="4822" spans="1:7">
      <c r="A4822" s="1" t="s">
        <v>14010</v>
      </c>
      <c r="B4822" s="1" t="s">
        <v>14011</v>
      </c>
      <c r="C4822">
        <f>(1-(B7/100))*346.8</f>
        <v>346.8</v>
      </c>
      <c r="D4822" s="1">
        <v>0</v>
      </c>
      <c r="E4822">
        <f>D4822*C4822</f>
        <v>0</v>
      </c>
      <c r="F4822" s="1" t="s">
        <v>14012</v>
      </c>
      <c r="G4822" s="17">
        <v>83074</v>
      </c>
    </row>
    <row r="4823" spans="1:7">
      <c r="A4823" s="1" t="s">
        <v>14013</v>
      </c>
      <c r="B4823" s="1" t="s">
        <v>14014</v>
      </c>
      <c r="C4823">
        <f>(1-(B7/100))*397.13</f>
        <v>397.13</v>
      </c>
      <c r="D4823" s="1">
        <v>0</v>
      </c>
      <c r="E4823">
        <f>D4823*C4823</f>
        <v>0</v>
      </c>
      <c r="F4823" s="1" t="s">
        <v>14015</v>
      </c>
      <c r="G4823" s="17">
        <v>83075</v>
      </c>
    </row>
    <row r="4824" spans="1:7">
      <c r="A4824" s="1" t="s">
        <v>14016</v>
      </c>
      <c r="B4824" s="1" t="s">
        <v>14017</v>
      </c>
      <c r="C4824">
        <f>(1-(B7/100))*253.5</f>
        <v>253.5</v>
      </c>
      <c r="D4824" s="1">
        <v>0</v>
      </c>
      <c r="E4824">
        <f>D4824*C4824</f>
        <v>0</v>
      </c>
      <c r="F4824" s="1" t="s">
        <v>14018</v>
      </c>
      <c r="G4824" s="17">
        <v>83078</v>
      </c>
    </row>
    <row r="4825" spans="1:7">
      <c r="A4825" s="1" t="s">
        <v>14019</v>
      </c>
      <c r="B4825" s="1" t="s">
        <v>14020</v>
      </c>
      <c r="C4825">
        <f>(1-(B7/100))*21.97</f>
        <v>21.97</v>
      </c>
      <c r="D4825" s="1">
        <v>0</v>
      </c>
      <c r="E4825">
        <f>D4825*C4825</f>
        <v>0</v>
      </c>
      <c r="F4825" s="1" t="s">
        <v>14021</v>
      </c>
      <c r="G4825" s="17">
        <v>83086</v>
      </c>
    </row>
    <row r="4826" spans="1:7">
      <c r="A4826" s="1" t="s">
        <v>14022</v>
      </c>
      <c r="B4826" s="1" t="s">
        <v>14023</v>
      </c>
      <c r="C4826">
        <f>(1-(B7/100))*1545.82</f>
        <v>1545.82</v>
      </c>
      <c r="D4826" s="1">
        <v>0</v>
      </c>
      <c r="E4826">
        <f>D4826*C4826</f>
        <v>0</v>
      </c>
      <c r="F4826" s="1" t="s">
        <v>14024</v>
      </c>
      <c r="G4826" s="17">
        <v>83088</v>
      </c>
    </row>
    <row r="4827" spans="1:7">
      <c r="A4827" s="1" t="s">
        <v>14025</v>
      </c>
      <c r="B4827" s="1" t="s">
        <v>14026</v>
      </c>
      <c r="C4827">
        <f>(1-(B7/100))*647.53</f>
        <v>647.53</v>
      </c>
      <c r="D4827" s="1">
        <v>0</v>
      </c>
      <c r="E4827">
        <f>D4827*C4827</f>
        <v>0</v>
      </c>
      <c r="F4827" s="1" t="s">
        <v>14027</v>
      </c>
      <c r="G4827" s="17">
        <v>83090</v>
      </c>
    </row>
    <row r="4828" spans="1:7">
      <c r="A4828" s="1" t="s">
        <v>14028</v>
      </c>
      <c r="B4828" s="1" t="s">
        <v>14029</v>
      </c>
      <c r="C4828">
        <f>(1-(B7/100))*744.64</f>
        <v>744.64</v>
      </c>
      <c r="D4828" s="1">
        <v>0</v>
      </c>
      <c r="E4828">
        <f>D4828*C4828</f>
        <v>0</v>
      </c>
      <c r="F4828" s="1" t="s">
        <v>14030</v>
      </c>
      <c r="G4828" s="17">
        <v>83097</v>
      </c>
    </row>
    <row r="4829" spans="1:7">
      <c r="A4829" s="1" t="s">
        <v>14031</v>
      </c>
      <c r="B4829" s="1" t="s">
        <v>14032</v>
      </c>
      <c r="C4829">
        <f>(1-(B7/100))*833.18</f>
        <v>833.18</v>
      </c>
      <c r="D4829" s="1">
        <v>0</v>
      </c>
      <c r="E4829">
        <f>D4829*C4829</f>
        <v>0</v>
      </c>
      <c r="F4829" s="1" t="s">
        <v>14033</v>
      </c>
      <c r="G4829" s="17">
        <v>83115</v>
      </c>
    </row>
    <row r="4830" spans="1:7">
      <c r="A4830" s="1" t="s">
        <v>14034</v>
      </c>
      <c r="B4830" s="1" t="s">
        <v>14035</v>
      </c>
      <c r="C4830">
        <f>(1-(B7/100))*17.83</f>
        <v>17.83</v>
      </c>
      <c r="D4830" s="1">
        <v>0</v>
      </c>
      <c r="E4830">
        <f>D4830*C4830</f>
        <v>0</v>
      </c>
      <c r="F4830" s="1" t="s">
        <v>14036</v>
      </c>
      <c r="G4830" s="17">
        <v>83117</v>
      </c>
    </row>
    <row r="4831" spans="1:7">
      <c r="A4831" s="1" t="s">
        <v>14037</v>
      </c>
      <c r="B4831" s="1" t="s">
        <v>14038</v>
      </c>
      <c r="C4831">
        <f>(1-(B7/100))*1091.43</f>
        <v>1091.43</v>
      </c>
      <c r="D4831" s="1">
        <v>0</v>
      </c>
      <c r="E4831">
        <f>D4831*C4831</f>
        <v>0</v>
      </c>
      <c r="F4831" s="1" t="s">
        <v>14039</v>
      </c>
      <c r="G4831" s="17">
        <v>83120</v>
      </c>
    </row>
    <row r="4832" spans="1:7">
      <c r="A4832" s="1" t="s">
        <v>14040</v>
      </c>
      <c r="B4832" s="1" t="s">
        <v>14041</v>
      </c>
      <c r="C4832">
        <f>(1-(B7/100))*1313.44</f>
        <v>1313.44</v>
      </c>
      <c r="D4832" s="1">
        <v>0</v>
      </c>
      <c r="E4832">
        <f>D4832*C4832</f>
        <v>0</v>
      </c>
      <c r="F4832" s="1" t="s">
        <v>14042</v>
      </c>
      <c r="G4832" s="17">
        <v>83121</v>
      </c>
    </row>
    <row r="4833" spans="1:7">
      <c r="A4833" s="1" t="s">
        <v>14043</v>
      </c>
      <c r="B4833" s="1" t="s">
        <v>14044</v>
      </c>
      <c r="C4833">
        <f>(1-(B7/100))*236.29</f>
        <v>236.29</v>
      </c>
      <c r="D4833" s="1">
        <v>0</v>
      </c>
      <c r="E4833">
        <f>D4833*C4833</f>
        <v>0</v>
      </c>
      <c r="F4833" s="1" t="s">
        <v>14045</v>
      </c>
      <c r="G4833" s="17">
        <v>83122</v>
      </c>
    </row>
    <row r="4834" spans="1:7">
      <c r="A4834" s="1" t="s">
        <v>14046</v>
      </c>
      <c r="B4834" s="1" t="s">
        <v>14047</v>
      </c>
      <c r="C4834">
        <f>(1-(B7/100))*3.85</f>
        <v>3.85</v>
      </c>
      <c r="D4834" s="1">
        <v>0</v>
      </c>
      <c r="E4834">
        <f>D4834*C4834</f>
        <v>0</v>
      </c>
      <c r="F4834" s="1" t="s">
        <v>14048</v>
      </c>
      <c r="G4834" s="17">
        <v>83124</v>
      </c>
    </row>
    <row r="4835" spans="1:7">
      <c r="A4835" s="1" t="s">
        <v>14049</v>
      </c>
      <c r="B4835" s="1" t="s">
        <v>14050</v>
      </c>
      <c r="C4835">
        <f>(1-(B7/100))*2.87</f>
        <v>2.87</v>
      </c>
      <c r="D4835" s="1">
        <v>0</v>
      </c>
      <c r="E4835">
        <f>D4835*C4835</f>
        <v>0</v>
      </c>
      <c r="F4835" s="1" t="s">
        <v>14051</v>
      </c>
      <c r="G4835" s="17">
        <v>83125</v>
      </c>
    </row>
    <row r="4836" spans="1:7">
      <c r="A4836" s="1" t="s">
        <v>14052</v>
      </c>
      <c r="B4836" s="1" t="s">
        <v>14053</v>
      </c>
      <c r="C4836">
        <f>(1-(B7/100))*1293.96</f>
        <v>1293.96</v>
      </c>
      <c r="D4836" s="1">
        <v>0</v>
      </c>
      <c r="E4836">
        <f>D4836*C4836</f>
        <v>0</v>
      </c>
      <c r="F4836" s="1" t="s">
        <v>14054</v>
      </c>
      <c r="G4836" s="17">
        <v>83126</v>
      </c>
    </row>
    <row r="4837" spans="1:7">
      <c r="A4837" s="1" t="s">
        <v>14055</v>
      </c>
      <c r="B4837" s="1" t="s">
        <v>14056</v>
      </c>
      <c r="C4837">
        <f>(1-(B7/100))*1353.06</f>
        <v>1353.06</v>
      </c>
      <c r="D4837" s="1">
        <v>0</v>
      </c>
      <c r="E4837">
        <f>D4837*C4837</f>
        <v>0</v>
      </c>
      <c r="F4837" s="1" t="s">
        <v>14057</v>
      </c>
      <c r="G4837" s="17">
        <v>83127</v>
      </c>
    </row>
    <row r="4838" spans="1:7">
      <c r="A4838" s="1" t="s">
        <v>14058</v>
      </c>
      <c r="B4838" s="1" t="s">
        <v>14059</v>
      </c>
      <c r="C4838">
        <f>(1-(B7/100))*758.72</f>
        <v>758.72</v>
      </c>
      <c r="D4838" s="1">
        <v>0</v>
      </c>
      <c r="E4838">
        <f>D4838*C4838</f>
        <v>0</v>
      </c>
      <c r="F4838" s="1" t="s">
        <v>14060</v>
      </c>
      <c r="G4838" s="17">
        <v>83131</v>
      </c>
    </row>
    <row r="4839" spans="1:7">
      <c r="A4839" s="1" t="s">
        <v>14061</v>
      </c>
      <c r="B4839" s="1" t="s">
        <v>14062</v>
      </c>
      <c r="C4839">
        <f>(1-(B7/100))*916.58</f>
        <v>916.58</v>
      </c>
      <c r="D4839" s="1">
        <v>0</v>
      </c>
      <c r="E4839">
        <f>D4839*C4839</f>
        <v>0</v>
      </c>
      <c r="F4839" s="1" t="s">
        <v>14063</v>
      </c>
      <c r="G4839" s="17">
        <v>83133</v>
      </c>
    </row>
    <row r="4840" spans="1:7">
      <c r="A4840" s="1" t="s">
        <v>14064</v>
      </c>
      <c r="B4840" s="1" t="s">
        <v>14065</v>
      </c>
      <c r="C4840">
        <f>(1-(B7/100))*1315.85</f>
        <v>1315.85</v>
      </c>
      <c r="D4840" s="1">
        <v>0</v>
      </c>
      <c r="E4840">
        <f>D4840*C4840</f>
        <v>0</v>
      </c>
      <c r="F4840" s="1" t="s">
        <v>14066</v>
      </c>
      <c r="G4840" s="17">
        <v>83134</v>
      </c>
    </row>
    <row r="4841" spans="1:7">
      <c r="A4841" s="1" t="s">
        <v>14067</v>
      </c>
      <c r="B4841" s="1" t="s">
        <v>14068</v>
      </c>
      <c r="C4841">
        <f>(1-(B7/100))*1036.17</f>
        <v>1036.17</v>
      </c>
      <c r="D4841" s="1">
        <v>0</v>
      </c>
      <c r="E4841">
        <f>D4841*C4841</f>
        <v>0</v>
      </c>
      <c r="F4841" s="1" t="s">
        <v>14069</v>
      </c>
      <c r="G4841" s="17">
        <v>83137</v>
      </c>
    </row>
    <row r="4842" spans="1:7">
      <c r="A4842" s="1" t="s">
        <v>14070</v>
      </c>
      <c r="B4842" s="1" t="s">
        <v>14071</v>
      </c>
      <c r="C4842">
        <f>(1-(B7/100))*1116.23</f>
        <v>1116.23</v>
      </c>
      <c r="D4842" s="1">
        <v>0</v>
      </c>
      <c r="E4842">
        <f>D4842*C4842</f>
        <v>0</v>
      </c>
      <c r="F4842" s="1" t="s">
        <v>14072</v>
      </c>
      <c r="G4842" s="17">
        <v>83139</v>
      </c>
    </row>
    <row r="4843" spans="1:7">
      <c r="A4843" s="1" t="s">
        <v>14073</v>
      </c>
      <c r="B4843" s="1" t="s">
        <v>14074</v>
      </c>
      <c r="C4843">
        <f>(1-(B7/100))*1451.83</f>
        <v>1451.83</v>
      </c>
      <c r="D4843" s="1">
        <v>0</v>
      </c>
      <c r="E4843">
        <f>D4843*C4843</f>
        <v>0</v>
      </c>
      <c r="F4843" s="1" t="s">
        <v>14075</v>
      </c>
      <c r="G4843" s="17">
        <v>83142</v>
      </c>
    </row>
    <row r="4844" spans="1:7">
      <c r="A4844" s="1" t="s">
        <v>14076</v>
      </c>
      <c r="B4844" s="1" t="s">
        <v>14077</v>
      </c>
      <c r="C4844">
        <f>(1-(B7/100))*647.23</f>
        <v>647.23</v>
      </c>
      <c r="D4844" s="1">
        <v>0</v>
      </c>
      <c r="E4844">
        <f>D4844*C4844</f>
        <v>0</v>
      </c>
      <c r="F4844" s="1" t="s">
        <v>14078</v>
      </c>
      <c r="G4844" s="17">
        <v>83143</v>
      </c>
    </row>
    <row r="4845" spans="1:7">
      <c r="A4845" s="1" t="s">
        <v>14079</v>
      </c>
      <c r="B4845" s="1" t="s">
        <v>14080</v>
      </c>
      <c r="C4845">
        <f>(1-(B7/100))*916.58</f>
        <v>916.58</v>
      </c>
      <c r="D4845" s="1">
        <v>0</v>
      </c>
      <c r="E4845">
        <f>D4845*C4845</f>
        <v>0</v>
      </c>
      <c r="F4845" s="1" t="s">
        <v>14081</v>
      </c>
      <c r="G4845" s="17">
        <v>83145</v>
      </c>
    </row>
    <row r="4846" spans="1:7">
      <c r="A4846" s="1" t="s">
        <v>14082</v>
      </c>
      <c r="B4846" s="1" t="s">
        <v>14083</v>
      </c>
      <c r="C4846">
        <f>(1-(B7/100))*126.14</f>
        <v>126.14</v>
      </c>
      <c r="D4846" s="1">
        <v>0</v>
      </c>
      <c r="E4846">
        <f>D4846*C4846</f>
        <v>0</v>
      </c>
      <c r="F4846" s="1" t="s">
        <v>14084</v>
      </c>
      <c r="G4846" s="17">
        <v>83153</v>
      </c>
    </row>
    <row r="4847" spans="1:7">
      <c r="A4847" s="1" t="s">
        <v>14085</v>
      </c>
      <c r="B4847" s="1" t="s">
        <v>14086</v>
      </c>
      <c r="C4847">
        <f>(1-(B7/100))*459.68</f>
        <v>459.68</v>
      </c>
      <c r="D4847" s="1">
        <v>0</v>
      </c>
      <c r="E4847">
        <f>D4847*C4847</f>
        <v>0</v>
      </c>
      <c r="F4847" s="1" t="s">
        <v>14087</v>
      </c>
      <c r="G4847" s="17">
        <v>83161</v>
      </c>
    </row>
    <row r="4848" spans="1:7">
      <c r="A4848" s="1" t="s">
        <v>14088</v>
      </c>
      <c r="B4848" s="1" t="s">
        <v>14089</v>
      </c>
      <c r="C4848">
        <f>(1-(B7/100))*2400.84</f>
        <v>2400.84</v>
      </c>
      <c r="D4848" s="1">
        <v>0</v>
      </c>
      <c r="E4848">
        <f>D4848*C4848</f>
        <v>0</v>
      </c>
      <c r="F4848" s="1" t="s">
        <v>14090</v>
      </c>
      <c r="G4848" s="17">
        <v>83166</v>
      </c>
    </row>
    <row r="4849" spans="1:7">
      <c r="A4849" s="1" t="s">
        <v>14091</v>
      </c>
      <c r="B4849" s="1" t="s">
        <v>14092</v>
      </c>
      <c r="C4849">
        <f>(1-(B7/100))*2602.33</f>
        <v>2602.33</v>
      </c>
      <c r="D4849" s="1">
        <v>0</v>
      </c>
      <c r="E4849">
        <f>D4849*C4849</f>
        <v>0</v>
      </c>
      <c r="F4849" s="1" t="s">
        <v>14093</v>
      </c>
      <c r="G4849" s="17">
        <v>83169</v>
      </c>
    </row>
    <row r="4850" spans="1:7">
      <c r="A4850" s="1" t="s">
        <v>14094</v>
      </c>
      <c r="B4850" s="1" t="s">
        <v>14095</v>
      </c>
      <c r="C4850">
        <f>(1-(B7/100))*33.45</f>
        <v>33.45</v>
      </c>
      <c r="D4850" s="1">
        <v>0</v>
      </c>
      <c r="E4850">
        <f>D4850*C4850</f>
        <v>0</v>
      </c>
      <c r="F4850" s="1" t="s">
        <v>14096</v>
      </c>
      <c r="G4850" s="17">
        <v>83186</v>
      </c>
    </row>
    <row r="4851" spans="1:7">
      <c r="A4851" s="1" t="s">
        <v>14097</v>
      </c>
      <c r="B4851" s="1" t="s">
        <v>14098</v>
      </c>
      <c r="C4851">
        <f>(1-(B7/100))*605.2</f>
        <v>605.2</v>
      </c>
      <c r="D4851" s="1">
        <v>0</v>
      </c>
      <c r="E4851">
        <f>D4851*C4851</f>
        <v>0</v>
      </c>
      <c r="F4851" s="1" t="s">
        <v>14099</v>
      </c>
      <c r="G4851" s="17">
        <v>83189</v>
      </c>
    </row>
    <row r="4852" spans="1:7">
      <c r="A4852" s="1" t="s">
        <v>14100</v>
      </c>
      <c r="B4852" s="1" t="s">
        <v>14101</v>
      </c>
      <c r="C4852">
        <f>(1-(B7/100))*2019.17</f>
        <v>2019.17</v>
      </c>
      <c r="D4852" s="1">
        <v>0</v>
      </c>
      <c r="E4852">
        <f>D4852*C4852</f>
        <v>0</v>
      </c>
      <c r="F4852" s="1" t="s">
        <v>14102</v>
      </c>
      <c r="G4852" s="17">
        <v>83197</v>
      </c>
    </row>
    <row r="4853" spans="1:7">
      <c r="A4853" s="1" t="s">
        <v>14103</v>
      </c>
      <c r="B4853" s="1" t="s">
        <v>14104</v>
      </c>
      <c r="C4853">
        <f>(1-(B7/100))*17.83</f>
        <v>17.83</v>
      </c>
      <c r="D4853" s="1">
        <v>0</v>
      </c>
      <c r="E4853">
        <f>D4853*C4853</f>
        <v>0</v>
      </c>
      <c r="F4853" s="1" t="s">
        <v>14105</v>
      </c>
      <c r="G4853" s="17">
        <v>83202</v>
      </c>
    </row>
    <row r="4854" spans="1:7">
      <c r="A4854" s="1" t="s">
        <v>14106</v>
      </c>
      <c r="B4854" s="1" t="s">
        <v>14107</v>
      </c>
      <c r="C4854">
        <f>(1-(B7/100))*1679.69</f>
        <v>1679.69</v>
      </c>
      <c r="D4854" s="1">
        <v>0</v>
      </c>
      <c r="E4854">
        <f>D4854*C4854</f>
        <v>0</v>
      </c>
      <c r="F4854" s="1" t="s">
        <v>14108</v>
      </c>
      <c r="G4854" s="17">
        <v>83203</v>
      </c>
    </row>
    <row r="4855" spans="1:7">
      <c r="A4855" s="1" t="s">
        <v>14109</v>
      </c>
      <c r="B4855" s="1" t="s">
        <v>14110</v>
      </c>
      <c r="C4855">
        <f>(1-(B7/100))*245.98</f>
        <v>245.98</v>
      </c>
      <c r="D4855" s="1">
        <v>0</v>
      </c>
      <c r="E4855">
        <f>D4855*C4855</f>
        <v>0</v>
      </c>
      <c r="F4855" s="1" t="s">
        <v>14111</v>
      </c>
      <c r="G4855" s="17">
        <v>83204</v>
      </c>
    </row>
    <row r="4856" spans="1:7">
      <c r="A4856" s="1" t="s">
        <v>14112</v>
      </c>
      <c r="B4856" s="1" t="s">
        <v>14113</v>
      </c>
      <c r="C4856">
        <f>(1-(B7/100))*231.41</f>
        <v>231.41</v>
      </c>
      <c r="D4856" s="1">
        <v>0</v>
      </c>
      <c r="E4856">
        <f>D4856*C4856</f>
        <v>0</v>
      </c>
      <c r="F4856" s="1" t="s">
        <v>14114</v>
      </c>
      <c r="G4856" s="17">
        <v>83209</v>
      </c>
    </row>
    <row r="4857" spans="1:7">
      <c r="A4857" s="1" t="s">
        <v>14115</v>
      </c>
      <c r="B4857" s="1" t="s">
        <v>14116</v>
      </c>
      <c r="C4857">
        <f>(1-(B7/100))*365.34</f>
        <v>365.34</v>
      </c>
      <c r="D4857" s="1">
        <v>0</v>
      </c>
      <c r="E4857">
        <f>D4857*C4857</f>
        <v>0</v>
      </c>
      <c r="F4857" s="1" t="s">
        <v>14117</v>
      </c>
      <c r="G4857" s="17">
        <v>83210</v>
      </c>
    </row>
    <row r="4858" spans="1:7">
      <c r="A4858" s="1" t="s">
        <v>14118</v>
      </c>
      <c r="B4858" s="1" t="s">
        <v>14119</v>
      </c>
      <c r="C4858">
        <f>(1-(B7/100))*216.7</f>
        <v>216.7</v>
      </c>
      <c r="D4858" s="1">
        <v>0</v>
      </c>
      <c r="E4858">
        <f>D4858*C4858</f>
        <v>0</v>
      </c>
      <c r="F4858" s="1" t="s">
        <v>14120</v>
      </c>
      <c r="G4858" s="17">
        <v>83211</v>
      </c>
    </row>
    <row r="4859" spans="1:7">
      <c r="A4859" s="1" t="s">
        <v>14121</v>
      </c>
      <c r="B4859" s="1" t="s">
        <v>14122</v>
      </c>
      <c r="C4859">
        <f>(1-(B7/100))*214.85</f>
        <v>214.85</v>
      </c>
      <c r="D4859" s="1">
        <v>0</v>
      </c>
      <c r="E4859">
        <f>D4859*C4859</f>
        <v>0</v>
      </c>
      <c r="F4859" s="1" t="s">
        <v>14123</v>
      </c>
      <c r="G4859" s="17">
        <v>83218</v>
      </c>
    </row>
    <row r="4860" spans="1:7">
      <c r="A4860" s="1" t="s">
        <v>14124</v>
      </c>
      <c r="B4860" s="1" t="s">
        <v>14125</v>
      </c>
      <c r="C4860">
        <f>(1-(B7/100))*2842.75</f>
        <v>2842.75</v>
      </c>
      <c r="D4860" s="1">
        <v>0</v>
      </c>
      <c r="E4860">
        <f>D4860*C4860</f>
        <v>0</v>
      </c>
      <c r="F4860" s="1" t="s">
        <v>14126</v>
      </c>
      <c r="G4860" s="17">
        <v>83220</v>
      </c>
    </row>
    <row r="4861" spans="1:7">
      <c r="A4861" s="1" t="s">
        <v>14127</v>
      </c>
      <c r="B4861" s="1" t="s">
        <v>14128</v>
      </c>
      <c r="C4861">
        <f>(1-(B7/100))*251.49</f>
        <v>251.49</v>
      </c>
      <c r="D4861" s="1">
        <v>0</v>
      </c>
      <c r="E4861">
        <f>D4861*C4861</f>
        <v>0</v>
      </c>
      <c r="F4861" s="1" t="s">
        <v>14129</v>
      </c>
      <c r="G4861" s="17">
        <v>83226</v>
      </c>
    </row>
    <row r="4862" spans="1:7">
      <c r="A4862" s="1" t="s">
        <v>14130</v>
      </c>
      <c r="B4862" s="1" t="s">
        <v>14131</v>
      </c>
      <c r="C4862">
        <f>(1-(B7/100))*422.43</f>
        <v>422.43</v>
      </c>
      <c r="D4862" s="1">
        <v>0</v>
      </c>
      <c r="E4862">
        <f>D4862*C4862</f>
        <v>0</v>
      </c>
      <c r="F4862" s="1" t="s">
        <v>14132</v>
      </c>
      <c r="G4862" s="17">
        <v>83233</v>
      </c>
    </row>
    <row r="4863" spans="1:7">
      <c r="A4863" s="1" t="s">
        <v>14133</v>
      </c>
      <c r="B4863" s="1" t="s">
        <v>14134</v>
      </c>
      <c r="C4863">
        <f>(1-(B7/100))*785.9</f>
        <v>785.9</v>
      </c>
      <c r="D4863" s="1">
        <v>0</v>
      </c>
      <c r="E4863">
        <f>D4863*C4863</f>
        <v>0</v>
      </c>
      <c r="F4863" s="1" t="s">
        <v>14135</v>
      </c>
      <c r="G4863" s="17">
        <v>83234</v>
      </c>
    </row>
    <row r="4864" spans="1:7">
      <c r="A4864" s="1" t="s">
        <v>14136</v>
      </c>
      <c r="B4864" s="1" t="s">
        <v>14137</v>
      </c>
      <c r="C4864">
        <f>(1-(B7/100))*2602.33</f>
        <v>2602.33</v>
      </c>
      <c r="D4864" s="1">
        <v>0</v>
      </c>
      <c r="E4864">
        <f>D4864*C4864</f>
        <v>0</v>
      </c>
      <c r="F4864" s="1" t="s">
        <v>14138</v>
      </c>
      <c r="G4864" s="17">
        <v>83235</v>
      </c>
    </row>
    <row r="4865" spans="1:7">
      <c r="A4865" s="1" t="s">
        <v>14139</v>
      </c>
      <c r="B4865" s="1" t="s">
        <v>14140</v>
      </c>
      <c r="C4865">
        <f>(1-(B7/100))*924.6</f>
        <v>924.6</v>
      </c>
      <c r="D4865" s="1">
        <v>0</v>
      </c>
      <c r="E4865">
        <f>D4865*C4865</f>
        <v>0</v>
      </c>
      <c r="F4865" s="1" t="s">
        <v>16</v>
      </c>
      <c r="G4865" s="17">
        <v>83236</v>
      </c>
    </row>
    <row r="4866" spans="1:7">
      <c r="A4866" s="1" t="s">
        <v>14141</v>
      </c>
      <c r="B4866" s="1" t="s">
        <v>14142</v>
      </c>
      <c r="C4866">
        <f>(1-(B7/100))*73.87</f>
        <v>73.87</v>
      </c>
      <c r="D4866" s="1">
        <v>0</v>
      </c>
      <c r="E4866">
        <f>D4866*C4866</f>
        <v>0</v>
      </c>
      <c r="F4866" s="1" t="s">
        <v>14143</v>
      </c>
      <c r="G4866" s="17">
        <v>83239</v>
      </c>
    </row>
    <row r="4867" spans="1:7">
      <c r="A4867" s="1" t="s">
        <v>14144</v>
      </c>
      <c r="B4867" s="1" t="s">
        <v>14145</v>
      </c>
      <c r="C4867">
        <f>(1-(B7/100))*55.78</f>
        <v>55.78</v>
      </c>
      <c r="D4867" s="1">
        <v>0</v>
      </c>
      <c r="E4867">
        <f>D4867*C4867</f>
        <v>0</v>
      </c>
      <c r="F4867" s="1" t="s">
        <v>14146</v>
      </c>
      <c r="G4867" s="17">
        <v>83240</v>
      </c>
    </row>
    <row r="4868" spans="1:7">
      <c r="A4868" s="1" t="s">
        <v>14147</v>
      </c>
      <c r="B4868" s="1" t="s">
        <v>14148</v>
      </c>
      <c r="C4868">
        <f>(1-(B7/100))*171.28</f>
        <v>171.28</v>
      </c>
      <c r="D4868" s="1">
        <v>0</v>
      </c>
      <c r="E4868">
        <f>D4868*C4868</f>
        <v>0</v>
      </c>
      <c r="F4868" s="1" t="s">
        <v>14149</v>
      </c>
      <c r="G4868" s="17">
        <v>83252</v>
      </c>
    </row>
    <row r="4869" spans="1:7">
      <c r="A4869" s="1" t="s">
        <v>14150</v>
      </c>
      <c r="B4869" s="1" t="s">
        <v>14151</v>
      </c>
      <c r="C4869">
        <f>(1-(B7/100))*127.41</f>
        <v>127.41</v>
      </c>
      <c r="D4869" s="1">
        <v>0</v>
      </c>
      <c r="E4869">
        <f>D4869*C4869</f>
        <v>0</v>
      </c>
      <c r="F4869" s="1" t="s">
        <v>14152</v>
      </c>
      <c r="G4869" s="17">
        <v>83254</v>
      </c>
    </row>
    <row r="4870" spans="1:7">
      <c r="A4870" s="1" t="s">
        <v>14153</v>
      </c>
      <c r="B4870" s="1" t="s">
        <v>14154</v>
      </c>
      <c r="C4870">
        <f>(1-(B7/100))*231.37</f>
        <v>231.37</v>
      </c>
      <c r="D4870" s="1">
        <v>0</v>
      </c>
      <c r="E4870">
        <f>D4870*C4870</f>
        <v>0</v>
      </c>
      <c r="F4870" s="1" t="s">
        <v>14155</v>
      </c>
      <c r="G4870" s="17">
        <v>83255</v>
      </c>
    </row>
    <row r="4871" spans="1:7">
      <c r="A4871" s="1" t="s">
        <v>14156</v>
      </c>
      <c r="B4871" s="1" t="s">
        <v>14157</v>
      </c>
      <c r="C4871">
        <f>(1-(B7/100))*196.52</f>
        <v>196.52</v>
      </c>
      <c r="D4871" s="1">
        <v>0</v>
      </c>
      <c r="E4871">
        <f>D4871*C4871</f>
        <v>0</v>
      </c>
      <c r="F4871" s="1" t="s">
        <v>14158</v>
      </c>
      <c r="G4871" s="17">
        <v>83256</v>
      </c>
    </row>
    <row r="4872" spans="1:7">
      <c r="A4872" s="1" t="s">
        <v>14159</v>
      </c>
      <c r="B4872" s="1" t="s">
        <v>14160</v>
      </c>
      <c r="C4872">
        <f>(1-(B7/100))*86.11</f>
        <v>86.11</v>
      </c>
      <c r="D4872" s="1">
        <v>0</v>
      </c>
      <c r="E4872">
        <f>D4872*C4872</f>
        <v>0</v>
      </c>
      <c r="F4872" s="1" t="s">
        <v>14161</v>
      </c>
      <c r="G4872" s="17">
        <v>83257</v>
      </c>
    </row>
    <row r="4873" spans="1:7">
      <c r="A4873" s="1" t="s">
        <v>14162</v>
      </c>
      <c r="B4873" s="1" t="s">
        <v>14163</v>
      </c>
      <c r="C4873">
        <f>(1-(B7/100))*86.11</f>
        <v>86.11</v>
      </c>
      <c r="D4873" s="1">
        <v>0</v>
      </c>
      <c r="E4873">
        <f>D4873*C4873</f>
        <v>0</v>
      </c>
      <c r="F4873" s="1" t="s">
        <v>14164</v>
      </c>
      <c r="G4873" s="17">
        <v>83258</v>
      </c>
    </row>
    <row r="4874" spans="1:7">
      <c r="A4874" s="1" t="s">
        <v>14165</v>
      </c>
      <c r="B4874" s="1" t="s">
        <v>14166</v>
      </c>
      <c r="C4874">
        <f>(1-(B7/100))*86.11</f>
        <v>86.11</v>
      </c>
      <c r="D4874" s="1">
        <v>0</v>
      </c>
      <c r="E4874">
        <f>D4874*C4874</f>
        <v>0</v>
      </c>
      <c r="F4874" s="1" t="s">
        <v>14167</v>
      </c>
      <c r="G4874" s="17">
        <v>83260</v>
      </c>
    </row>
    <row r="4875" spans="1:7">
      <c r="A4875" s="1" t="s">
        <v>14168</v>
      </c>
      <c r="B4875" s="1" t="s">
        <v>14169</v>
      </c>
      <c r="C4875">
        <f>(1-(B7/100))*89.05</f>
        <v>89.05</v>
      </c>
      <c r="D4875" s="1">
        <v>0</v>
      </c>
      <c r="E4875">
        <f>D4875*C4875</f>
        <v>0</v>
      </c>
      <c r="F4875" s="1" t="s">
        <v>14170</v>
      </c>
      <c r="G4875" s="17">
        <v>83264</v>
      </c>
    </row>
    <row r="4876" spans="1:7">
      <c r="A4876" s="1" t="s">
        <v>14171</v>
      </c>
      <c r="B4876" s="1" t="s">
        <v>14172</v>
      </c>
      <c r="C4876">
        <f>(1-(B7/100))*999.3</f>
        <v>999.3</v>
      </c>
      <c r="D4876" s="1">
        <v>0</v>
      </c>
      <c r="E4876">
        <f>D4876*C4876</f>
        <v>0</v>
      </c>
      <c r="F4876" s="1" t="s">
        <v>14173</v>
      </c>
      <c r="G4876" s="17">
        <v>83265</v>
      </c>
    </row>
    <row r="4877" spans="1:7">
      <c r="A4877" s="1" t="s">
        <v>14174</v>
      </c>
      <c r="B4877" s="1" t="s">
        <v>14175</v>
      </c>
      <c r="C4877">
        <f>(1-(B7/100))*106.71</f>
        <v>106.71</v>
      </c>
      <c r="D4877" s="1">
        <v>0</v>
      </c>
      <c r="E4877">
        <f>D4877*C4877</f>
        <v>0</v>
      </c>
      <c r="F4877" s="1" t="s">
        <v>14176</v>
      </c>
      <c r="G4877" s="17">
        <v>83267</v>
      </c>
    </row>
    <row r="4878" spans="1:7">
      <c r="A4878" s="1" t="s">
        <v>14177</v>
      </c>
      <c r="B4878" s="1" t="s">
        <v>14178</v>
      </c>
      <c r="C4878">
        <f>(1-(B7/100))*915.83</f>
        <v>915.83</v>
      </c>
      <c r="D4878" s="1">
        <v>0</v>
      </c>
      <c r="E4878">
        <f>D4878*C4878</f>
        <v>0</v>
      </c>
      <c r="F4878" s="1" t="s">
        <v>14179</v>
      </c>
      <c r="G4878" s="17">
        <v>83274</v>
      </c>
    </row>
    <row r="4879" spans="1:7">
      <c r="A4879" s="1" t="s">
        <v>14180</v>
      </c>
      <c r="B4879" s="1" t="s">
        <v>14181</v>
      </c>
      <c r="C4879">
        <f>(1-(B7/100))*897.88</f>
        <v>897.88</v>
      </c>
      <c r="D4879" s="1">
        <v>0</v>
      </c>
      <c r="E4879">
        <f>D4879*C4879</f>
        <v>0</v>
      </c>
      <c r="F4879" s="1" t="s">
        <v>14182</v>
      </c>
      <c r="G4879" s="17">
        <v>83280</v>
      </c>
    </row>
    <row r="4880" spans="1:7">
      <c r="A4880" s="1" t="s">
        <v>14183</v>
      </c>
      <c r="B4880" s="1" t="s">
        <v>14184</v>
      </c>
      <c r="C4880">
        <f>(1-(B7/100))*89.05</f>
        <v>89.05</v>
      </c>
      <c r="D4880" s="1">
        <v>0</v>
      </c>
      <c r="E4880">
        <f>D4880*C4880</f>
        <v>0</v>
      </c>
      <c r="F4880" s="1" t="s">
        <v>14185</v>
      </c>
      <c r="G4880" s="17">
        <v>83283</v>
      </c>
    </row>
    <row r="4881" spans="1:7">
      <c r="A4881" s="1" t="s">
        <v>14186</v>
      </c>
      <c r="B4881" s="1" t="s">
        <v>14187</v>
      </c>
      <c r="C4881">
        <f>(1-(B7/100))*89.05</f>
        <v>89.05</v>
      </c>
      <c r="D4881" s="1">
        <v>0</v>
      </c>
      <c r="E4881">
        <f>D4881*C4881</f>
        <v>0</v>
      </c>
      <c r="F4881" s="1" t="s">
        <v>14188</v>
      </c>
      <c r="G4881" s="17">
        <v>83284</v>
      </c>
    </row>
    <row r="4882" spans="1:7">
      <c r="A4882" s="1" t="s">
        <v>14189</v>
      </c>
      <c r="B4882" s="1" t="s">
        <v>14190</v>
      </c>
      <c r="C4882">
        <f>(1-(B7/100))*106.71</f>
        <v>106.71</v>
      </c>
      <c r="D4882" s="1">
        <v>0</v>
      </c>
      <c r="E4882">
        <f>D4882*C4882</f>
        <v>0</v>
      </c>
      <c r="F4882" s="1" t="s">
        <v>14191</v>
      </c>
      <c r="G4882" s="17">
        <v>83285</v>
      </c>
    </row>
    <row r="4883" spans="1:7">
      <c r="A4883" s="1" t="s">
        <v>14192</v>
      </c>
      <c r="B4883" s="1" t="s">
        <v>14193</v>
      </c>
      <c r="C4883">
        <f>(1-(B7/100))*115.52</f>
        <v>115.52</v>
      </c>
      <c r="D4883" s="1">
        <v>0</v>
      </c>
      <c r="E4883">
        <f>D4883*C4883</f>
        <v>0</v>
      </c>
      <c r="F4883" s="1" t="s">
        <v>14194</v>
      </c>
      <c r="G4883" s="17">
        <v>83287</v>
      </c>
    </row>
    <row r="4884" spans="1:7">
      <c r="A4884" s="1" t="s">
        <v>14195</v>
      </c>
      <c r="B4884" s="1" t="s">
        <v>14196</v>
      </c>
      <c r="C4884">
        <f>(1-(B7/100))*115.52</f>
        <v>115.52</v>
      </c>
      <c r="D4884" s="1">
        <v>0</v>
      </c>
      <c r="E4884">
        <f>D4884*C4884</f>
        <v>0</v>
      </c>
      <c r="F4884" s="1" t="s">
        <v>14197</v>
      </c>
      <c r="G4884" s="17">
        <v>83288</v>
      </c>
    </row>
    <row r="4885" spans="1:7">
      <c r="A4885" s="1" t="s">
        <v>14198</v>
      </c>
      <c r="B4885" s="1" t="s">
        <v>14199</v>
      </c>
      <c r="C4885">
        <f>(1-(B7/100))*115.52</f>
        <v>115.52</v>
      </c>
      <c r="D4885" s="1">
        <v>0</v>
      </c>
      <c r="E4885">
        <f>D4885*C4885</f>
        <v>0</v>
      </c>
      <c r="F4885" s="1" t="s">
        <v>14200</v>
      </c>
      <c r="G4885" s="17">
        <v>83289</v>
      </c>
    </row>
    <row r="4886" spans="1:7">
      <c r="A4886" s="1" t="s">
        <v>14201</v>
      </c>
      <c r="B4886" s="1" t="s">
        <v>14202</v>
      </c>
      <c r="C4886">
        <f>(1-(B7/100))*167.64</f>
        <v>167.64</v>
      </c>
      <c r="D4886" s="1">
        <v>0</v>
      </c>
      <c r="E4886">
        <f>D4886*C4886</f>
        <v>0</v>
      </c>
      <c r="F4886" s="1" t="s">
        <v>14203</v>
      </c>
      <c r="G4886" s="17">
        <v>83290</v>
      </c>
    </row>
    <row r="4887" spans="1:7">
      <c r="A4887" s="1" t="s">
        <v>14204</v>
      </c>
      <c r="B4887" s="1" t="s">
        <v>14205</v>
      </c>
      <c r="C4887">
        <f>(1-(B7/100))*197.58</f>
        <v>197.58</v>
      </c>
      <c r="D4887" s="1">
        <v>0</v>
      </c>
      <c r="E4887">
        <f>D4887*C4887</f>
        <v>0</v>
      </c>
      <c r="F4887" s="1" t="s">
        <v>14206</v>
      </c>
      <c r="G4887" s="17">
        <v>83291</v>
      </c>
    </row>
    <row r="4888" spans="1:7">
      <c r="A4888" s="1" t="s">
        <v>14207</v>
      </c>
      <c r="B4888" s="1" t="s">
        <v>14208</v>
      </c>
      <c r="C4888">
        <f>(1-(B7/100))*77.29</f>
        <v>77.29</v>
      </c>
      <c r="D4888" s="1">
        <v>0</v>
      </c>
      <c r="E4888">
        <f>D4888*C4888</f>
        <v>0</v>
      </c>
      <c r="F4888" s="1" t="s">
        <v>14209</v>
      </c>
      <c r="G4888" s="17">
        <v>83294</v>
      </c>
    </row>
    <row r="4889" spans="1:7">
      <c r="A4889" s="1" t="s">
        <v>14210</v>
      </c>
      <c r="B4889" s="1" t="s">
        <v>14211</v>
      </c>
      <c r="C4889">
        <f>(1-(B7/100))*109.41</f>
        <v>109.41</v>
      </c>
      <c r="D4889" s="1">
        <v>0</v>
      </c>
      <c r="E4889">
        <f>D4889*C4889</f>
        <v>0</v>
      </c>
      <c r="F4889" s="1" t="s">
        <v>14212</v>
      </c>
      <c r="G4889" s="17">
        <v>83297</v>
      </c>
    </row>
    <row r="4890" spans="1:7">
      <c r="A4890" s="1" t="s">
        <v>14213</v>
      </c>
      <c r="B4890" s="1" t="s">
        <v>14214</v>
      </c>
      <c r="C4890">
        <f>(1-(B7/100))*111.82</f>
        <v>111.82</v>
      </c>
      <c r="D4890" s="1">
        <v>0</v>
      </c>
      <c r="E4890">
        <f>D4890*C4890</f>
        <v>0</v>
      </c>
      <c r="F4890" s="1" t="s">
        <v>14215</v>
      </c>
      <c r="G4890" s="17">
        <v>83310</v>
      </c>
    </row>
    <row r="4891" spans="1:7">
      <c r="A4891" s="1" t="s">
        <v>14216</v>
      </c>
      <c r="B4891" s="1" t="s">
        <v>14217</v>
      </c>
      <c r="C4891">
        <f>(1-(B7/100))*86.11</f>
        <v>86.11</v>
      </c>
      <c r="D4891" s="1">
        <v>0</v>
      </c>
      <c r="E4891">
        <f>D4891*C4891</f>
        <v>0</v>
      </c>
      <c r="F4891" s="1" t="s">
        <v>14218</v>
      </c>
      <c r="G4891" s="17">
        <v>83314</v>
      </c>
    </row>
    <row r="4892" spans="1:7">
      <c r="A4892" s="1" t="s">
        <v>14219</v>
      </c>
      <c r="B4892" s="1" t="s">
        <v>14220</v>
      </c>
      <c r="C4892">
        <f>(1-(B7/100))*89.05</f>
        <v>89.05</v>
      </c>
      <c r="D4892" s="1">
        <v>0</v>
      </c>
      <c r="E4892">
        <f>D4892*C4892</f>
        <v>0</v>
      </c>
      <c r="F4892" s="1" t="s">
        <v>14221</v>
      </c>
      <c r="G4892" s="17">
        <v>83315</v>
      </c>
    </row>
    <row r="4893" spans="1:7">
      <c r="A4893" s="1" t="s">
        <v>14222</v>
      </c>
      <c r="B4893" s="1" t="s">
        <v>14223</v>
      </c>
      <c r="C4893">
        <f>(1-(B7/100))*42.04</f>
        <v>42.04</v>
      </c>
      <c r="D4893" s="1">
        <v>0</v>
      </c>
      <c r="E4893">
        <f>D4893*C4893</f>
        <v>0</v>
      </c>
      <c r="F4893" s="1" t="s">
        <v>14224</v>
      </c>
      <c r="G4893" s="17">
        <v>83316</v>
      </c>
    </row>
    <row r="4894" spans="1:7">
      <c r="A4894" s="1" t="s">
        <v>14225</v>
      </c>
      <c r="B4894" s="1" t="s">
        <v>14226</v>
      </c>
      <c r="C4894">
        <f>(1-(B7/100))*40.15</f>
        <v>40.15</v>
      </c>
      <c r="D4894" s="1">
        <v>0</v>
      </c>
      <c r="E4894">
        <f>D4894*C4894</f>
        <v>0</v>
      </c>
      <c r="F4894" s="1" t="s">
        <v>14227</v>
      </c>
      <c r="G4894" s="17">
        <v>83317</v>
      </c>
    </row>
    <row r="4895" spans="1:7">
      <c r="A4895" s="1" t="s">
        <v>14228</v>
      </c>
      <c r="B4895" s="1" t="s">
        <v>14229</v>
      </c>
      <c r="C4895">
        <f>(1-(B7/100))*45.88</f>
        <v>45.88</v>
      </c>
      <c r="D4895" s="1">
        <v>0</v>
      </c>
      <c r="E4895">
        <f>D4895*C4895</f>
        <v>0</v>
      </c>
      <c r="F4895" s="1" t="s">
        <v>14230</v>
      </c>
      <c r="G4895" s="17">
        <v>83318</v>
      </c>
    </row>
    <row r="4896" spans="1:7">
      <c r="A4896" s="1" t="s">
        <v>14231</v>
      </c>
      <c r="B4896" s="1" t="s">
        <v>14232</v>
      </c>
      <c r="C4896">
        <f>(1-(B7/100))*89.05</f>
        <v>89.05</v>
      </c>
      <c r="D4896" s="1">
        <v>0</v>
      </c>
      <c r="E4896">
        <f>D4896*C4896</f>
        <v>0</v>
      </c>
      <c r="F4896" s="1" t="s">
        <v>14233</v>
      </c>
      <c r="G4896" s="17">
        <v>83326</v>
      </c>
    </row>
    <row r="4897" spans="1:7">
      <c r="A4897" s="1" t="s">
        <v>14234</v>
      </c>
      <c r="B4897" s="1" t="s">
        <v>14235</v>
      </c>
      <c r="C4897">
        <f>(1-(B7/100))*18.57</f>
        <v>18.57</v>
      </c>
      <c r="D4897" s="1">
        <v>0</v>
      </c>
      <c r="E4897">
        <f>D4897*C4897</f>
        <v>0</v>
      </c>
      <c r="F4897" s="1" t="s">
        <v>14236</v>
      </c>
      <c r="G4897" s="17">
        <v>83327</v>
      </c>
    </row>
    <row r="4898" spans="1:7">
      <c r="A4898" s="1" t="s">
        <v>14237</v>
      </c>
      <c r="B4898" s="1" t="s">
        <v>14238</v>
      </c>
      <c r="C4898">
        <f>(1-(B7/100))*63.84</f>
        <v>63.84</v>
      </c>
      <c r="D4898" s="1">
        <v>0</v>
      </c>
      <c r="E4898">
        <f>D4898*C4898</f>
        <v>0</v>
      </c>
      <c r="F4898" s="1" t="s">
        <v>14239</v>
      </c>
      <c r="G4898" s="17">
        <v>83329</v>
      </c>
    </row>
    <row r="4899" spans="1:7">
      <c r="A4899" s="1" t="s">
        <v>14240</v>
      </c>
      <c r="B4899" s="1" t="s">
        <v>14241</v>
      </c>
      <c r="C4899">
        <f>(1-(B7/100))*2073.4</f>
        <v>2073.4</v>
      </c>
      <c r="D4899" s="1">
        <v>0</v>
      </c>
      <c r="E4899">
        <f>D4899*C4899</f>
        <v>0</v>
      </c>
      <c r="F4899" s="1" t="s">
        <v>14242</v>
      </c>
      <c r="G4899" s="17">
        <v>83343</v>
      </c>
    </row>
    <row r="4900" spans="1:7">
      <c r="A4900" s="1" t="s">
        <v>14243</v>
      </c>
      <c r="B4900" s="1" t="s">
        <v>14244</v>
      </c>
      <c r="C4900">
        <f>(1-(B7/100))*1098.44</f>
        <v>1098.44</v>
      </c>
      <c r="D4900" s="1">
        <v>0</v>
      </c>
      <c r="E4900">
        <f>D4900*C4900</f>
        <v>0</v>
      </c>
      <c r="F4900" s="1" t="s">
        <v>14245</v>
      </c>
      <c r="G4900" s="17">
        <v>83344</v>
      </c>
    </row>
    <row r="4901" spans="1:7">
      <c r="A4901" s="1" t="s">
        <v>14246</v>
      </c>
      <c r="B4901" s="1" t="s">
        <v>14247</v>
      </c>
      <c r="C4901">
        <f>(1-(B7/100))*40.58</f>
        <v>40.58</v>
      </c>
      <c r="D4901" s="1">
        <v>0</v>
      </c>
      <c r="E4901">
        <f>D4901*C4901</f>
        <v>0</v>
      </c>
      <c r="F4901" s="1" t="s">
        <v>14248</v>
      </c>
      <c r="G4901" s="17">
        <v>83345</v>
      </c>
    </row>
    <row r="4902" spans="1:7">
      <c r="A4902" s="1" t="s">
        <v>14249</v>
      </c>
      <c r="B4902" s="1" t="s">
        <v>14250</v>
      </c>
      <c r="C4902">
        <f>(1-(B7/100))*44.99</f>
        <v>44.99</v>
      </c>
      <c r="D4902" s="1">
        <v>0</v>
      </c>
      <c r="E4902">
        <f>D4902*C4902</f>
        <v>0</v>
      </c>
      <c r="F4902" s="1" t="s">
        <v>14251</v>
      </c>
      <c r="G4902" s="17">
        <v>83348</v>
      </c>
    </row>
    <row r="4903" spans="1:7">
      <c r="A4903" s="1" t="s">
        <v>14252</v>
      </c>
      <c r="B4903" s="1" t="s">
        <v>14253</v>
      </c>
      <c r="C4903">
        <f>(1-(B7/100))*111.82</f>
        <v>111.82</v>
      </c>
      <c r="D4903" s="1">
        <v>0</v>
      </c>
      <c r="E4903">
        <f>D4903*C4903</f>
        <v>0</v>
      </c>
      <c r="F4903" s="1" t="s">
        <v>14254</v>
      </c>
      <c r="G4903" s="17">
        <v>83351</v>
      </c>
    </row>
    <row r="4904" spans="1:7">
      <c r="A4904" s="1" t="s">
        <v>14255</v>
      </c>
      <c r="B4904" s="1" t="s">
        <v>14256</v>
      </c>
      <c r="C4904">
        <f>(1-(B7/100))*111.82</f>
        <v>111.82</v>
      </c>
      <c r="D4904" s="1">
        <v>0</v>
      </c>
      <c r="E4904">
        <f>D4904*C4904</f>
        <v>0</v>
      </c>
      <c r="F4904" s="1" t="s">
        <v>14257</v>
      </c>
      <c r="G4904" s="17">
        <v>83352</v>
      </c>
    </row>
    <row r="4905" spans="1:7">
      <c r="A4905" s="1" t="s">
        <v>14258</v>
      </c>
      <c r="B4905" s="1" t="s">
        <v>14259</v>
      </c>
      <c r="C4905">
        <f>(1-(B7/100))*115.52</f>
        <v>115.52</v>
      </c>
      <c r="D4905" s="1">
        <v>0</v>
      </c>
      <c r="E4905">
        <f>D4905*C4905</f>
        <v>0</v>
      </c>
      <c r="F4905" s="1" t="s">
        <v>14260</v>
      </c>
      <c r="G4905" s="17">
        <v>83353</v>
      </c>
    </row>
    <row r="4906" spans="1:7">
      <c r="A4906" s="1" t="s">
        <v>14261</v>
      </c>
      <c r="B4906" s="1" t="s">
        <v>14262</v>
      </c>
      <c r="C4906">
        <f>(1-(B7/100))*115.52</f>
        <v>115.52</v>
      </c>
      <c r="D4906" s="1">
        <v>0</v>
      </c>
      <c r="E4906">
        <f>D4906*C4906</f>
        <v>0</v>
      </c>
      <c r="F4906" s="1" t="s">
        <v>14263</v>
      </c>
      <c r="G4906" s="17">
        <v>83354</v>
      </c>
    </row>
    <row r="4907" spans="1:7">
      <c r="A4907" s="1" t="s">
        <v>14264</v>
      </c>
      <c r="B4907" s="1" t="s">
        <v>14265</v>
      </c>
      <c r="C4907">
        <f>(1-(B7/100))*115.52</f>
        <v>115.52</v>
      </c>
      <c r="D4907" s="1">
        <v>0</v>
      </c>
      <c r="E4907">
        <f>D4907*C4907</f>
        <v>0</v>
      </c>
      <c r="F4907" s="1" t="s">
        <v>14266</v>
      </c>
      <c r="G4907" s="17">
        <v>83355</v>
      </c>
    </row>
    <row r="4908" spans="1:7">
      <c r="A4908" s="1" t="s">
        <v>14267</v>
      </c>
      <c r="B4908" s="1" t="s">
        <v>14268</v>
      </c>
      <c r="C4908">
        <f>(1-(B7/100))*115.52</f>
        <v>115.52</v>
      </c>
      <c r="D4908" s="1">
        <v>0</v>
      </c>
      <c r="E4908">
        <f>D4908*C4908</f>
        <v>0</v>
      </c>
      <c r="F4908" s="1" t="s">
        <v>14269</v>
      </c>
      <c r="G4908" s="17">
        <v>83356</v>
      </c>
    </row>
    <row r="4909" spans="1:7">
      <c r="A4909" s="1" t="s">
        <v>14270</v>
      </c>
      <c r="B4909" s="1" t="s">
        <v>14271</v>
      </c>
      <c r="C4909">
        <f>(1-(B7/100))*111.82</f>
        <v>111.82</v>
      </c>
      <c r="D4909" s="1">
        <v>0</v>
      </c>
      <c r="E4909">
        <f>D4909*C4909</f>
        <v>0</v>
      </c>
      <c r="F4909" s="1" t="s">
        <v>14272</v>
      </c>
      <c r="G4909" s="17">
        <v>83357</v>
      </c>
    </row>
    <row r="4910" spans="1:7">
      <c r="A4910" s="1" t="s">
        <v>14273</v>
      </c>
      <c r="B4910" s="1" t="s">
        <v>14274</v>
      </c>
      <c r="C4910">
        <f>(1-(B7/100))*111.82</f>
        <v>111.82</v>
      </c>
      <c r="D4910" s="1">
        <v>0</v>
      </c>
      <c r="E4910">
        <f>D4910*C4910</f>
        <v>0</v>
      </c>
      <c r="F4910" s="1" t="s">
        <v>14275</v>
      </c>
      <c r="G4910" s="17">
        <v>83358</v>
      </c>
    </row>
    <row r="4911" spans="1:7">
      <c r="A4911" s="1" t="s">
        <v>14276</v>
      </c>
      <c r="B4911" s="1" t="s">
        <v>14277</v>
      </c>
      <c r="C4911">
        <f>(1-(B7/100))*177.2</f>
        <v>177.2</v>
      </c>
      <c r="D4911" s="1">
        <v>0</v>
      </c>
      <c r="E4911">
        <f>D4911*C4911</f>
        <v>0</v>
      </c>
      <c r="F4911" s="1" t="s">
        <v>14278</v>
      </c>
      <c r="G4911" s="17">
        <v>83359</v>
      </c>
    </row>
    <row r="4912" spans="1:7">
      <c r="A4912" s="1" t="s">
        <v>14279</v>
      </c>
      <c r="B4912" s="1" t="s">
        <v>14280</v>
      </c>
      <c r="C4912">
        <f>(1-(B7/100))*213.97</f>
        <v>213.97</v>
      </c>
      <c r="D4912" s="1">
        <v>0</v>
      </c>
      <c r="E4912">
        <f>D4912*C4912</f>
        <v>0</v>
      </c>
      <c r="F4912" s="1" t="s">
        <v>14281</v>
      </c>
      <c r="G4912" s="17">
        <v>83361</v>
      </c>
    </row>
    <row r="4913" spans="1:7">
      <c r="A4913" s="1" t="s">
        <v>14282</v>
      </c>
      <c r="B4913" s="1" t="s">
        <v>14283</v>
      </c>
      <c r="C4913">
        <f>(1-(B7/100))*221.3</f>
        <v>221.3</v>
      </c>
      <c r="D4913" s="1">
        <v>0</v>
      </c>
      <c r="E4913">
        <f>D4913*C4913</f>
        <v>0</v>
      </c>
      <c r="F4913" s="1" t="s">
        <v>14284</v>
      </c>
      <c r="G4913" s="17">
        <v>83362</v>
      </c>
    </row>
    <row r="4914" spans="1:7">
      <c r="A4914" s="1" t="s">
        <v>14285</v>
      </c>
      <c r="B4914" s="1" t="s">
        <v>14286</v>
      </c>
      <c r="C4914">
        <f>(1-(B7/100))*1714.19</f>
        <v>1714.19</v>
      </c>
      <c r="D4914" s="1">
        <v>0</v>
      </c>
      <c r="E4914">
        <f>D4914*C4914</f>
        <v>0</v>
      </c>
      <c r="F4914" s="1" t="s">
        <v>14287</v>
      </c>
      <c r="G4914" s="17">
        <v>83363</v>
      </c>
    </row>
    <row r="4915" spans="1:7">
      <c r="A4915" s="1" t="s">
        <v>14288</v>
      </c>
      <c r="B4915" s="1" t="s">
        <v>14289</v>
      </c>
      <c r="C4915">
        <f>(1-(B7/100))*1582.67</f>
        <v>1582.67</v>
      </c>
      <c r="D4915" s="1">
        <v>0</v>
      </c>
      <c r="E4915">
        <f>D4915*C4915</f>
        <v>0</v>
      </c>
      <c r="F4915" s="1" t="s">
        <v>14290</v>
      </c>
      <c r="G4915" s="17">
        <v>83364</v>
      </c>
    </row>
    <row r="4916" spans="1:7">
      <c r="A4916" s="1" t="s">
        <v>14291</v>
      </c>
      <c r="B4916" s="1" t="s">
        <v>14292</v>
      </c>
      <c r="C4916">
        <f>(1-(B7/100))*2221.03</f>
        <v>2221.03</v>
      </c>
      <c r="D4916" s="1">
        <v>0</v>
      </c>
      <c r="E4916">
        <f>D4916*C4916</f>
        <v>0</v>
      </c>
      <c r="F4916" s="1" t="s">
        <v>14293</v>
      </c>
      <c r="G4916" s="17">
        <v>83365</v>
      </c>
    </row>
    <row r="4917" spans="1:7">
      <c r="A4917" s="1" t="s">
        <v>14294</v>
      </c>
      <c r="B4917" s="1" t="s">
        <v>14295</v>
      </c>
      <c r="C4917">
        <f>(1-(B7/100))*89.05</f>
        <v>89.05</v>
      </c>
      <c r="D4917" s="1">
        <v>0</v>
      </c>
      <c r="E4917">
        <f>D4917*C4917</f>
        <v>0</v>
      </c>
      <c r="F4917" s="1" t="s">
        <v>14296</v>
      </c>
      <c r="G4917" s="17">
        <v>83366</v>
      </c>
    </row>
    <row r="4918" spans="1:7">
      <c r="A4918" s="1" t="s">
        <v>14297</v>
      </c>
      <c r="B4918" s="1" t="s">
        <v>14298</v>
      </c>
      <c r="C4918">
        <f>(1-(B7/100))*89.05</f>
        <v>89.05</v>
      </c>
      <c r="D4918" s="1">
        <v>0</v>
      </c>
      <c r="E4918">
        <f>D4918*C4918</f>
        <v>0</v>
      </c>
      <c r="F4918" s="1" t="s">
        <v>14299</v>
      </c>
      <c r="G4918" s="17">
        <v>83367</v>
      </c>
    </row>
    <row r="4919" spans="1:7">
      <c r="A4919" s="1" t="s">
        <v>14300</v>
      </c>
      <c r="B4919" s="1" t="s">
        <v>14301</v>
      </c>
      <c r="C4919">
        <f>(1-(B7/100))*89.05</f>
        <v>89.05</v>
      </c>
      <c r="D4919" s="1">
        <v>0</v>
      </c>
      <c r="E4919">
        <f>D4919*C4919</f>
        <v>0</v>
      </c>
      <c r="F4919" s="1" t="s">
        <v>14302</v>
      </c>
      <c r="G4919" s="17">
        <v>83368</v>
      </c>
    </row>
    <row r="4920" spans="1:7">
      <c r="A4920" s="1" t="s">
        <v>14303</v>
      </c>
      <c r="B4920" s="1" t="s">
        <v>14304</v>
      </c>
      <c r="C4920">
        <f>(1-(B7/100))*76.45</f>
        <v>76.45</v>
      </c>
      <c r="D4920" s="1">
        <v>0</v>
      </c>
      <c r="E4920">
        <f>D4920*C4920</f>
        <v>0</v>
      </c>
      <c r="F4920" s="1" t="s">
        <v>14305</v>
      </c>
      <c r="G4920" s="17">
        <v>83370</v>
      </c>
    </row>
    <row r="4921" spans="1:7">
      <c r="A4921" s="1" t="s">
        <v>14306</v>
      </c>
      <c r="B4921" s="1" t="s">
        <v>14307</v>
      </c>
      <c r="C4921">
        <f>(1-(B7/100))*76.45</f>
        <v>76.45</v>
      </c>
      <c r="D4921" s="1">
        <v>0</v>
      </c>
      <c r="E4921">
        <f>D4921*C4921</f>
        <v>0</v>
      </c>
      <c r="F4921" s="1" t="s">
        <v>14308</v>
      </c>
      <c r="G4921" s="17">
        <v>83371</v>
      </c>
    </row>
    <row r="4922" spans="1:7">
      <c r="A4922" s="1" t="s">
        <v>14309</v>
      </c>
      <c r="B4922" s="1" t="s">
        <v>14310</v>
      </c>
      <c r="C4922">
        <f>(1-(B7/100))*76.45</f>
        <v>76.45</v>
      </c>
      <c r="D4922" s="1">
        <v>0</v>
      </c>
      <c r="E4922">
        <f>D4922*C4922</f>
        <v>0</v>
      </c>
      <c r="F4922" s="1" t="s">
        <v>14311</v>
      </c>
      <c r="G4922" s="17">
        <v>83372</v>
      </c>
    </row>
    <row r="4923" spans="1:7">
      <c r="A4923" s="1" t="s">
        <v>14312</v>
      </c>
      <c r="B4923" s="1" t="s">
        <v>14313</v>
      </c>
      <c r="C4923">
        <f>(1-(B7/100))*76.45</f>
        <v>76.45</v>
      </c>
      <c r="D4923" s="1">
        <v>0</v>
      </c>
      <c r="E4923">
        <f>D4923*C4923</f>
        <v>0</v>
      </c>
      <c r="F4923" s="1" t="s">
        <v>14314</v>
      </c>
      <c r="G4923" s="17">
        <v>83373</v>
      </c>
    </row>
    <row r="4924" spans="1:7">
      <c r="A4924" s="1" t="s">
        <v>14315</v>
      </c>
      <c r="B4924" s="1" t="s">
        <v>14316</v>
      </c>
      <c r="C4924">
        <f>(1-(B7/100))*76.45</f>
        <v>76.45</v>
      </c>
      <c r="D4924" s="1">
        <v>0</v>
      </c>
      <c r="E4924">
        <f>D4924*C4924</f>
        <v>0</v>
      </c>
      <c r="F4924" s="1" t="s">
        <v>14317</v>
      </c>
      <c r="G4924" s="17">
        <v>83374</v>
      </c>
    </row>
    <row r="4925" spans="1:7">
      <c r="A4925" s="1" t="s">
        <v>14318</v>
      </c>
      <c r="B4925" s="1" t="s">
        <v>14319</v>
      </c>
      <c r="C4925">
        <f>(1-(B7/100))*76.45</f>
        <v>76.45</v>
      </c>
      <c r="D4925" s="1">
        <v>0</v>
      </c>
      <c r="E4925">
        <f>D4925*C4925</f>
        <v>0</v>
      </c>
      <c r="F4925" s="1" t="s">
        <v>14320</v>
      </c>
      <c r="G4925" s="17">
        <v>83375</v>
      </c>
    </row>
    <row r="4926" spans="1:7">
      <c r="A4926" s="1" t="s">
        <v>14321</v>
      </c>
      <c r="B4926" s="1" t="s">
        <v>14322</v>
      </c>
      <c r="C4926">
        <f>(1-(B7/100))*76.45</f>
        <v>76.45</v>
      </c>
      <c r="D4926" s="1">
        <v>0</v>
      </c>
      <c r="E4926">
        <f>D4926*C4926</f>
        <v>0</v>
      </c>
      <c r="F4926" s="1" t="s">
        <v>14323</v>
      </c>
      <c r="G4926" s="17">
        <v>83376</v>
      </c>
    </row>
    <row r="4927" spans="1:7">
      <c r="A4927" s="1" t="s">
        <v>14324</v>
      </c>
      <c r="B4927" s="1" t="s">
        <v>14325</v>
      </c>
      <c r="C4927">
        <f>(1-(B7/100))*76.45</f>
        <v>76.45</v>
      </c>
      <c r="D4927" s="1">
        <v>0</v>
      </c>
      <c r="E4927">
        <f>D4927*C4927</f>
        <v>0</v>
      </c>
      <c r="F4927" s="1" t="s">
        <v>14326</v>
      </c>
      <c r="G4927" s="17">
        <v>83378</v>
      </c>
    </row>
    <row r="4928" spans="1:7">
      <c r="A4928" s="1" t="s">
        <v>14327</v>
      </c>
      <c r="B4928" s="1" t="s">
        <v>14328</v>
      </c>
      <c r="C4928">
        <f>(1-(B7/100))*76.45</f>
        <v>76.45</v>
      </c>
      <c r="D4928" s="1">
        <v>0</v>
      </c>
      <c r="E4928">
        <f>D4928*C4928</f>
        <v>0</v>
      </c>
      <c r="F4928" s="1" t="s">
        <v>14329</v>
      </c>
      <c r="G4928" s="17">
        <v>83379</v>
      </c>
    </row>
    <row r="4929" spans="1:7">
      <c r="A4929" s="1" t="s">
        <v>14330</v>
      </c>
      <c r="B4929" s="1" t="s">
        <v>14331</v>
      </c>
      <c r="C4929">
        <f>(1-(B7/100))*76.45</f>
        <v>76.45</v>
      </c>
      <c r="D4929" s="1">
        <v>0</v>
      </c>
      <c r="E4929">
        <f>D4929*C4929</f>
        <v>0</v>
      </c>
      <c r="F4929" s="1" t="s">
        <v>14332</v>
      </c>
      <c r="G4929" s="17">
        <v>83380</v>
      </c>
    </row>
    <row r="4930" spans="1:7">
      <c r="A4930" s="1" t="s">
        <v>14333</v>
      </c>
      <c r="B4930" s="1" t="s">
        <v>14334</v>
      </c>
      <c r="C4930">
        <f>(1-(B7/100))*76.45</f>
        <v>76.45</v>
      </c>
      <c r="D4930" s="1">
        <v>0</v>
      </c>
      <c r="E4930">
        <f>D4930*C4930</f>
        <v>0</v>
      </c>
      <c r="F4930" s="1" t="s">
        <v>14335</v>
      </c>
      <c r="G4930" s="17">
        <v>83381</v>
      </c>
    </row>
    <row r="4931" spans="1:7">
      <c r="A4931" s="1" t="s">
        <v>14336</v>
      </c>
      <c r="B4931" s="1" t="s">
        <v>14337</v>
      </c>
      <c r="C4931">
        <f>(1-(B7/100))*76.45</f>
        <v>76.45</v>
      </c>
      <c r="D4931" s="1">
        <v>0</v>
      </c>
      <c r="E4931">
        <f>D4931*C4931</f>
        <v>0</v>
      </c>
      <c r="F4931" s="1" t="s">
        <v>14338</v>
      </c>
      <c r="G4931" s="17">
        <v>83382</v>
      </c>
    </row>
    <row r="4932" spans="1:7">
      <c r="A4932" s="1" t="s">
        <v>14339</v>
      </c>
      <c r="B4932" s="1" t="s">
        <v>14340</v>
      </c>
      <c r="C4932">
        <f>(1-(B7/100))*76.45</f>
        <v>76.45</v>
      </c>
      <c r="D4932" s="1">
        <v>0</v>
      </c>
      <c r="E4932">
        <f>D4932*C4932</f>
        <v>0</v>
      </c>
      <c r="F4932" s="1" t="s">
        <v>14341</v>
      </c>
      <c r="G4932" s="17">
        <v>83383</v>
      </c>
    </row>
    <row r="4933" spans="1:7">
      <c r="A4933" s="1" t="s">
        <v>14342</v>
      </c>
      <c r="B4933" s="1" t="s">
        <v>14343</v>
      </c>
      <c r="C4933">
        <f>(1-(B7/100))*76.45</f>
        <v>76.45</v>
      </c>
      <c r="D4933" s="1">
        <v>0</v>
      </c>
      <c r="E4933">
        <f>D4933*C4933</f>
        <v>0</v>
      </c>
      <c r="F4933" s="1" t="s">
        <v>14344</v>
      </c>
      <c r="G4933" s="17">
        <v>83384</v>
      </c>
    </row>
    <row r="4934" spans="1:7">
      <c r="A4934" s="1" t="s">
        <v>14345</v>
      </c>
      <c r="B4934" s="1" t="s">
        <v>14346</v>
      </c>
      <c r="C4934">
        <f>(1-(B7/100))*89.05</f>
        <v>89.05</v>
      </c>
      <c r="D4934" s="1">
        <v>0</v>
      </c>
      <c r="E4934">
        <f>D4934*C4934</f>
        <v>0</v>
      </c>
      <c r="F4934" s="1" t="s">
        <v>14347</v>
      </c>
      <c r="G4934" s="17">
        <v>83385</v>
      </c>
    </row>
    <row r="4935" spans="1:7">
      <c r="A4935" s="1" t="s">
        <v>14348</v>
      </c>
      <c r="B4935" s="1" t="s">
        <v>14349</v>
      </c>
      <c r="C4935">
        <f>(1-(B7/100))*76.45</f>
        <v>76.45</v>
      </c>
      <c r="D4935" s="1">
        <v>0</v>
      </c>
      <c r="E4935">
        <f>D4935*C4935</f>
        <v>0</v>
      </c>
      <c r="F4935" s="1" t="s">
        <v>14350</v>
      </c>
      <c r="G4935" s="17">
        <v>83386</v>
      </c>
    </row>
    <row r="4936" spans="1:7">
      <c r="A4936" s="1" t="s">
        <v>14351</v>
      </c>
      <c r="B4936" s="1" t="s">
        <v>14352</v>
      </c>
      <c r="C4936">
        <f>(1-(B7/100))*76.45</f>
        <v>76.45</v>
      </c>
      <c r="D4936" s="1">
        <v>0</v>
      </c>
      <c r="E4936">
        <f>D4936*C4936</f>
        <v>0</v>
      </c>
      <c r="F4936" s="1" t="s">
        <v>14353</v>
      </c>
      <c r="G4936" s="17">
        <v>83387</v>
      </c>
    </row>
    <row r="4937" spans="1:7">
      <c r="A4937" s="1" t="s">
        <v>14354</v>
      </c>
      <c r="B4937" s="1" t="s">
        <v>14355</v>
      </c>
      <c r="C4937">
        <f>(1-(B7/100))*72.23</f>
        <v>72.23</v>
      </c>
      <c r="D4937" s="1">
        <v>0</v>
      </c>
      <c r="E4937">
        <f>D4937*C4937</f>
        <v>0</v>
      </c>
      <c r="F4937" s="1" t="s">
        <v>14356</v>
      </c>
      <c r="G4937" s="17">
        <v>83390</v>
      </c>
    </row>
    <row r="4938" spans="1:7">
      <c r="A4938" s="1" t="s">
        <v>14357</v>
      </c>
      <c r="B4938" s="1" t="s">
        <v>14358</v>
      </c>
      <c r="C4938">
        <f>(1-(B7/100))*72.23</f>
        <v>72.23</v>
      </c>
      <c r="D4938" s="1">
        <v>0</v>
      </c>
      <c r="E4938">
        <f>D4938*C4938</f>
        <v>0</v>
      </c>
      <c r="F4938" s="1" t="s">
        <v>14359</v>
      </c>
      <c r="G4938" s="17">
        <v>83391</v>
      </c>
    </row>
    <row r="4939" spans="1:7">
      <c r="A4939" s="1" t="s">
        <v>14360</v>
      </c>
      <c r="B4939" s="1" t="s">
        <v>14361</v>
      </c>
      <c r="C4939">
        <f>(1-(B7/100))*72.23</f>
        <v>72.23</v>
      </c>
      <c r="D4939" s="1">
        <v>0</v>
      </c>
      <c r="E4939">
        <f>D4939*C4939</f>
        <v>0</v>
      </c>
      <c r="F4939" s="1" t="s">
        <v>14362</v>
      </c>
      <c r="G4939" s="17">
        <v>83392</v>
      </c>
    </row>
    <row r="4940" spans="1:7">
      <c r="A4940" s="1" t="s">
        <v>14363</v>
      </c>
      <c r="B4940" s="1" t="s">
        <v>14364</v>
      </c>
      <c r="C4940">
        <f>(1-(B7/100))*72.23</f>
        <v>72.23</v>
      </c>
      <c r="D4940" s="1">
        <v>0</v>
      </c>
      <c r="E4940">
        <f>D4940*C4940</f>
        <v>0</v>
      </c>
      <c r="F4940" s="1" t="s">
        <v>14365</v>
      </c>
      <c r="G4940" s="17">
        <v>83393</v>
      </c>
    </row>
    <row r="4941" spans="1:7">
      <c r="A4941" s="1" t="s">
        <v>14366</v>
      </c>
      <c r="B4941" s="1" t="s">
        <v>14367</v>
      </c>
      <c r="C4941">
        <f>(1-(B7/100))*72.23</f>
        <v>72.23</v>
      </c>
      <c r="D4941" s="1">
        <v>0</v>
      </c>
      <c r="E4941">
        <f>D4941*C4941</f>
        <v>0</v>
      </c>
      <c r="F4941" s="1" t="s">
        <v>14368</v>
      </c>
      <c r="G4941" s="17">
        <v>83394</v>
      </c>
    </row>
    <row r="4942" spans="1:7">
      <c r="A4942" s="1" t="s">
        <v>14369</v>
      </c>
      <c r="B4942" s="1" t="s">
        <v>14370</v>
      </c>
      <c r="C4942">
        <f>(1-(B7/100))*72.23</f>
        <v>72.23</v>
      </c>
      <c r="D4942" s="1">
        <v>0</v>
      </c>
      <c r="E4942">
        <f>D4942*C4942</f>
        <v>0</v>
      </c>
      <c r="F4942" s="1" t="s">
        <v>14371</v>
      </c>
      <c r="G4942" s="17">
        <v>83395</v>
      </c>
    </row>
    <row r="4943" spans="1:7">
      <c r="A4943" s="1" t="s">
        <v>14372</v>
      </c>
      <c r="B4943" s="1" t="s">
        <v>14373</v>
      </c>
      <c r="C4943">
        <f>(1-(B7/100))*72.23</f>
        <v>72.23</v>
      </c>
      <c r="D4943" s="1">
        <v>0</v>
      </c>
      <c r="E4943">
        <f>D4943*C4943</f>
        <v>0</v>
      </c>
      <c r="F4943" s="1" t="s">
        <v>14374</v>
      </c>
      <c r="G4943" s="17">
        <v>83397</v>
      </c>
    </row>
    <row r="4944" spans="1:7">
      <c r="A4944" s="1" t="s">
        <v>14375</v>
      </c>
      <c r="B4944" s="1" t="s">
        <v>14376</v>
      </c>
      <c r="C4944">
        <f>(1-(B7/100))*72.23</f>
        <v>72.23</v>
      </c>
      <c r="D4944" s="1">
        <v>0</v>
      </c>
      <c r="E4944">
        <f>D4944*C4944</f>
        <v>0</v>
      </c>
      <c r="F4944" s="1" t="s">
        <v>14377</v>
      </c>
      <c r="G4944" s="17">
        <v>83398</v>
      </c>
    </row>
    <row r="4945" spans="1:7">
      <c r="A4945" s="1" t="s">
        <v>14378</v>
      </c>
      <c r="B4945" s="1" t="s">
        <v>14379</v>
      </c>
      <c r="C4945">
        <f>(1-(B7/100))*72.23</f>
        <v>72.23</v>
      </c>
      <c r="D4945" s="1">
        <v>0</v>
      </c>
      <c r="E4945">
        <f>D4945*C4945</f>
        <v>0</v>
      </c>
      <c r="F4945" s="1" t="s">
        <v>14380</v>
      </c>
      <c r="G4945" s="17">
        <v>83399</v>
      </c>
    </row>
    <row r="4946" spans="1:7">
      <c r="A4946" s="1" t="s">
        <v>14381</v>
      </c>
      <c r="B4946" s="1" t="s">
        <v>14382</v>
      </c>
      <c r="C4946">
        <f>(1-(B7/100))*72.23</f>
        <v>72.23</v>
      </c>
      <c r="D4946" s="1">
        <v>0</v>
      </c>
      <c r="E4946">
        <f>D4946*C4946</f>
        <v>0</v>
      </c>
      <c r="F4946" s="1" t="s">
        <v>14383</v>
      </c>
      <c r="G4946" s="17">
        <v>83400</v>
      </c>
    </row>
    <row r="4947" spans="1:7">
      <c r="A4947" s="1" t="s">
        <v>14384</v>
      </c>
      <c r="B4947" s="1" t="s">
        <v>14385</v>
      </c>
      <c r="C4947">
        <f>(1-(B7/100))*72.23</f>
        <v>72.23</v>
      </c>
      <c r="D4947" s="1">
        <v>0</v>
      </c>
      <c r="E4947">
        <f>D4947*C4947</f>
        <v>0</v>
      </c>
      <c r="F4947" s="1" t="s">
        <v>14386</v>
      </c>
      <c r="G4947" s="17">
        <v>83401</v>
      </c>
    </row>
    <row r="4948" spans="1:7">
      <c r="A4948" s="1" t="s">
        <v>14387</v>
      </c>
      <c r="B4948" s="1" t="s">
        <v>14388</v>
      </c>
      <c r="C4948">
        <f>(1-(B7/100))*89.05</f>
        <v>89.05</v>
      </c>
      <c r="D4948" s="1">
        <v>0</v>
      </c>
      <c r="E4948">
        <f>D4948*C4948</f>
        <v>0</v>
      </c>
      <c r="F4948" s="1" t="s">
        <v>14389</v>
      </c>
      <c r="G4948" s="17">
        <v>83406</v>
      </c>
    </row>
    <row r="4949" spans="1:7">
      <c r="A4949" s="1" t="s">
        <v>14390</v>
      </c>
      <c r="B4949" s="1" t="s">
        <v>14391</v>
      </c>
      <c r="C4949">
        <f>(1-(B7/100))*169.14</f>
        <v>169.14</v>
      </c>
      <c r="D4949" s="1">
        <v>0</v>
      </c>
      <c r="E4949">
        <f>D4949*C4949</f>
        <v>0</v>
      </c>
      <c r="F4949" s="1" t="s">
        <v>14392</v>
      </c>
      <c r="G4949" s="17">
        <v>83407</v>
      </c>
    </row>
    <row r="4950" spans="1:7">
      <c r="A4950" s="1" t="s">
        <v>14393</v>
      </c>
      <c r="B4950" s="1" t="s">
        <v>14394</v>
      </c>
      <c r="C4950">
        <f>(1-(B7/100))*115.52</f>
        <v>115.52</v>
      </c>
      <c r="D4950" s="1">
        <v>0</v>
      </c>
      <c r="E4950">
        <f>D4950*C4950</f>
        <v>0</v>
      </c>
      <c r="F4950" s="1" t="s">
        <v>14395</v>
      </c>
      <c r="G4950" s="17">
        <v>83408</v>
      </c>
    </row>
    <row r="4951" spans="1:7">
      <c r="A4951" s="1" t="s">
        <v>14396</v>
      </c>
      <c r="B4951" s="1" t="s">
        <v>14397</v>
      </c>
      <c r="C4951">
        <f>(1-(B7/100))*222.74</f>
        <v>222.74</v>
      </c>
      <c r="D4951" s="1">
        <v>0</v>
      </c>
      <c r="E4951">
        <f>D4951*C4951</f>
        <v>0</v>
      </c>
      <c r="F4951" s="1" t="s">
        <v>14398</v>
      </c>
      <c r="G4951" s="17">
        <v>83409</v>
      </c>
    </row>
    <row r="4952" spans="1:7">
      <c r="A4952" s="1" t="s">
        <v>14399</v>
      </c>
      <c r="B4952" s="1" t="s">
        <v>14400</v>
      </c>
      <c r="C4952">
        <f>(1-(B7/100))*115.52</f>
        <v>115.52</v>
      </c>
      <c r="D4952" s="1">
        <v>0</v>
      </c>
      <c r="E4952">
        <f>D4952*C4952</f>
        <v>0</v>
      </c>
      <c r="F4952" s="1" t="s">
        <v>14401</v>
      </c>
      <c r="G4952" s="17">
        <v>83410</v>
      </c>
    </row>
    <row r="4953" spans="1:7">
      <c r="A4953" s="1" t="s">
        <v>14402</v>
      </c>
      <c r="B4953" s="1" t="s">
        <v>14403</v>
      </c>
      <c r="C4953">
        <f>(1-(B7/100))*222.74</f>
        <v>222.74</v>
      </c>
      <c r="D4953" s="1">
        <v>0</v>
      </c>
      <c r="E4953">
        <f>D4953*C4953</f>
        <v>0</v>
      </c>
      <c r="F4953" s="1" t="s">
        <v>14404</v>
      </c>
      <c r="G4953" s="17">
        <v>83411</v>
      </c>
    </row>
    <row r="4954" spans="1:7">
      <c r="A4954" s="1" t="s">
        <v>14405</v>
      </c>
      <c r="B4954" s="1" t="s">
        <v>14406</v>
      </c>
      <c r="C4954">
        <f>(1-(B7/100))*230.79</f>
        <v>230.79</v>
      </c>
      <c r="D4954" s="1">
        <v>0</v>
      </c>
      <c r="E4954">
        <f>D4954*C4954</f>
        <v>0</v>
      </c>
      <c r="F4954" s="1" t="s">
        <v>14407</v>
      </c>
      <c r="G4954" s="17">
        <v>83412</v>
      </c>
    </row>
    <row r="4955" spans="1:7">
      <c r="A4955" s="1" t="s">
        <v>14408</v>
      </c>
      <c r="B4955" s="1" t="s">
        <v>14409</v>
      </c>
      <c r="C4955">
        <f>(1-(B7/100))*154.45</f>
        <v>154.45</v>
      </c>
      <c r="D4955" s="1">
        <v>0</v>
      </c>
      <c r="E4955">
        <f>D4955*C4955</f>
        <v>0</v>
      </c>
      <c r="F4955" s="1" t="s">
        <v>14410</v>
      </c>
      <c r="G4955" s="17">
        <v>83413</v>
      </c>
    </row>
    <row r="4956" spans="1:7">
      <c r="A4956" s="1" t="s">
        <v>14411</v>
      </c>
      <c r="B4956" s="1" t="s">
        <v>14412</v>
      </c>
      <c r="C4956">
        <f>(1-(B7/100))*205.16</f>
        <v>205.16</v>
      </c>
      <c r="D4956" s="1">
        <v>0</v>
      </c>
      <c r="E4956">
        <f>D4956*C4956</f>
        <v>0</v>
      </c>
      <c r="F4956" s="1" t="s">
        <v>14413</v>
      </c>
      <c r="G4956" s="17">
        <v>83416</v>
      </c>
    </row>
    <row r="4957" spans="1:7">
      <c r="A4957" s="1" t="s">
        <v>14414</v>
      </c>
      <c r="B4957" s="1" t="s">
        <v>14415</v>
      </c>
      <c r="C4957">
        <f>(1-(B7/100))*197.06</f>
        <v>197.06</v>
      </c>
      <c r="D4957" s="1">
        <v>0</v>
      </c>
      <c r="E4957">
        <f>D4957*C4957</f>
        <v>0</v>
      </c>
      <c r="F4957" s="1" t="s">
        <v>14416</v>
      </c>
      <c r="G4957" s="17">
        <v>83417</v>
      </c>
    </row>
    <row r="4958" spans="1:7">
      <c r="A4958" s="1" t="s">
        <v>14417</v>
      </c>
      <c r="B4958" s="1" t="s">
        <v>14418</v>
      </c>
      <c r="C4958">
        <f>(1-(B7/100))*154.45</f>
        <v>154.45</v>
      </c>
      <c r="D4958" s="1">
        <v>0</v>
      </c>
      <c r="E4958">
        <f>D4958*C4958</f>
        <v>0</v>
      </c>
      <c r="F4958" s="1" t="s">
        <v>14419</v>
      </c>
      <c r="G4958" s="17">
        <v>83418</v>
      </c>
    </row>
    <row r="4959" spans="1:7">
      <c r="A4959" s="1" t="s">
        <v>14420</v>
      </c>
      <c r="B4959" s="1" t="s">
        <v>14421</v>
      </c>
      <c r="C4959">
        <f>(1-(B7/100))*205.16</f>
        <v>205.16</v>
      </c>
      <c r="D4959" s="1">
        <v>0</v>
      </c>
      <c r="E4959">
        <f>D4959*C4959</f>
        <v>0</v>
      </c>
      <c r="F4959" s="1" t="s">
        <v>14422</v>
      </c>
      <c r="G4959" s="17">
        <v>83419</v>
      </c>
    </row>
    <row r="4960" spans="1:7">
      <c r="A4960" s="1" t="s">
        <v>14423</v>
      </c>
      <c r="B4960" s="1" t="s">
        <v>14424</v>
      </c>
      <c r="C4960">
        <f>(1-(B7/100))*205.16</f>
        <v>205.16</v>
      </c>
      <c r="D4960" s="1">
        <v>0</v>
      </c>
      <c r="E4960">
        <f>D4960*C4960</f>
        <v>0</v>
      </c>
      <c r="F4960" s="1" t="s">
        <v>14425</v>
      </c>
      <c r="G4960" s="17">
        <v>83420</v>
      </c>
    </row>
    <row r="4961" spans="1:7">
      <c r="A4961" s="1" t="s">
        <v>14426</v>
      </c>
      <c r="B4961" s="1" t="s">
        <v>14427</v>
      </c>
      <c r="C4961">
        <f>(1-(B7/100))*205.16</f>
        <v>205.16</v>
      </c>
      <c r="D4961" s="1">
        <v>0</v>
      </c>
      <c r="E4961">
        <f>D4961*C4961</f>
        <v>0</v>
      </c>
      <c r="F4961" s="1" t="s">
        <v>14428</v>
      </c>
      <c r="G4961" s="17">
        <v>83421</v>
      </c>
    </row>
    <row r="4962" spans="1:7">
      <c r="A4962" s="1" t="s">
        <v>14429</v>
      </c>
      <c r="B4962" s="1" t="s">
        <v>14430</v>
      </c>
      <c r="C4962">
        <f>(1-(B7/100))*222.74</f>
        <v>222.74</v>
      </c>
      <c r="D4962" s="1">
        <v>0</v>
      </c>
      <c r="E4962">
        <f>D4962*C4962</f>
        <v>0</v>
      </c>
      <c r="F4962" s="1" t="s">
        <v>14431</v>
      </c>
      <c r="G4962" s="17">
        <v>83422</v>
      </c>
    </row>
    <row r="4963" spans="1:7">
      <c r="A4963" s="1" t="s">
        <v>14432</v>
      </c>
      <c r="B4963" s="1" t="s">
        <v>14433</v>
      </c>
      <c r="C4963">
        <f>(1-(B7/100))*197.06</f>
        <v>197.06</v>
      </c>
      <c r="D4963" s="1">
        <v>0</v>
      </c>
      <c r="E4963">
        <f>D4963*C4963</f>
        <v>0</v>
      </c>
      <c r="F4963" s="1" t="s">
        <v>14434</v>
      </c>
      <c r="G4963" s="17">
        <v>83423</v>
      </c>
    </row>
    <row r="4964" spans="1:7">
      <c r="A4964" s="1" t="s">
        <v>14435</v>
      </c>
      <c r="B4964" s="1" t="s">
        <v>14436</v>
      </c>
      <c r="C4964">
        <f>(1-(B7/100))*197.06</f>
        <v>197.06</v>
      </c>
      <c r="D4964" s="1">
        <v>0</v>
      </c>
      <c r="E4964">
        <f>D4964*C4964</f>
        <v>0</v>
      </c>
      <c r="F4964" s="1" t="s">
        <v>14437</v>
      </c>
      <c r="G4964" s="17">
        <v>83425</v>
      </c>
    </row>
    <row r="4965" spans="1:7">
      <c r="A4965" s="1" t="s">
        <v>14438</v>
      </c>
      <c r="B4965" s="1" t="s">
        <v>14439</v>
      </c>
      <c r="C4965">
        <f>(1-(B7/100))*111.82</f>
        <v>111.82</v>
      </c>
      <c r="D4965" s="1">
        <v>0</v>
      </c>
      <c r="E4965">
        <f>D4965*C4965</f>
        <v>0</v>
      </c>
      <c r="F4965" s="1" t="s">
        <v>14440</v>
      </c>
      <c r="G4965" s="17">
        <v>83426</v>
      </c>
    </row>
    <row r="4966" spans="1:7">
      <c r="A4966" s="1" t="s">
        <v>14441</v>
      </c>
      <c r="B4966" s="1" t="s">
        <v>14442</v>
      </c>
      <c r="C4966">
        <f>(1-(B7/100))*205.16</f>
        <v>205.16</v>
      </c>
      <c r="D4966" s="1">
        <v>0</v>
      </c>
      <c r="E4966">
        <f>D4966*C4966</f>
        <v>0</v>
      </c>
      <c r="F4966" s="1" t="s">
        <v>14443</v>
      </c>
      <c r="G4966" s="17">
        <v>83427</v>
      </c>
    </row>
    <row r="4967" spans="1:7">
      <c r="A4967" s="1" t="s">
        <v>14444</v>
      </c>
      <c r="B4967" s="1" t="s">
        <v>14445</v>
      </c>
      <c r="C4967">
        <f>(1-(B7/100))*230.79</f>
        <v>230.79</v>
      </c>
      <c r="D4967" s="1">
        <v>0</v>
      </c>
      <c r="E4967">
        <f>D4967*C4967</f>
        <v>0</v>
      </c>
      <c r="F4967" s="1" t="s">
        <v>14446</v>
      </c>
      <c r="G4967" s="17">
        <v>83428</v>
      </c>
    </row>
    <row r="4968" spans="1:7">
      <c r="A4968" s="1" t="s">
        <v>14447</v>
      </c>
      <c r="B4968" s="1" t="s">
        <v>14448</v>
      </c>
      <c r="C4968">
        <f>(1-(B7/100))*230.79</f>
        <v>230.79</v>
      </c>
      <c r="D4968" s="1">
        <v>0</v>
      </c>
      <c r="E4968">
        <f>D4968*C4968</f>
        <v>0</v>
      </c>
      <c r="F4968" s="1" t="s">
        <v>14449</v>
      </c>
      <c r="G4968" s="17">
        <v>83430</v>
      </c>
    </row>
    <row r="4969" spans="1:7">
      <c r="A4969" s="1" t="s">
        <v>14450</v>
      </c>
      <c r="B4969" s="1" t="s">
        <v>14451</v>
      </c>
      <c r="C4969">
        <f>(1-(B7/100))*269.28</f>
        <v>269.28</v>
      </c>
      <c r="D4969" s="1">
        <v>0</v>
      </c>
      <c r="E4969">
        <f>D4969*C4969</f>
        <v>0</v>
      </c>
      <c r="F4969" s="1" t="s">
        <v>14452</v>
      </c>
      <c r="G4969" s="17">
        <v>83431</v>
      </c>
    </row>
    <row r="4970" spans="1:7">
      <c r="A4970" s="1" t="s">
        <v>14453</v>
      </c>
      <c r="B4970" s="1" t="s">
        <v>14454</v>
      </c>
      <c r="C4970">
        <f>(1-(B7/100))*205.16</f>
        <v>205.16</v>
      </c>
      <c r="D4970" s="1">
        <v>0</v>
      </c>
      <c r="E4970">
        <f>D4970*C4970</f>
        <v>0</v>
      </c>
      <c r="F4970" s="1" t="s">
        <v>14455</v>
      </c>
      <c r="G4970" s="17">
        <v>83432</v>
      </c>
    </row>
    <row r="4971" spans="1:7">
      <c r="A4971" s="1" t="s">
        <v>14456</v>
      </c>
      <c r="B4971" s="1" t="s">
        <v>14457</v>
      </c>
      <c r="C4971">
        <f>(1-(B7/100))*205.16</f>
        <v>205.16</v>
      </c>
      <c r="D4971" s="1">
        <v>0</v>
      </c>
      <c r="E4971">
        <f>D4971*C4971</f>
        <v>0</v>
      </c>
      <c r="F4971" s="1" t="s">
        <v>14458</v>
      </c>
      <c r="G4971" s="17">
        <v>83433</v>
      </c>
    </row>
    <row r="4972" spans="1:7">
      <c r="A4972" s="1" t="s">
        <v>14459</v>
      </c>
      <c r="B4972" s="1" t="s">
        <v>14460</v>
      </c>
      <c r="C4972">
        <f>(1-(B7/100))*230.79</f>
        <v>230.79</v>
      </c>
      <c r="D4972" s="1">
        <v>0</v>
      </c>
      <c r="E4972">
        <f>D4972*C4972</f>
        <v>0</v>
      </c>
      <c r="F4972" s="1" t="s">
        <v>14461</v>
      </c>
      <c r="G4972" s="17">
        <v>83434</v>
      </c>
    </row>
    <row r="4973" spans="1:7">
      <c r="A4973" s="1" t="s">
        <v>14462</v>
      </c>
      <c r="B4973" s="1" t="s">
        <v>14463</v>
      </c>
      <c r="C4973">
        <f>(1-(B7/100))*222.74</f>
        <v>222.74</v>
      </c>
      <c r="D4973" s="1">
        <v>0</v>
      </c>
      <c r="E4973">
        <f>D4973*C4973</f>
        <v>0</v>
      </c>
      <c r="F4973" s="1" t="s">
        <v>14464</v>
      </c>
      <c r="G4973" s="17">
        <v>83435</v>
      </c>
    </row>
    <row r="4974" spans="1:7">
      <c r="A4974" s="1" t="s">
        <v>14465</v>
      </c>
      <c r="B4974" s="1" t="s">
        <v>14466</v>
      </c>
      <c r="C4974">
        <f>(1-(B7/100))*205.16</f>
        <v>205.16</v>
      </c>
      <c r="D4974" s="1">
        <v>0</v>
      </c>
      <c r="E4974">
        <f>D4974*C4974</f>
        <v>0</v>
      </c>
      <c r="F4974" s="1" t="s">
        <v>14467</v>
      </c>
      <c r="G4974" s="17">
        <v>83436</v>
      </c>
    </row>
    <row r="4975" spans="1:7">
      <c r="A4975" s="1" t="s">
        <v>14468</v>
      </c>
      <c r="B4975" s="1" t="s">
        <v>14469</v>
      </c>
      <c r="C4975">
        <f>(1-(B7/100))*205.16</f>
        <v>205.16</v>
      </c>
      <c r="D4975" s="1">
        <v>0</v>
      </c>
      <c r="E4975">
        <f>D4975*C4975</f>
        <v>0</v>
      </c>
      <c r="F4975" s="1" t="s">
        <v>14470</v>
      </c>
      <c r="G4975" s="17">
        <v>83437</v>
      </c>
    </row>
    <row r="4976" spans="1:7">
      <c r="A4976" s="1" t="s">
        <v>14471</v>
      </c>
      <c r="B4976" s="1" t="s">
        <v>14472</v>
      </c>
      <c r="C4976">
        <f>(1-(B7/100))*230.79</f>
        <v>230.79</v>
      </c>
      <c r="D4976" s="1">
        <v>0</v>
      </c>
      <c r="E4976">
        <f>D4976*C4976</f>
        <v>0</v>
      </c>
      <c r="F4976" s="1" t="s">
        <v>14473</v>
      </c>
      <c r="G4976" s="17">
        <v>83438</v>
      </c>
    </row>
    <row r="4977" spans="1:7">
      <c r="A4977" s="1" t="s">
        <v>14474</v>
      </c>
      <c r="B4977" s="1" t="s">
        <v>14475</v>
      </c>
      <c r="C4977">
        <f>(1-(B7/100))*205.16</f>
        <v>205.16</v>
      </c>
      <c r="D4977" s="1">
        <v>0</v>
      </c>
      <c r="E4977">
        <f>D4977*C4977</f>
        <v>0</v>
      </c>
      <c r="F4977" s="1" t="s">
        <v>14476</v>
      </c>
      <c r="G4977" s="17">
        <v>83439</v>
      </c>
    </row>
    <row r="4978" spans="1:7">
      <c r="A4978" s="1" t="s">
        <v>14477</v>
      </c>
      <c r="B4978" s="1" t="s">
        <v>14478</v>
      </c>
      <c r="C4978">
        <f>(1-(B7/100))*230.79</f>
        <v>230.79</v>
      </c>
      <c r="D4978" s="1">
        <v>0</v>
      </c>
      <c r="E4978">
        <f>D4978*C4978</f>
        <v>0</v>
      </c>
      <c r="F4978" s="1" t="s">
        <v>14479</v>
      </c>
      <c r="G4978" s="17">
        <v>83440</v>
      </c>
    </row>
    <row r="4979" spans="1:7">
      <c r="A4979" s="1" t="s">
        <v>14480</v>
      </c>
      <c r="B4979" s="1" t="s">
        <v>14481</v>
      </c>
      <c r="C4979">
        <f>(1-(B7/100))*222.74</f>
        <v>222.74</v>
      </c>
      <c r="D4979" s="1">
        <v>0</v>
      </c>
      <c r="E4979">
        <f>D4979*C4979</f>
        <v>0</v>
      </c>
      <c r="F4979" s="1" t="s">
        <v>14482</v>
      </c>
      <c r="G4979" s="17">
        <v>83441</v>
      </c>
    </row>
    <row r="4980" spans="1:7">
      <c r="A4980" s="1" t="s">
        <v>14483</v>
      </c>
      <c r="B4980" s="1" t="s">
        <v>14484</v>
      </c>
      <c r="C4980">
        <f>(1-(B7/100))*205.16</f>
        <v>205.16</v>
      </c>
      <c r="D4980" s="1">
        <v>0</v>
      </c>
      <c r="E4980">
        <f>D4980*C4980</f>
        <v>0</v>
      </c>
      <c r="F4980" s="1" t="s">
        <v>14485</v>
      </c>
      <c r="G4980" s="17">
        <v>83442</v>
      </c>
    </row>
    <row r="4981" spans="1:7">
      <c r="A4981" s="1" t="s">
        <v>14486</v>
      </c>
      <c r="B4981" s="1" t="s">
        <v>14487</v>
      </c>
      <c r="C4981">
        <f>(1-(B7/100))*230.79</f>
        <v>230.79</v>
      </c>
      <c r="D4981" s="1">
        <v>0</v>
      </c>
      <c r="E4981">
        <f>D4981*C4981</f>
        <v>0</v>
      </c>
      <c r="F4981" s="1" t="s">
        <v>14488</v>
      </c>
      <c r="G4981" s="17">
        <v>83443</v>
      </c>
    </row>
    <row r="4982" spans="1:7">
      <c r="A4982" s="1" t="s">
        <v>14489</v>
      </c>
      <c r="B4982" s="1" t="s">
        <v>14490</v>
      </c>
      <c r="C4982">
        <f>(1-(B7/100))*222.74</f>
        <v>222.74</v>
      </c>
      <c r="D4982" s="1">
        <v>0</v>
      </c>
      <c r="E4982">
        <f>D4982*C4982</f>
        <v>0</v>
      </c>
      <c r="F4982" s="1" t="s">
        <v>14491</v>
      </c>
      <c r="G4982" s="17">
        <v>83444</v>
      </c>
    </row>
    <row r="4983" spans="1:7">
      <c r="A4983" s="1" t="s">
        <v>14492</v>
      </c>
      <c r="B4983" s="1" t="s">
        <v>14493</v>
      </c>
      <c r="C4983">
        <f>(1-(B7/100))*197.06</f>
        <v>197.06</v>
      </c>
      <c r="D4983" s="1">
        <v>0</v>
      </c>
      <c r="E4983">
        <f>D4983*C4983</f>
        <v>0</v>
      </c>
      <c r="F4983" s="1" t="s">
        <v>14494</v>
      </c>
      <c r="G4983" s="17">
        <v>83445</v>
      </c>
    </row>
    <row r="4984" spans="1:7">
      <c r="A4984" s="1" t="s">
        <v>14495</v>
      </c>
      <c r="B4984" s="1" t="s">
        <v>14496</v>
      </c>
      <c r="C4984">
        <f>(1-(B7/100))*149.05</f>
        <v>149.05</v>
      </c>
      <c r="D4984" s="1">
        <v>0</v>
      </c>
      <c r="E4984">
        <f>D4984*C4984</f>
        <v>0</v>
      </c>
      <c r="F4984" s="1" t="s">
        <v>14497</v>
      </c>
      <c r="G4984" s="17">
        <v>83446</v>
      </c>
    </row>
    <row r="4985" spans="1:7">
      <c r="A4985" s="1" t="s">
        <v>14498</v>
      </c>
      <c r="B4985" s="1" t="s">
        <v>14499</v>
      </c>
      <c r="C4985">
        <f>(1-(B7/100))*1535.5</f>
        <v>1535.5</v>
      </c>
      <c r="D4985" s="1">
        <v>0</v>
      </c>
      <c r="E4985">
        <f>D4985*C4985</f>
        <v>0</v>
      </c>
      <c r="F4985" s="1" t="s">
        <v>14500</v>
      </c>
      <c r="G4985" s="17">
        <v>83448</v>
      </c>
    </row>
    <row r="4986" spans="1:7">
      <c r="A4986" s="1" t="s">
        <v>14501</v>
      </c>
      <c r="B4986" s="1" t="s">
        <v>14502</v>
      </c>
      <c r="C4986">
        <f>(1-(B7/100))*144.28</f>
        <v>144.28</v>
      </c>
      <c r="D4986" s="1">
        <v>0</v>
      </c>
      <c r="E4986">
        <f>D4986*C4986</f>
        <v>0</v>
      </c>
      <c r="F4986" s="1" t="s">
        <v>14503</v>
      </c>
      <c r="G4986" s="17">
        <v>83451</v>
      </c>
    </row>
    <row r="4987" spans="1:7">
      <c r="A4987" s="1" t="s">
        <v>14504</v>
      </c>
      <c r="B4987" s="1" t="s">
        <v>14505</v>
      </c>
      <c r="C4987">
        <f>(1-(B7/100))*115.52</f>
        <v>115.52</v>
      </c>
      <c r="D4987" s="1">
        <v>0</v>
      </c>
      <c r="E4987">
        <f>D4987*C4987</f>
        <v>0</v>
      </c>
      <c r="F4987" s="1" t="s">
        <v>14506</v>
      </c>
      <c r="G4987" s="17">
        <v>83453</v>
      </c>
    </row>
    <row r="4988" spans="1:7">
      <c r="A4988" s="1" t="s">
        <v>14507</v>
      </c>
      <c r="B4988" s="1" t="s">
        <v>14508</v>
      </c>
      <c r="C4988">
        <f>(1-(B7/100))*63.86</f>
        <v>63.86</v>
      </c>
      <c r="D4988" s="1">
        <v>0</v>
      </c>
      <c r="E4988">
        <f>D4988*C4988</f>
        <v>0</v>
      </c>
      <c r="F4988" s="1" t="s">
        <v>14509</v>
      </c>
      <c r="G4988" s="17">
        <v>83454</v>
      </c>
    </row>
    <row r="4989" spans="1:7">
      <c r="A4989" s="1" t="s">
        <v>14510</v>
      </c>
      <c r="B4989" s="1" t="s">
        <v>14511</v>
      </c>
      <c r="C4989">
        <f>(1-(B7/100))*63.86</f>
        <v>63.86</v>
      </c>
      <c r="D4989" s="1">
        <v>0</v>
      </c>
      <c r="E4989">
        <f>D4989*C4989</f>
        <v>0</v>
      </c>
      <c r="F4989" s="1" t="s">
        <v>14512</v>
      </c>
      <c r="G4989" s="17">
        <v>83455</v>
      </c>
    </row>
    <row r="4990" spans="1:7">
      <c r="A4990" s="1" t="s">
        <v>14513</v>
      </c>
      <c r="B4990" s="1" t="s">
        <v>14514</v>
      </c>
      <c r="C4990">
        <f>(1-(B7/100))*63.86</f>
        <v>63.86</v>
      </c>
      <c r="D4990" s="1">
        <v>0</v>
      </c>
      <c r="E4990">
        <f>D4990*C4990</f>
        <v>0</v>
      </c>
      <c r="F4990" s="1" t="s">
        <v>14515</v>
      </c>
      <c r="G4990" s="17">
        <v>83456</v>
      </c>
    </row>
    <row r="4991" spans="1:7">
      <c r="A4991" s="1" t="s">
        <v>14516</v>
      </c>
      <c r="B4991" s="1" t="s">
        <v>14517</v>
      </c>
      <c r="C4991">
        <f>(1-(B7/100))*63.86</f>
        <v>63.86</v>
      </c>
      <c r="D4991" s="1">
        <v>0</v>
      </c>
      <c r="E4991">
        <f>D4991*C4991</f>
        <v>0</v>
      </c>
      <c r="F4991" s="1" t="s">
        <v>14518</v>
      </c>
      <c r="G4991" s="17">
        <v>83457</v>
      </c>
    </row>
    <row r="4992" spans="1:7">
      <c r="A4992" s="1" t="s">
        <v>14519</v>
      </c>
      <c r="B4992" s="1" t="s">
        <v>14520</v>
      </c>
      <c r="C4992">
        <f>(1-(B7/100))*63.86</f>
        <v>63.86</v>
      </c>
      <c r="D4992" s="1">
        <v>0</v>
      </c>
      <c r="E4992">
        <f>D4992*C4992</f>
        <v>0</v>
      </c>
      <c r="F4992" s="1" t="s">
        <v>14521</v>
      </c>
      <c r="G4992" s="17">
        <v>83458</v>
      </c>
    </row>
    <row r="4993" spans="1:7">
      <c r="A4993" s="1" t="s">
        <v>14522</v>
      </c>
      <c r="B4993" s="1" t="s">
        <v>14523</v>
      </c>
      <c r="C4993">
        <f>(1-(B7/100))*63.86</f>
        <v>63.86</v>
      </c>
      <c r="D4993" s="1">
        <v>0</v>
      </c>
      <c r="E4993">
        <f>D4993*C4993</f>
        <v>0</v>
      </c>
      <c r="F4993" s="1" t="s">
        <v>14524</v>
      </c>
      <c r="G4993" s="17">
        <v>83459</v>
      </c>
    </row>
    <row r="4994" spans="1:7">
      <c r="A4994" s="1" t="s">
        <v>14525</v>
      </c>
      <c r="B4994" s="1" t="s">
        <v>14526</v>
      </c>
      <c r="C4994">
        <f>(1-(B7/100))*63.86</f>
        <v>63.86</v>
      </c>
      <c r="D4994" s="1">
        <v>0</v>
      </c>
      <c r="E4994">
        <f>D4994*C4994</f>
        <v>0</v>
      </c>
      <c r="F4994" s="1" t="s">
        <v>14527</v>
      </c>
      <c r="G4994" s="17">
        <v>83460</v>
      </c>
    </row>
    <row r="4995" spans="1:7">
      <c r="A4995" s="1" t="s">
        <v>14528</v>
      </c>
      <c r="B4995" s="1" t="s">
        <v>14529</v>
      </c>
      <c r="C4995">
        <f>(1-(B7/100))*63.86</f>
        <v>63.86</v>
      </c>
      <c r="D4995" s="1">
        <v>0</v>
      </c>
      <c r="E4995">
        <f>D4995*C4995</f>
        <v>0</v>
      </c>
      <c r="F4995" s="1" t="s">
        <v>14530</v>
      </c>
      <c r="G4995" s="17">
        <v>83461</v>
      </c>
    </row>
    <row r="4996" spans="1:7">
      <c r="A4996" s="1" t="s">
        <v>14531</v>
      </c>
      <c r="B4996" s="1" t="s">
        <v>14532</v>
      </c>
      <c r="C4996">
        <f>(1-(B7/100))*81.87</f>
        <v>81.87</v>
      </c>
      <c r="D4996" s="1">
        <v>0</v>
      </c>
      <c r="E4996">
        <f>D4996*C4996</f>
        <v>0</v>
      </c>
      <c r="F4996" s="1" t="s">
        <v>14533</v>
      </c>
      <c r="G4996" s="17">
        <v>83462</v>
      </c>
    </row>
    <row r="4997" spans="1:7">
      <c r="A4997" s="1" t="s">
        <v>14534</v>
      </c>
      <c r="B4997" s="1" t="s">
        <v>14535</v>
      </c>
      <c r="C4997">
        <f>(1-(B7/100))*92.01</f>
        <v>92.01</v>
      </c>
      <c r="D4997" s="1">
        <v>0</v>
      </c>
      <c r="E4997">
        <f>D4997*C4997</f>
        <v>0</v>
      </c>
      <c r="F4997" s="1" t="s">
        <v>14536</v>
      </c>
      <c r="G4997" s="17">
        <v>83463</v>
      </c>
    </row>
    <row r="4998" spans="1:7">
      <c r="A4998" s="1" t="s">
        <v>14537</v>
      </c>
      <c r="B4998" s="1" t="s">
        <v>14538</v>
      </c>
      <c r="C4998">
        <f>(1-(B7/100))*63.86</f>
        <v>63.86</v>
      </c>
      <c r="D4998" s="1">
        <v>0</v>
      </c>
      <c r="E4998">
        <f>D4998*C4998</f>
        <v>0</v>
      </c>
      <c r="F4998" s="1" t="s">
        <v>14539</v>
      </c>
      <c r="G4998" s="17">
        <v>83464</v>
      </c>
    </row>
    <row r="4999" spans="1:7">
      <c r="A4999" s="1" t="s">
        <v>14540</v>
      </c>
      <c r="B4999" s="1" t="s">
        <v>14541</v>
      </c>
      <c r="C4999">
        <f>(1-(B7/100))*63.86</f>
        <v>63.86</v>
      </c>
      <c r="D4999" s="1">
        <v>0</v>
      </c>
      <c r="E4999">
        <f>D4999*C4999</f>
        <v>0</v>
      </c>
      <c r="F4999" s="1" t="s">
        <v>14542</v>
      </c>
      <c r="G4999" s="17">
        <v>83465</v>
      </c>
    </row>
    <row r="5000" spans="1:7">
      <c r="A5000" s="1" t="s">
        <v>14543</v>
      </c>
      <c r="B5000" s="1" t="s">
        <v>14544</v>
      </c>
      <c r="C5000">
        <f>(1-(B7/100))*63.86</f>
        <v>63.86</v>
      </c>
      <c r="D5000" s="1">
        <v>0</v>
      </c>
      <c r="E5000">
        <f>D5000*C5000</f>
        <v>0</v>
      </c>
      <c r="F5000" s="1" t="s">
        <v>14545</v>
      </c>
      <c r="G5000" s="17">
        <v>83466</v>
      </c>
    </row>
    <row r="5001" spans="1:7">
      <c r="A5001" s="1" t="s">
        <v>14546</v>
      </c>
      <c r="B5001" s="1" t="s">
        <v>14547</v>
      </c>
      <c r="C5001">
        <f>(1-(B7/100))*63.86</f>
        <v>63.86</v>
      </c>
      <c r="D5001" s="1">
        <v>0</v>
      </c>
      <c r="E5001">
        <f>D5001*C5001</f>
        <v>0</v>
      </c>
      <c r="F5001" s="1" t="s">
        <v>14548</v>
      </c>
      <c r="G5001" s="17">
        <v>83467</v>
      </c>
    </row>
    <row r="5002" spans="1:7">
      <c r="A5002" s="1" t="s">
        <v>14549</v>
      </c>
      <c r="B5002" s="1" t="s">
        <v>14550</v>
      </c>
      <c r="C5002">
        <f>(1-(B7/100))*63.86</f>
        <v>63.86</v>
      </c>
      <c r="D5002" s="1">
        <v>0</v>
      </c>
      <c r="E5002">
        <f>D5002*C5002</f>
        <v>0</v>
      </c>
      <c r="F5002" s="1" t="s">
        <v>14551</v>
      </c>
      <c r="G5002" s="17">
        <v>83468</v>
      </c>
    </row>
    <row r="5003" spans="1:7">
      <c r="A5003" s="1" t="s">
        <v>14552</v>
      </c>
      <c r="B5003" s="1" t="s">
        <v>14553</v>
      </c>
      <c r="C5003">
        <f>(1-(B7/100))*63.86</f>
        <v>63.86</v>
      </c>
      <c r="D5003" s="1">
        <v>0</v>
      </c>
      <c r="E5003">
        <f>D5003*C5003</f>
        <v>0</v>
      </c>
      <c r="F5003" s="1" t="s">
        <v>14554</v>
      </c>
      <c r="G5003" s="17">
        <v>83469</v>
      </c>
    </row>
    <row r="5004" spans="1:7">
      <c r="A5004" s="1" t="s">
        <v>14555</v>
      </c>
      <c r="B5004" s="1" t="s">
        <v>14556</v>
      </c>
      <c r="C5004">
        <f>(1-(B7/100))*87.59</f>
        <v>87.59</v>
      </c>
      <c r="D5004" s="1">
        <v>0</v>
      </c>
      <c r="E5004">
        <f>D5004*C5004</f>
        <v>0</v>
      </c>
      <c r="F5004" s="1" t="s">
        <v>14557</v>
      </c>
      <c r="G5004" s="17">
        <v>83470</v>
      </c>
    </row>
    <row r="5005" spans="1:7">
      <c r="A5005" s="1" t="s">
        <v>14558</v>
      </c>
      <c r="B5005" s="1" t="s">
        <v>14559</v>
      </c>
      <c r="C5005">
        <f>(1-(B7/100))*63.86</f>
        <v>63.86</v>
      </c>
      <c r="D5005" s="1">
        <v>0</v>
      </c>
      <c r="E5005">
        <f>D5005*C5005</f>
        <v>0</v>
      </c>
      <c r="F5005" s="1" t="s">
        <v>14560</v>
      </c>
      <c r="G5005" s="17">
        <v>83471</v>
      </c>
    </row>
    <row r="5006" spans="1:7">
      <c r="A5006" s="1" t="s">
        <v>14561</v>
      </c>
      <c r="B5006" s="1" t="s">
        <v>14562</v>
      </c>
      <c r="C5006">
        <f>(1-(B7/100))*115.52</f>
        <v>115.52</v>
      </c>
      <c r="D5006" s="1">
        <v>0</v>
      </c>
      <c r="E5006">
        <f>D5006*C5006</f>
        <v>0</v>
      </c>
      <c r="F5006" s="1" t="s">
        <v>14563</v>
      </c>
      <c r="G5006" s="17">
        <v>83472</v>
      </c>
    </row>
    <row r="5007" spans="1:7">
      <c r="A5007" s="1" t="s">
        <v>14564</v>
      </c>
      <c r="B5007" s="1" t="s">
        <v>14565</v>
      </c>
      <c r="C5007">
        <f>(1-(B7/100))*63.86</f>
        <v>63.86</v>
      </c>
      <c r="D5007" s="1">
        <v>0</v>
      </c>
      <c r="E5007">
        <f>D5007*C5007</f>
        <v>0</v>
      </c>
      <c r="F5007" s="1" t="s">
        <v>14566</v>
      </c>
      <c r="G5007" s="17">
        <v>83473</v>
      </c>
    </row>
    <row r="5008" spans="1:7">
      <c r="A5008" s="1" t="s">
        <v>14567</v>
      </c>
      <c r="B5008" s="1" t="s">
        <v>14568</v>
      </c>
      <c r="C5008">
        <f>(1-(B7/100))*63.86</f>
        <v>63.86</v>
      </c>
      <c r="D5008" s="1">
        <v>0</v>
      </c>
      <c r="E5008">
        <f>D5008*C5008</f>
        <v>0</v>
      </c>
      <c r="F5008" s="1" t="s">
        <v>14569</v>
      </c>
      <c r="G5008" s="17">
        <v>83474</v>
      </c>
    </row>
    <row r="5009" spans="1:7">
      <c r="A5009" s="1" t="s">
        <v>14570</v>
      </c>
      <c r="B5009" s="1" t="s">
        <v>14571</v>
      </c>
      <c r="C5009">
        <f>(1-(B7/100))*63.86</f>
        <v>63.86</v>
      </c>
      <c r="D5009" s="1">
        <v>0</v>
      </c>
      <c r="E5009">
        <f>D5009*C5009</f>
        <v>0</v>
      </c>
      <c r="F5009" s="1" t="s">
        <v>14572</v>
      </c>
      <c r="G5009" s="17">
        <v>83475</v>
      </c>
    </row>
    <row r="5010" spans="1:7">
      <c r="A5010" s="1" t="s">
        <v>14573</v>
      </c>
      <c r="B5010" s="1" t="s">
        <v>14574</v>
      </c>
      <c r="C5010">
        <f>(1-(B7/100))*63.86</f>
        <v>63.86</v>
      </c>
      <c r="D5010" s="1">
        <v>0</v>
      </c>
      <c r="E5010">
        <f>D5010*C5010</f>
        <v>0</v>
      </c>
      <c r="F5010" s="1" t="s">
        <v>14575</v>
      </c>
      <c r="G5010" s="17">
        <v>83476</v>
      </c>
    </row>
    <row r="5011" spans="1:7">
      <c r="A5011" s="1" t="s">
        <v>14576</v>
      </c>
      <c r="B5011" s="1" t="s">
        <v>14577</v>
      </c>
      <c r="C5011">
        <f>(1-(B7/100))*78.79</f>
        <v>78.79</v>
      </c>
      <c r="D5011" s="1">
        <v>0</v>
      </c>
      <c r="E5011">
        <f>D5011*C5011</f>
        <v>0</v>
      </c>
      <c r="F5011" s="1" t="s">
        <v>14578</v>
      </c>
      <c r="G5011" s="17">
        <v>83477</v>
      </c>
    </row>
    <row r="5012" spans="1:7">
      <c r="A5012" s="1" t="s">
        <v>14579</v>
      </c>
      <c r="B5012" s="1" t="s">
        <v>14580</v>
      </c>
      <c r="C5012">
        <f>(1-(B7/100))*63.86</f>
        <v>63.86</v>
      </c>
      <c r="D5012" s="1">
        <v>0</v>
      </c>
      <c r="E5012">
        <f>D5012*C5012</f>
        <v>0</v>
      </c>
      <c r="F5012" s="1" t="s">
        <v>14581</v>
      </c>
      <c r="G5012" s="17">
        <v>83478</v>
      </c>
    </row>
    <row r="5013" spans="1:7">
      <c r="A5013" s="1" t="s">
        <v>14582</v>
      </c>
      <c r="B5013" s="1" t="s">
        <v>14583</v>
      </c>
      <c r="C5013">
        <f>(1-(B7/100))*63.86</f>
        <v>63.86</v>
      </c>
      <c r="D5013" s="1">
        <v>0</v>
      </c>
      <c r="E5013">
        <f>D5013*C5013</f>
        <v>0</v>
      </c>
      <c r="F5013" s="1" t="s">
        <v>14584</v>
      </c>
      <c r="G5013" s="17">
        <v>83479</v>
      </c>
    </row>
    <row r="5014" spans="1:7">
      <c r="A5014" s="1" t="s">
        <v>14585</v>
      </c>
      <c r="B5014" s="1" t="s">
        <v>14586</v>
      </c>
      <c r="C5014">
        <f>(1-(B7/100))*63.86</f>
        <v>63.86</v>
      </c>
      <c r="D5014" s="1">
        <v>0</v>
      </c>
      <c r="E5014">
        <f>D5014*C5014</f>
        <v>0</v>
      </c>
      <c r="F5014" s="1" t="s">
        <v>14587</v>
      </c>
      <c r="G5014" s="17">
        <v>83480</v>
      </c>
    </row>
    <row r="5015" spans="1:7">
      <c r="A5015" s="1" t="s">
        <v>14588</v>
      </c>
      <c r="B5015" s="1" t="s">
        <v>14589</v>
      </c>
      <c r="C5015">
        <f>(1-(B7/100))*63.86</f>
        <v>63.86</v>
      </c>
      <c r="D5015" s="1">
        <v>0</v>
      </c>
      <c r="E5015">
        <f>D5015*C5015</f>
        <v>0</v>
      </c>
      <c r="F5015" s="1" t="s">
        <v>14590</v>
      </c>
      <c r="G5015" s="17">
        <v>83481</v>
      </c>
    </row>
    <row r="5016" spans="1:7">
      <c r="A5016" s="1" t="s">
        <v>14591</v>
      </c>
      <c r="B5016" s="1" t="s">
        <v>14592</v>
      </c>
      <c r="C5016">
        <f>(1-(B7/100))*115.52</f>
        <v>115.52</v>
      </c>
      <c r="D5016" s="1">
        <v>0</v>
      </c>
      <c r="E5016">
        <f>D5016*C5016</f>
        <v>0</v>
      </c>
      <c r="F5016" s="1" t="s">
        <v>14593</v>
      </c>
      <c r="G5016" s="17">
        <v>83483</v>
      </c>
    </row>
    <row r="5017" spans="1:7">
      <c r="A5017" s="1" t="s">
        <v>14594</v>
      </c>
      <c r="B5017" s="1" t="s">
        <v>14595</v>
      </c>
      <c r="C5017">
        <f>(1-(B7/100))*63.86</f>
        <v>63.86</v>
      </c>
      <c r="D5017" s="1">
        <v>0</v>
      </c>
      <c r="E5017">
        <f>D5017*C5017</f>
        <v>0</v>
      </c>
      <c r="F5017" s="1" t="s">
        <v>14596</v>
      </c>
      <c r="G5017" s="17">
        <v>83484</v>
      </c>
    </row>
    <row r="5018" spans="1:7">
      <c r="A5018" s="1" t="s">
        <v>14597</v>
      </c>
      <c r="B5018" s="1" t="s">
        <v>14598</v>
      </c>
      <c r="C5018">
        <f>(1-(B7/100))*63.86</f>
        <v>63.86</v>
      </c>
      <c r="D5018" s="1">
        <v>0</v>
      </c>
      <c r="E5018">
        <f>D5018*C5018</f>
        <v>0</v>
      </c>
      <c r="F5018" s="1" t="s">
        <v>14599</v>
      </c>
      <c r="G5018" s="17">
        <v>83485</v>
      </c>
    </row>
    <row r="5019" spans="1:7">
      <c r="A5019" s="1" t="s">
        <v>14600</v>
      </c>
      <c r="B5019" s="1" t="s">
        <v>14601</v>
      </c>
      <c r="C5019">
        <f>(1-(B7/100))*63.86</f>
        <v>63.86</v>
      </c>
      <c r="D5019" s="1">
        <v>0</v>
      </c>
      <c r="E5019">
        <f>D5019*C5019</f>
        <v>0</v>
      </c>
      <c r="F5019" s="1" t="s">
        <v>14602</v>
      </c>
      <c r="G5019" s="17">
        <v>83486</v>
      </c>
    </row>
    <row r="5020" spans="1:7">
      <c r="A5020" s="1" t="s">
        <v>14603</v>
      </c>
      <c r="B5020" s="1" t="s">
        <v>14604</v>
      </c>
      <c r="C5020">
        <f>(1-(B7/100))*63.86</f>
        <v>63.86</v>
      </c>
      <c r="D5020" s="1">
        <v>0</v>
      </c>
      <c r="E5020">
        <f>D5020*C5020</f>
        <v>0</v>
      </c>
      <c r="F5020" s="1" t="s">
        <v>14605</v>
      </c>
      <c r="G5020" s="17">
        <v>83487</v>
      </c>
    </row>
    <row r="5021" spans="1:7">
      <c r="A5021" s="1" t="s">
        <v>14606</v>
      </c>
      <c r="B5021" s="1" t="s">
        <v>14607</v>
      </c>
      <c r="C5021">
        <f>(1-(B7/100))*63.86</f>
        <v>63.86</v>
      </c>
      <c r="D5021" s="1">
        <v>0</v>
      </c>
      <c r="E5021">
        <f>D5021*C5021</f>
        <v>0</v>
      </c>
      <c r="F5021" s="1" t="s">
        <v>14608</v>
      </c>
      <c r="G5021" s="17">
        <v>83488</v>
      </c>
    </row>
    <row r="5022" spans="1:7">
      <c r="A5022" s="1" t="s">
        <v>14609</v>
      </c>
      <c r="B5022" s="1" t="s">
        <v>14610</v>
      </c>
      <c r="C5022">
        <f>(1-(B7/100))*63.86</f>
        <v>63.86</v>
      </c>
      <c r="D5022" s="1">
        <v>0</v>
      </c>
      <c r="E5022">
        <f>D5022*C5022</f>
        <v>0</v>
      </c>
      <c r="F5022" s="1" t="s">
        <v>14611</v>
      </c>
      <c r="G5022" s="17">
        <v>83489</v>
      </c>
    </row>
    <row r="5023" spans="1:7">
      <c r="A5023" s="1" t="s">
        <v>14612</v>
      </c>
      <c r="B5023" s="1" t="s">
        <v>14613</v>
      </c>
      <c r="C5023">
        <f>(1-(B7/100))*63.86</f>
        <v>63.86</v>
      </c>
      <c r="D5023" s="1">
        <v>0</v>
      </c>
      <c r="E5023">
        <f>D5023*C5023</f>
        <v>0</v>
      </c>
      <c r="F5023" s="1" t="s">
        <v>14614</v>
      </c>
      <c r="G5023" s="17">
        <v>83491</v>
      </c>
    </row>
    <row r="5024" spans="1:7">
      <c r="A5024" s="1" t="s">
        <v>14615</v>
      </c>
      <c r="B5024" s="1" t="s">
        <v>14616</v>
      </c>
      <c r="C5024">
        <f>(1-(B7/100))*63.86</f>
        <v>63.86</v>
      </c>
      <c r="D5024" s="1">
        <v>0</v>
      </c>
      <c r="E5024">
        <f>D5024*C5024</f>
        <v>0</v>
      </c>
      <c r="F5024" s="1" t="s">
        <v>14617</v>
      </c>
      <c r="G5024" s="17">
        <v>83492</v>
      </c>
    </row>
    <row r="5025" spans="1:7">
      <c r="A5025" s="1" t="s">
        <v>14618</v>
      </c>
      <c r="B5025" s="1" t="s">
        <v>14619</v>
      </c>
      <c r="C5025">
        <f>(1-(B7/100))*63.86</f>
        <v>63.86</v>
      </c>
      <c r="D5025" s="1">
        <v>0</v>
      </c>
      <c r="E5025">
        <f>D5025*C5025</f>
        <v>0</v>
      </c>
      <c r="F5025" s="1" t="s">
        <v>14620</v>
      </c>
      <c r="G5025" s="17">
        <v>83495</v>
      </c>
    </row>
    <row r="5026" spans="1:7">
      <c r="A5026" s="1" t="s">
        <v>14621</v>
      </c>
      <c r="B5026" s="1" t="s">
        <v>14622</v>
      </c>
      <c r="C5026">
        <f>(1-(B7/100))*81.87</f>
        <v>81.87</v>
      </c>
      <c r="D5026" s="1">
        <v>0</v>
      </c>
      <c r="E5026">
        <f>D5026*C5026</f>
        <v>0</v>
      </c>
      <c r="F5026" s="1" t="s">
        <v>14623</v>
      </c>
      <c r="G5026" s="17">
        <v>83496</v>
      </c>
    </row>
    <row r="5027" spans="1:7">
      <c r="A5027" s="1" t="s">
        <v>14624</v>
      </c>
      <c r="B5027" s="1" t="s">
        <v>14625</v>
      </c>
      <c r="C5027">
        <f>(1-(B7/100))*87.59</f>
        <v>87.59</v>
      </c>
      <c r="D5027" s="1">
        <v>0</v>
      </c>
      <c r="E5027">
        <f>D5027*C5027</f>
        <v>0</v>
      </c>
      <c r="F5027" s="1" t="s">
        <v>14626</v>
      </c>
      <c r="G5027" s="17">
        <v>83497</v>
      </c>
    </row>
    <row r="5028" spans="1:7">
      <c r="A5028" s="1" t="s">
        <v>14627</v>
      </c>
      <c r="B5028" s="1" t="s">
        <v>14628</v>
      </c>
      <c r="C5028">
        <f>(1-(B7/100))*63.86</f>
        <v>63.86</v>
      </c>
      <c r="D5028" s="1">
        <v>0</v>
      </c>
      <c r="E5028">
        <f>D5028*C5028</f>
        <v>0</v>
      </c>
      <c r="F5028" s="1" t="s">
        <v>14629</v>
      </c>
      <c r="G5028" s="17">
        <v>83499</v>
      </c>
    </row>
    <row r="5029" spans="1:7">
      <c r="A5029" s="1" t="s">
        <v>14630</v>
      </c>
      <c r="B5029" s="1" t="s">
        <v>14631</v>
      </c>
      <c r="C5029">
        <f>(1-(B7/100))*63.86</f>
        <v>63.86</v>
      </c>
      <c r="D5029" s="1">
        <v>0</v>
      </c>
      <c r="E5029">
        <f>D5029*C5029</f>
        <v>0</v>
      </c>
      <c r="F5029" s="1" t="s">
        <v>14632</v>
      </c>
      <c r="G5029" s="17">
        <v>83500</v>
      </c>
    </row>
    <row r="5030" spans="1:7">
      <c r="A5030" s="1" t="s">
        <v>14633</v>
      </c>
      <c r="B5030" s="1" t="s">
        <v>14634</v>
      </c>
      <c r="C5030">
        <f>(1-(B7/100))*78.79</f>
        <v>78.79</v>
      </c>
      <c r="D5030" s="1">
        <v>0</v>
      </c>
      <c r="E5030">
        <f>D5030*C5030</f>
        <v>0</v>
      </c>
      <c r="F5030" s="1" t="s">
        <v>14635</v>
      </c>
      <c r="G5030" s="17">
        <v>83501</v>
      </c>
    </row>
    <row r="5031" spans="1:7">
      <c r="A5031" s="1" t="s">
        <v>14636</v>
      </c>
      <c r="B5031" s="1" t="s">
        <v>13038</v>
      </c>
      <c r="C5031">
        <f>(1-(B7/100))*63.86</f>
        <v>63.86</v>
      </c>
      <c r="D5031" s="1">
        <v>0</v>
      </c>
      <c r="E5031">
        <f>D5031*C5031</f>
        <v>0</v>
      </c>
      <c r="F5031" s="1" t="s">
        <v>14637</v>
      </c>
      <c r="G5031" s="17">
        <v>83502</v>
      </c>
    </row>
    <row r="5032" spans="1:7">
      <c r="A5032" s="1" t="s">
        <v>14638</v>
      </c>
      <c r="B5032" s="1" t="s">
        <v>14639</v>
      </c>
      <c r="C5032">
        <f>(1-(B7/100))*63.86</f>
        <v>63.86</v>
      </c>
      <c r="D5032" s="1">
        <v>0</v>
      </c>
      <c r="E5032">
        <f>D5032*C5032</f>
        <v>0</v>
      </c>
      <c r="F5032" s="1" t="s">
        <v>14640</v>
      </c>
      <c r="G5032" s="17">
        <v>83503</v>
      </c>
    </row>
    <row r="5033" spans="1:7">
      <c r="A5033" s="1" t="s">
        <v>14641</v>
      </c>
      <c r="B5033" s="1" t="s">
        <v>14642</v>
      </c>
      <c r="C5033">
        <f>(1-(B7/100))*63.86</f>
        <v>63.86</v>
      </c>
      <c r="D5033" s="1">
        <v>0</v>
      </c>
      <c r="E5033">
        <f>D5033*C5033</f>
        <v>0</v>
      </c>
      <c r="F5033" s="1" t="s">
        <v>14643</v>
      </c>
      <c r="G5033" s="17">
        <v>83504</v>
      </c>
    </row>
    <row r="5034" spans="1:7">
      <c r="A5034" s="1" t="s">
        <v>14644</v>
      </c>
      <c r="B5034" s="1" t="s">
        <v>14645</v>
      </c>
      <c r="C5034">
        <f>(1-(B7/100))*63.86</f>
        <v>63.86</v>
      </c>
      <c r="D5034" s="1">
        <v>0</v>
      </c>
      <c r="E5034">
        <f>D5034*C5034</f>
        <v>0</v>
      </c>
      <c r="F5034" s="1" t="s">
        <v>14646</v>
      </c>
      <c r="G5034" s="17">
        <v>83505</v>
      </c>
    </row>
    <row r="5035" spans="1:7">
      <c r="A5035" s="1" t="s">
        <v>14647</v>
      </c>
      <c r="B5035" s="1" t="s">
        <v>14648</v>
      </c>
      <c r="C5035">
        <f>(1-(B7/100))*63.86</f>
        <v>63.86</v>
      </c>
      <c r="D5035" s="1">
        <v>0</v>
      </c>
      <c r="E5035">
        <f>D5035*C5035</f>
        <v>0</v>
      </c>
      <c r="F5035" s="1" t="s">
        <v>14649</v>
      </c>
      <c r="G5035" s="17">
        <v>83506</v>
      </c>
    </row>
    <row r="5036" spans="1:7">
      <c r="A5036" s="1" t="s">
        <v>14650</v>
      </c>
      <c r="B5036" s="1" t="s">
        <v>14651</v>
      </c>
      <c r="C5036">
        <f>(1-(B7/100))*86.11</f>
        <v>86.11</v>
      </c>
      <c r="D5036" s="1">
        <v>0</v>
      </c>
      <c r="E5036">
        <f>D5036*C5036</f>
        <v>0</v>
      </c>
      <c r="F5036" s="1" t="s">
        <v>14652</v>
      </c>
      <c r="G5036" s="17">
        <v>83508</v>
      </c>
    </row>
    <row r="5037" spans="1:7">
      <c r="A5037" s="1" t="s">
        <v>14653</v>
      </c>
      <c r="B5037" s="1" t="s">
        <v>14654</v>
      </c>
      <c r="C5037">
        <f>(1-(B7/100))*106.71</f>
        <v>106.71</v>
      </c>
      <c r="D5037" s="1">
        <v>0</v>
      </c>
      <c r="E5037">
        <f>D5037*C5037</f>
        <v>0</v>
      </c>
      <c r="F5037" s="1" t="s">
        <v>14655</v>
      </c>
      <c r="G5037" s="17">
        <v>83511</v>
      </c>
    </row>
    <row r="5038" spans="1:7">
      <c r="A5038" s="1" t="s">
        <v>14656</v>
      </c>
      <c r="B5038" s="1" t="s">
        <v>14657</v>
      </c>
      <c r="C5038">
        <f>(1-(B7/100))*89.05</f>
        <v>89.05</v>
      </c>
      <c r="D5038" s="1">
        <v>0</v>
      </c>
      <c r="E5038">
        <f>D5038*C5038</f>
        <v>0</v>
      </c>
      <c r="F5038" s="1" t="s">
        <v>14658</v>
      </c>
      <c r="G5038" s="17">
        <v>83512</v>
      </c>
    </row>
    <row r="5039" spans="1:7">
      <c r="A5039" s="1" t="s">
        <v>14659</v>
      </c>
      <c r="B5039" s="1" t="s">
        <v>14660</v>
      </c>
      <c r="C5039">
        <f>(1-(B7/100))*86.11</f>
        <v>86.11</v>
      </c>
      <c r="D5039" s="1">
        <v>0</v>
      </c>
      <c r="E5039">
        <f>D5039*C5039</f>
        <v>0</v>
      </c>
      <c r="F5039" s="1" t="s">
        <v>14661</v>
      </c>
      <c r="G5039" s="17">
        <v>83513</v>
      </c>
    </row>
    <row r="5040" spans="1:7">
      <c r="A5040" s="1" t="s">
        <v>14662</v>
      </c>
      <c r="B5040" s="1" t="s">
        <v>14663</v>
      </c>
      <c r="C5040">
        <f>(1-(B7/100))*120.13</f>
        <v>120.13</v>
      </c>
      <c r="D5040" s="1">
        <v>0</v>
      </c>
      <c r="E5040">
        <f>D5040*C5040</f>
        <v>0</v>
      </c>
      <c r="F5040" s="1" t="s">
        <v>14664</v>
      </c>
      <c r="G5040" s="17">
        <v>83514</v>
      </c>
    </row>
    <row r="5041" spans="1:7">
      <c r="A5041" s="1" t="s">
        <v>14665</v>
      </c>
      <c r="B5041" s="1" t="s">
        <v>14666</v>
      </c>
      <c r="C5041">
        <f>(1-(B7/100))*115.47</f>
        <v>115.47</v>
      </c>
      <c r="D5041" s="1">
        <v>0</v>
      </c>
      <c r="E5041">
        <f>D5041*C5041</f>
        <v>0</v>
      </c>
      <c r="F5041" s="1" t="s">
        <v>14667</v>
      </c>
      <c r="G5041" s="17">
        <v>83524</v>
      </c>
    </row>
    <row r="5042" spans="1:7">
      <c r="A5042" s="1" t="s">
        <v>14668</v>
      </c>
      <c r="B5042" s="1" t="s">
        <v>14669</v>
      </c>
      <c r="C5042">
        <f>(1-(B7/100))*71.21</f>
        <v>71.21</v>
      </c>
      <c r="D5042" s="1">
        <v>0</v>
      </c>
      <c r="E5042">
        <f>D5042*C5042</f>
        <v>0</v>
      </c>
      <c r="F5042" s="1" t="s">
        <v>14670</v>
      </c>
      <c r="G5042" s="17">
        <v>83526</v>
      </c>
    </row>
    <row r="5043" spans="1:7">
      <c r="A5043" s="1" t="s">
        <v>14671</v>
      </c>
      <c r="B5043" s="1" t="s">
        <v>14672</v>
      </c>
      <c r="C5043">
        <f>(1-(B7/100))*54.58</f>
        <v>54.58</v>
      </c>
      <c r="D5043" s="1">
        <v>0</v>
      </c>
      <c r="E5043">
        <f>D5043*C5043</f>
        <v>0</v>
      </c>
      <c r="F5043" s="1" t="s">
        <v>14673</v>
      </c>
      <c r="G5043" s="17">
        <v>83534</v>
      </c>
    </row>
    <row r="5044" spans="1:7">
      <c r="A5044" s="1" t="s">
        <v>14674</v>
      </c>
      <c r="B5044" s="1" t="s">
        <v>14675</v>
      </c>
      <c r="C5044">
        <f>(1-(B7/100))*188.25</f>
        <v>188.25</v>
      </c>
      <c r="D5044" s="1">
        <v>0</v>
      </c>
      <c r="E5044">
        <f>D5044*C5044</f>
        <v>0</v>
      </c>
      <c r="F5044" s="1" t="s">
        <v>14676</v>
      </c>
      <c r="G5044" s="17">
        <v>83543</v>
      </c>
    </row>
    <row r="5045" spans="1:7">
      <c r="A5045" s="1" t="s">
        <v>14677</v>
      </c>
      <c r="B5045" s="1" t="s">
        <v>14678</v>
      </c>
      <c r="C5045">
        <f>(1-(B7/100))*423.18</f>
        <v>423.18</v>
      </c>
      <c r="D5045" s="1">
        <v>0</v>
      </c>
      <c r="E5045">
        <f>D5045*C5045</f>
        <v>0</v>
      </c>
      <c r="F5045" s="1" t="s">
        <v>14679</v>
      </c>
      <c r="G5045" s="17">
        <v>83554</v>
      </c>
    </row>
    <row r="5046" spans="1:7">
      <c r="A5046" s="1" t="s">
        <v>14680</v>
      </c>
      <c r="B5046" s="1" t="s">
        <v>14681</v>
      </c>
      <c r="C5046">
        <f>(1-(B7/100))*54.58</f>
        <v>54.58</v>
      </c>
      <c r="D5046" s="1">
        <v>0</v>
      </c>
      <c r="E5046">
        <f>D5046*C5046</f>
        <v>0</v>
      </c>
      <c r="F5046" s="1" t="s">
        <v>14682</v>
      </c>
      <c r="G5046" s="17">
        <v>83567</v>
      </c>
    </row>
    <row r="5047" spans="1:7">
      <c r="A5047" s="1" t="s">
        <v>14683</v>
      </c>
      <c r="B5047" s="1" t="s">
        <v>14684</v>
      </c>
      <c r="C5047">
        <f>(1-(B7/100))*137.62</f>
        <v>137.62</v>
      </c>
      <c r="D5047" s="1">
        <v>0</v>
      </c>
      <c r="E5047">
        <f>D5047*C5047</f>
        <v>0</v>
      </c>
      <c r="F5047" s="1" t="s">
        <v>14685</v>
      </c>
      <c r="G5047" s="17">
        <v>83576</v>
      </c>
    </row>
    <row r="5048" spans="1:7">
      <c r="A5048" s="1" t="s">
        <v>14686</v>
      </c>
      <c r="B5048" s="1" t="s">
        <v>14687</v>
      </c>
      <c r="C5048">
        <f>(1-(B7/100))*141.18</f>
        <v>141.18</v>
      </c>
      <c r="D5048" s="1">
        <v>0</v>
      </c>
      <c r="E5048">
        <f>D5048*C5048</f>
        <v>0</v>
      </c>
      <c r="F5048" s="1" t="s">
        <v>14688</v>
      </c>
      <c r="G5048" s="17">
        <v>83591</v>
      </c>
    </row>
    <row r="5049" spans="1:7">
      <c r="A5049" s="1" t="s">
        <v>14689</v>
      </c>
      <c r="B5049" s="1" t="s">
        <v>14690</v>
      </c>
      <c r="C5049">
        <f>(1-(B7/100))*142.94</f>
        <v>142.94</v>
      </c>
      <c r="D5049" s="1">
        <v>0</v>
      </c>
      <c r="E5049">
        <f>D5049*C5049</f>
        <v>0</v>
      </c>
      <c r="F5049" s="1" t="s">
        <v>14691</v>
      </c>
      <c r="G5049" s="17">
        <v>83594</v>
      </c>
    </row>
    <row r="5050" spans="1:7">
      <c r="A5050" s="1" t="s">
        <v>14692</v>
      </c>
      <c r="B5050" s="1" t="s">
        <v>14693</v>
      </c>
      <c r="C5050">
        <f>(1-(B7/100))*141.18</f>
        <v>141.18</v>
      </c>
      <c r="D5050" s="1">
        <v>0</v>
      </c>
      <c r="E5050">
        <f>D5050*C5050</f>
        <v>0</v>
      </c>
      <c r="F5050" s="1" t="s">
        <v>14694</v>
      </c>
      <c r="G5050" s="17">
        <v>83595</v>
      </c>
    </row>
    <row r="5051" spans="1:7">
      <c r="A5051" s="1" t="s">
        <v>14695</v>
      </c>
      <c r="B5051" s="1" t="s">
        <v>14696</v>
      </c>
      <c r="C5051">
        <f>(1-(B7/100))*141.18</f>
        <v>141.18</v>
      </c>
      <c r="D5051" s="1">
        <v>0</v>
      </c>
      <c r="E5051">
        <f>D5051*C5051</f>
        <v>0</v>
      </c>
      <c r="F5051" s="1" t="s">
        <v>14697</v>
      </c>
      <c r="G5051" s="17">
        <v>83597</v>
      </c>
    </row>
    <row r="5052" spans="1:7">
      <c r="A5052" s="1" t="s">
        <v>14698</v>
      </c>
      <c r="B5052" s="1" t="s">
        <v>14699</v>
      </c>
      <c r="C5052">
        <f>(1-(B7/100))*137.62</f>
        <v>137.62</v>
      </c>
      <c r="D5052" s="1">
        <v>0</v>
      </c>
      <c r="E5052">
        <f>D5052*C5052</f>
        <v>0</v>
      </c>
      <c r="F5052" s="1" t="s">
        <v>14700</v>
      </c>
      <c r="G5052" s="17">
        <v>83601</v>
      </c>
    </row>
    <row r="5053" spans="1:7">
      <c r="A5053" s="1" t="s">
        <v>14701</v>
      </c>
      <c r="B5053" s="1" t="s">
        <v>14702</v>
      </c>
      <c r="C5053">
        <f>(1-(B7/100))*85.11</f>
        <v>85.11</v>
      </c>
      <c r="D5053" s="1">
        <v>0</v>
      </c>
      <c r="E5053">
        <f>D5053*C5053</f>
        <v>0</v>
      </c>
      <c r="F5053" s="1" t="s">
        <v>14703</v>
      </c>
      <c r="G5053" s="17">
        <v>83603</v>
      </c>
    </row>
    <row r="5054" spans="1:7">
      <c r="A5054" s="1" t="s">
        <v>14704</v>
      </c>
      <c r="B5054" s="1" t="s">
        <v>14705</v>
      </c>
      <c r="C5054">
        <f>(1-(B7/100))*185.39</f>
        <v>185.39</v>
      </c>
      <c r="D5054" s="1">
        <v>0</v>
      </c>
      <c r="E5054">
        <f>D5054*C5054</f>
        <v>0</v>
      </c>
      <c r="F5054" s="1" t="s">
        <v>14706</v>
      </c>
      <c r="G5054" s="17">
        <v>83605</v>
      </c>
    </row>
    <row r="5055" spans="1:7">
      <c r="A5055" s="1" t="s">
        <v>14707</v>
      </c>
      <c r="B5055" s="1" t="s">
        <v>14708</v>
      </c>
      <c r="C5055">
        <f>(1-(B7/100))*184.47</f>
        <v>184.47</v>
      </c>
      <c r="D5055" s="1">
        <v>0</v>
      </c>
      <c r="E5055">
        <f>D5055*C5055</f>
        <v>0</v>
      </c>
      <c r="F5055" s="1" t="s">
        <v>14709</v>
      </c>
      <c r="G5055" s="17">
        <v>83609</v>
      </c>
    </row>
    <row r="5056" spans="1:7">
      <c r="A5056" s="1" t="s">
        <v>14710</v>
      </c>
      <c r="B5056" s="1" t="s">
        <v>14711</v>
      </c>
      <c r="C5056">
        <f>(1-(B7/100))*188.13</f>
        <v>188.13</v>
      </c>
      <c r="D5056" s="1">
        <v>0</v>
      </c>
      <c r="E5056">
        <f>D5056*C5056</f>
        <v>0</v>
      </c>
      <c r="F5056" s="1" t="s">
        <v>14712</v>
      </c>
      <c r="G5056" s="17">
        <v>83610</v>
      </c>
    </row>
    <row r="5057" spans="1:7">
      <c r="A5057" s="1" t="s">
        <v>14713</v>
      </c>
      <c r="B5057" s="1" t="s">
        <v>14714</v>
      </c>
      <c r="C5057">
        <f>(1-(B7/100))*188.13</f>
        <v>188.13</v>
      </c>
      <c r="D5057" s="1">
        <v>0</v>
      </c>
      <c r="E5057">
        <f>D5057*C5057</f>
        <v>0</v>
      </c>
      <c r="F5057" s="1" t="s">
        <v>14715</v>
      </c>
      <c r="G5057" s="17">
        <v>83612</v>
      </c>
    </row>
    <row r="5058" spans="1:7">
      <c r="A5058" s="1" t="s">
        <v>14716</v>
      </c>
      <c r="B5058" s="1" t="s">
        <v>14717</v>
      </c>
      <c r="C5058">
        <f>(1-(B7/100))*28.58</f>
        <v>28.58</v>
      </c>
      <c r="D5058" s="1">
        <v>0</v>
      </c>
      <c r="E5058">
        <f>D5058*C5058</f>
        <v>0</v>
      </c>
      <c r="F5058" s="1" t="s">
        <v>14718</v>
      </c>
      <c r="G5058" s="17">
        <v>83614</v>
      </c>
    </row>
    <row r="5059" spans="1:7">
      <c r="A5059" s="1" t="s">
        <v>14719</v>
      </c>
      <c r="B5059" s="1" t="s">
        <v>14720</v>
      </c>
      <c r="C5059">
        <f>(1-(B7/100))*110.99</f>
        <v>110.99</v>
      </c>
      <c r="D5059" s="1">
        <v>0</v>
      </c>
      <c r="E5059">
        <f>D5059*C5059</f>
        <v>0</v>
      </c>
      <c r="F5059" s="1" t="s">
        <v>14721</v>
      </c>
      <c r="G5059" s="17">
        <v>83617</v>
      </c>
    </row>
    <row r="5060" spans="1:7">
      <c r="A5060" s="1" t="s">
        <v>14722</v>
      </c>
      <c r="B5060" s="1" t="s">
        <v>14723</v>
      </c>
      <c r="C5060">
        <f>(1-(B7/100))*312.81</f>
        <v>312.81</v>
      </c>
      <c r="D5060" s="1">
        <v>0</v>
      </c>
      <c r="E5060">
        <f>D5060*C5060</f>
        <v>0</v>
      </c>
      <c r="F5060" s="1" t="s">
        <v>14724</v>
      </c>
      <c r="G5060" s="17">
        <v>83618</v>
      </c>
    </row>
    <row r="5061" spans="1:7">
      <c r="A5061" s="1" t="s">
        <v>14725</v>
      </c>
      <c r="B5061" s="1" t="s">
        <v>14726</v>
      </c>
      <c r="C5061">
        <f>(1-(B7/100))*50.65</f>
        <v>50.65</v>
      </c>
      <c r="D5061" s="1">
        <v>0</v>
      </c>
      <c r="E5061">
        <f>D5061*C5061</f>
        <v>0</v>
      </c>
      <c r="F5061" s="1" t="s">
        <v>14727</v>
      </c>
      <c r="G5061" s="17">
        <v>83621</v>
      </c>
    </row>
    <row r="5062" spans="1:7">
      <c r="A5062" s="1" t="s">
        <v>14728</v>
      </c>
      <c r="B5062" s="1" t="s">
        <v>14729</v>
      </c>
      <c r="C5062">
        <f>(1-(B7/100))*46.81</f>
        <v>46.81</v>
      </c>
      <c r="D5062" s="1">
        <v>0</v>
      </c>
      <c r="E5062">
        <f>D5062*C5062</f>
        <v>0</v>
      </c>
      <c r="F5062" s="1" t="s">
        <v>14730</v>
      </c>
      <c r="G5062" s="17">
        <v>83628</v>
      </c>
    </row>
    <row r="5063" spans="1:7">
      <c r="A5063" s="1" t="s">
        <v>14731</v>
      </c>
      <c r="B5063" s="1" t="s">
        <v>14732</v>
      </c>
      <c r="C5063">
        <f>(1-(B7/100))*39.46</f>
        <v>39.46</v>
      </c>
      <c r="D5063" s="1">
        <v>0</v>
      </c>
      <c r="E5063">
        <f>D5063*C5063</f>
        <v>0</v>
      </c>
      <c r="F5063" s="1" t="s">
        <v>14733</v>
      </c>
      <c r="G5063" s="17">
        <v>83629</v>
      </c>
    </row>
    <row r="5064" spans="1:7">
      <c r="A5064" s="1" t="s">
        <v>14734</v>
      </c>
      <c r="B5064" s="1" t="s">
        <v>14735</v>
      </c>
      <c r="C5064">
        <f>(1-(B7/100))*165.99</f>
        <v>165.99</v>
      </c>
      <c r="D5064" s="1">
        <v>0</v>
      </c>
      <c r="E5064">
        <f>D5064*C5064</f>
        <v>0</v>
      </c>
      <c r="F5064" s="1" t="s">
        <v>14736</v>
      </c>
      <c r="G5064" s="17">
        <v>83631</v>
      </c>
    </row>
    <row r="5065" spans="1:7">
      <c r="A5065" s="1" t="s">
        <v>14737</v>
      </c>
      <c r="B5065" s="1" t="s">
        <v>14738</v>
      </c>
      <c r="C5065">
        <f>(1-(B7/100))*167.78</f>
        <v>167.78</v>
      </c>
      <c r="D5065" s="1">
        <v>0</v>
      </c>
      <c r="E5065">
        <f>D5065*C5065</f>
        <v>0</v>
      </c>
      <c r="F5065" s="1" t="s">
        <v>14739</v>
      </c>
      <c r="G5065" s="17">
        <v>83633</v>
      </c>
    </row>
    <row r="5066" spans="1:7">
      <c r="A5066" s="1" t="s">
        <v>14740</v>
      </c>
      <c r="B5066" s="1" t="s">
        <v>14741</v>
      </c>
      <c r="C5066">
        <f>(1-(B7/100))*229.83</f>
        <v>229.83</v>
      </c>
      <c r="D5066" s="1">
        <v>0</v>
      </c>
      <c r="E5066">
        <f>D5066*C5066</f>
        <v>0</v>
      </c>
      <c r="F5066" s="1" t="s">
        <v>14742</v>
      </c>
      <c r="G5066" s="17">
        <v>83634</v>
      </c>
    </row>
    <row r="5067" spans="1:7">
      <c r="A5067" s="1" t="s">
        <v>14743</v>
      </c>
      <c r="B5067" s="1" t="s">
        <v>14744</v>
      </c>
      <c r="C5067">
        <f>(1-(B7/100))*167.78</f>
        <v>167.78</v>
      </c>
      <c r="D5067" s="1">
        <v>0</v>
      </c>
      <c r="E5067">
        <f>D5067*C5067</f>
        <v>0</v>
      </c>
      <c r="F5067" s="1" t="s">
        <v>14745</v>
      </c>
      <c r="G5067" s="17">
        <v>83635</v>
      </c>
    </row>
    <row r="5068" spans="1:7">
      <c r="A5068" s="1" t="s">
        <v>14746</v>
      </c>
      <c r="B5068" s="1" t="s">
        <v>14747</v>
      </c>
      <c r="C5068">
        <f>(1-(B7/100))*168.18</f>
        <v>168.18</v>
      </c>
      <c r="D5068" s="1">
        <v>0</v>
      </c>
      <c r="E5068">
        <f>D5068*C5068</f>
        <v>0</v>
      </c>
      <c r="F5068" s="1" t="s">
        <v>14748</v>
      </c>
      <c r="G5068" s="17">
        <v>83636</v>
      </c>
    </row>
    <row r="5069" spans="1:7">
      <c r="A5069" s="1" t="s">
        <v>14749</v>
      </c>
      <c r="B5069" s="1" t="s">
        <v>14750</v>
      </c>
      <c r="C5069">
        <f>(1-(B7/100))*167.78</f>
        <v>167.78</v>
      </c>
      <c r="D5069" s="1">
        <v>0</v>
      </c>
      <c r="E5069">
        <f>D5069*C5069</f>
        <v>0</v>
      </c>
      <c r="F5069" s="1" t="s">
        <v>14751</v>
      </c>
      <c r="G5069" s="17">
        <v>83637</v>
      </c>
    </row>
    <row r="5070" spans="1:7">
      <c r="A5070" s="1" t="s">
        <v>14752</v>
      </c>
      <c r="B5070" s="1" t="s">
        <v>14753</v>
      </c>
      <c r="C5070">
        <f>(1-(B7/100))*248.74</f>
        <v>248.74</v>
      </c>
      <c r="D5070" s="1">
        <v>0</v>
      </c>
      <c r="E5070">
        <f>D5070*C5070</f>
        <v>0</v>
      </c>
      <c r="F5070" s="1" t="s">
        <v>14754</v>
      </c>
      <c r="G5070" s="17">
        <v>83639</v>
      </c>
    </row>
    <row r="5071" spans="1:7">
      <c r="A5071" s="1" t="s">
        <v>14755</v>
      </c>
      <c r="B5071" s="1" t="s">
        <v>14756</v>
      </c>
      <c r="C5071">
        <f>(1-(B7/100))*103.21</f>
        <v>103.21</v>
      </c>
      <c r="D5071" s="1">
        <v>0</v>
      </c>
      <c r="E5071">
        <f>D5071*C5071</f>
        <v>0</v>
      </c>
      <c r="F5071" s="1" t="s">
        <v>14757</v>
      </c>
      <c r="G5071" s="17">
        <v>83642</v>
      </c>
    </row>
    <row r="5072" spans="1:7">
      <c r="A5072" s="1" t="s">
        <v>14758</v>
      </c>
      <c r="B5072" s="1" t="s">
        <v>14759</v>
      </c>
      <c r="C5072">
        <f>(1-(B7/100))*363.5</f>
        <v>363.5</v>
      </c>
      <c r="D5072" s="1">
        <v>0</v>
      </c>
      <c r="E5072">
        <f>D5072*C5072</f>
        <v>0</v>
      </c>
      <c r="F5072" s="1" t="s">
        <v>14760</v>
      </c>
      <c r="G5072" s="17">
        <v>83643</v>
      </c>
    </row>
    <row r="5073" spans="1:7">
      <c r="A5073" s="1" t="s">
        <v>14761</v>
      </c>
      <c r="B5073" s="1" t="s">
        <v>14762</v>
      </c>
      <c r="C5073">
        <f>(1-(B7/100))*392.72</f>
        <v>392.72</v>
      </c>
      <c r="D5073" s="1">
        <v>0</v>
      </c>
      <c r="E5073">
        <f>D5073*C5073</f>
        <v>0</v>
      </c>
      <c r="F5073" s="1" t="s">
        <v>14763</v>
      </c>
      <c r="G5073" s="17">
        <v>83645</v>
      </c>
    </row>
    <row r="5074" spans="1:7">
      <c r="A5074" s="1" t="s">
        <v>14764</v>
      </c>
      <c r="B5074" s="1" t="s">
        <v>14765</v>
      </c>
      <c r="C5074">
        <f>(1-(B7/100))*365.35</f>
        <v>365.35</v>
      </c>
      <c r="D5074" s="1">
        <v>0</v>
      </c>
      <c r="E5074">
        <f>D5074*C5074</f>
        <v>0</v>
      </c>
      <c r="F5074" s="1" t="s">
        <v>14766</v>
      </c>
      <c r="G5074" s="17">
        <v>83649</v>
      </c>
    </row>
    <row r="5075" spans="1:7">
      <c r="A5075" s="1" t="s">
        <v>14767</v>
      </c>
      <c r="B5075" s="1" t="s">
        <v>14768</v>
      </c>
      <c r="C5075">
        <f>(1-(B7/100))*301.06</f>
        <v>301.06</v>
      </c>
      <c r="D5075" s="1">
        <v>0</v>
      </c>
      <c r="E5075">
        <f>D5075*C5075</f>
        <v>0</v>
      </c>
      <c r="F5075" s="1" t="s">
        <v>14769</v>
      </c>
      <c r="G5075" s="17">
        <v>83657</v>
      </c>
    </row>
    <row r="5076" spans="1:7">
      <c r="A5076" s="1" t="s">
        <v>14770</v>
      </c>
      <c r="B5076" s="1" t="s">
        <v>14771</v>
      </c>
      <c r="C5076">
        <f>(1-(B7/100))*288.53</f>
        <v>288.53</v>
      </c>
      <c r="D5076" s="1">
        <v>0</v>
      </c>
      <c r="E5076">
        <f>D5076*C5076</f>
        <v>0</v>
      </c>
      <c r="F5076" s="1" t="s">
        <v>14772</v>
      </c>
      <c r="G5076" s="17">
        <v>83663</v>
      </c>
    </row>
    <row r="5077" spans="1:7">
      <c r="A5077" s="1" t="s">
        <v>14773</v>
      </c>
      <c r="B5077" s="1" t="s">
        <v>14774</v>
      </c>
      <c r="C5077">
        <f>(1-(B7/100))*324.32</f>
        <v>324.32</v>
      </c>
      <c r="D5077" s="1">
        <v>0</v>
      </c>
      <c r="E5077">
        <f>D5077*C5077</f>
        <v>0</v>
      </c>
      <c r="F5077" s="1" t="s">
        <v>14775</v>
      </c>
      <c r="G5077" s="17">
        <v>83669</v>
      </c>
    </row>
    <row r="5078" spans="1:7">
      <c r="A5078" s="1" t="s">
        <v>14776</v>
      </c>
      <c r="B5078" s="1" t="s">
        <v>14777</v>
      </c>
      <c r="C5078">
        <f>(1-(B7/100))*190.8</f>
        <v>190.8</v>
      </c>
      <c r="D5078" s="1">
        <v>0</v>
      </c>
      <c r="E5078">
        <f>D5078*C5078</f>
        <v>0</v>
      </c>
      <c r="F5078" s="1" t="s">
        <v>14778</v>
      </c>
      <c r="G5078" s="17">
        <v>83677</v>
      </c>
    </row>
    <row r="5079" spans="1:7">
      <c r="A5079" s="1" t="s">
        <v>14779</v>
      </c>
      <c r="B5079" s="1" t="s">
        <v>14780</v>
      </c>
      <c r="C5079">
        <f>(1-(B7/100))*190.8</f>
        <v>190.8</v>
      </c>
      <c r="D5079" s="1">
        <v>0</v>
      </c>
      <c r="E5079">
        <f>D5079*C5079</f>
        <v>0</v>
      </c>
      <c r="F5079" s="1" t="s">
        <v>14781</v>
      </c>
      <c r="G5079" s="17">
        <v>83678</v>
      </c>
    </row>
    <row r="5080" spans="1:7">
      <c r="A5080" s="1" t="s">
        <v>14782</v>
      </c>
      <c r="B5080" s="1" t="s">
        <v>14783</v>
      </c>
      <c r="C5080">
        <f>(1-(B7/100))*197.22</f>
        <v>197.22</v>
      </c>
      <c r="D5080" s="1">
        <v>0</v>
      </c>
      <c r="E5080">
        <f>D5080*C5080</f>
        <v>0</v>
      </c>
      <c r="F5080" s="1" t="s">
        <v>14784</v>
      </c>
      <c r="G5080" s="17">
        <v>83680</v>
      </c>
    </row>
    <row r="5081" spans="1:7">
      <c r="A5081" s="1" t="s">
        <v>14785</v>
      </c>
      <c r="B5081" s="1" t="s">
        <v>14786</v>
      </c>
      <c r="C5081">
        <f>(1-(B7/100))*185.39</f>
        <v>185.39</v>
      </c>
      <c r="D5081" s="1">
        <v>0</v>
      </c>
      <c r="E5081">
        <f>D5081*C5081</f>
        <v>0</v>
      </c>
      <c r="F5081" s="1" t="s">
        <v>14787</v>
      </c>
      <c r="G5081" s="17">
        <v>83681</v>
      </c>
    </row>
    <row r="5082" spans="1:7">
      <c r="A5082" s="1" t="s">
        <v>14788</v>
      </c>
      <c r="B5082" s="1" t="s">
        <v>14789</v>
      </c>
      <c r="C5082">
        <f>(1-(B7/100))*115.45</f>
        <v>115.45</v>
      </c>
      <c r="D5082" s="1">
        <v>0</v>
      </c>
      <c r="E5082">
        <f>D5082*C5082</f>
        <v>0</v>
      </c>
      <c r="F5082" s="1" t="s">
        <v>14790</v>
      </c>
      <c r="G5082" s="17">
        <v>83682</v>
      </c>
    </row>
    <row r="5083" spans="1:7">
      <c r="A5083" s="1" t="s">
        <v>14791</v>
      </c>
      <c r="B5083" s="1" t="s">
        <v>14792</v>
      </c>
      <c r="C5083">
        <f>(1-(B7/100))*115.45</f>
        <v>115.45</v>
      </c>
      <c r="D5083" s="1">
        <v>0</v>
      </c>
      <c r="E5083">
        <f>D5083*C5083</f>
        <v>0</v>
      </c>
      <c r="F5083" s="1" t="s">
        <v>14793</v>
      </c>
      <c r="G5083" s="17">
        <v>83683</v>
      </c>
    </row>
    <row r="5084" spans="1:7">
      <c r="A5084" s="1" t="s">
        <v>14794</v>
      </c>
      <c r="B5084" s="1" t="s">
        <v>14795</v>
      </c>
      <c r="C5084">
        <f>(1-(B7/100))*47.86</f>
        <v>47.86</v>
      </c>
      <c r="D5084" s="1">
        <v>0</v>
      </c>
      <c r="E5084">
        <f>D5084*C5084</f>
        <v>0</v>
      </c>
      <c r="F5084" s="1" t="s">
        <v>14796</v>
      </c>
      <c r="G5084" s="17">
        <v>83697</v>
      </c>
    </row>
    <row r="5085" spans="1:7">
      <c r="A5085" s="1" t="s">
        <v>14797</v>
      </c>
      <c r="B5085" s="1" t="s">
        <v>14798</v>
      </c>
      <c r="C5085">
        <f>(1-(B7/100))*382.07</f>
        <v>382.07</v>
      </c>
      <c r="D5085" s="1">
        <v>0</v>
      </c>
      <c r="E5085">
        <f>D5085*C5085</f>
        <v>0</v>
      </c>
      <c r="F5085" s="1" t="s">
        <v>14799</v>
      </c>
      <c r="G5085" s="17">
        <v>83706</v>
      </c>
    </row>
    <row r="5086" spans="1:7">
      <c r="A5086" s="1" t="s">
        <v>14800</v>
      </c>
      <c r="B5086" s="1" t="s">
        <v>14801</v>
      </c>
      <c r="C5086">
        <f>(1-(B7/100))*473.76</f>
        <v>473.76</v>
      </c>
      <c r="D5086" s="1">
        <v>0</v>
      </c>
      <c r="E5086">
        <f>D5086*C5086</f>
        <v>0</v>
      </c>
      <c r="F5086" s="1" t="s">
        <v>14802</v>
      </c>
      <c r="G5086" s="17">
        <v>83707</v>
      </c>
    </row>
    <row r="5087" spans="1:7">
      <c r="A5087" s="1" t="s">
        <v>14803</v>
      </c>
      <c r="B5087" s="1" t="s">
        <v>14804</v>
      </c>
      <c r="C5087">
        <f>(1-(B7/100))*372.33</f>
        <v>372.33</v>
      </c>
      <c r="D5087" s="1">
        <v>0</v>
      </c>
      <c r="E5087">
        <f>D5087*C5087</f>
        <v>0</v>
      </c>
      <c r="F5087" s="1" t="s">
        <v>14805</v>
      </c>
      <c r="G5087" s="17">
        <v>83722</v>
      </c>
    </row>
    <row r="5088" spans="1:7">
      <c r="A5088" s="1" t="s">
        <v>14806</v>
      </c>
      <c r="B5088" s="1" t="s">
        <v>14807</v>
      </c>
      <c r="C5088">
        <f>(1-(B7/100))*372.33</f>
        <v>372.33</v>
      </c>
      <c r="D5088" s="1">
        <v>0</v>
      </c>
      <c r="E5088">
        <f>D5088*C5088</f>
        <v>0</v>
      </c>
      <c r="F5088" s="1" t="s">
        <v>14808</v>
      </c>
      <c r="G5088" s="17">
        <v>83723</v>
      </c>
    </row>
    <row r="5089" spans="1:7">
      <c r="A5089" s="1" t="s">
        <v>14809</v>
      </c>
      <c r="B5089" s="1" t="s">
        <v>14810</v>
      </c>
      <c r="C5089">
        <f>(1-(B7/100))*372.33</f>
        <v>372.33</v>
      </c>
      <c r="D5089" s="1">
        <v>0</v>
      </c>
      <c r="E5089">
        <f>D5089*C5089</f>
        <v>0</v>
      </c>
      <c r="F5089" s="1" t="s">
        <v>14811</v>
      </c>
      <c r="G5089" s="17">
        <v>83725</v>
      </c>
    </row>
    <row r="5090" spans="1:7">
      <c r="A5090" s="1" t="s">
        <v>14812</v>
      </c>
      <c r="B5090" s="1" t="s">
        <v>14813</v>
      </c>
      <c r="C5090">
        <f>(1-(B7/100))*372.33</f>
        <v>372.33</v>
      </c>
      <c r="D5090" s="1">
        <v>0</v>
      </c>
      <c r="E5090">
        <f>D5090*C5090</f>
        <v>0</v>
      </c>
      <c r="F5090" s="1" t="s">
        <v>14814</v>
      </c>
      <c r="G5090" s="17">
        <v>83726</v>
      </c>
    </row>
    <row r="5091" spans="1:7">
      <c r="A5091" s="1" t="s">
        <v>14815</v>
      </c>
      <c r="B5091" s="1" t="s">
        <v>14816</v>
      </c>
      <c r="C5091">
        <f>(1-(B7/100))*372.33</f>
        <v>372.33</v>
      </c>
      <c r="D5091" s="1">
        <v>0</v>
      </c>
      <c r="E5091">
        <f>D5091*C5091</f>
        <v>0</v>
      </c>
      <c r="F5091" s="1" t="s">
        <v>14817</v>
      </c>
      <c r="G5091" s="17">
        <v>83727</v>
      </c>
    </row>
    <row r="5092" spans="1:7">
      <c r="A5092" s="1" t="s">
        <v>14818</v>
      </c>
      <c r="B5092" s="1" t="s">
        <v>14819</v>
      </c>
      <c r="C5092">
        <f>(1-(B7/100))*372.33</f>
        <v>372.33</v>
      </c>
      <c r="D5092" s="1">
        <v>0</v>
      </c>
      <c r="E5092">
        <f>D5092*C5092</f>
        <v>0</v>
      </c>
      <c r="F5092" s="1" t="s">
        <v>14820</v>
      </c>
      <c r="G5092" s="17">
        <v>83732</v>
      </c>
    </row>
    <row r="5093" spans="1:7">
      <c r="A5093" s="1" t="s">
        <v>14821</v>
      </c>
      <c r="B5093" s="1" t="s">
        <v>14822</v>
      </c>
      <c r="C5093">
        <f>(1-(B7/100))*372.33</f>
        <v>372.33</v>
      </c>
      <c r="D5093" s="1">
        <v>0</v>
      </c>
      <c r="E5093">
        <f>D5093*C5093</f>
        <v>0</v>
      </c>
      <c r="F5093" s="1" t="s">
        <v>14823</v>
      </c>
      <c r="G5093" s="17">
        <v>83734</v>
      </c>
    </row>
    <row r="5094" spans="1:7">
      <c r="A5094" s="1" t="s">
        <v>14824</v>
      </c>
      <c r="B5094" s="1" t="s">
        <v>14825</v>
      </c>
      <c r="C5094">
        <f>(1-(B7/100))*372.33</f>
        <v>372.33</v>
      </c>
      <c r="D5094" s="1">
        <v>0</v>
      </c>
      <c r="E5094">
        <f>D5094*C5094</f>
        <v>0</v>
      </c>
      <c r="F5094" s="1" t="s">
        <v>14826</v>
      </c>
      <c r="G5094" s="17">
        <v>83735</v>
      </c>
    </row>
    <row r="5095" spans="1:7">
      <c r="A5095" s="1" t="s">
        <v>14827</v>
      </c>
      <c r="B5095" s="1" t="s">
        <v>14828</v>
      </c>
      <c r="C5095">
        <f>(1-(B7/100))*372.33</f>
        <v>372.33</v>
      </c>
      <c r="D5095" s="1">
        <v>0</v>
      </c>
      <c r="E5095">
        <f>D5095*C5095</f>
        <v>0</v>
      </c>
      <c r="F5095" s="1" t="s">
        <v>14829</v>
      </c>
      <c r="G5095" s="17">
        <v>83737</v>
      </c>
    </row>
    <row r="5096" spans="1:7">
      <c r="A5096" s="1" t="s">
        <v>14830</v>
      </c>
      <c r="B5096" s="1" t="s">
        <v>14831</v>
      </c>
      <c r="C5096">
        <f>(1-(B7/100))*378.75</f>
        <v>378.75</v>
      </c>
      <c r="D5096" s="1">
        <v>0</v>
      </c>
      <c r="E5096">
        <f>D5096*C5096</f>
        <v>0</v>
      </c>
      <c r="F5096" s="1" t="s">
        <v>14832</v>
      </c>
      <c r="G5096" s="17">
        <v>83742</v>
      </c>
    </row>
    <row r="5097" spans="1:7">
      <c r="A5097" s="1" t="s">
        <v>14833</v>
      </c>
      <c r="B5097" s="1" t="s">
        <v>14834</v>
      </c>
      <c r="C5097">
        <f>(1-(B7/100))*372.33</f>
        <v>372.33</v>
      </c>
      <c r="D5097" s="1">
        <v>0</v>
      </c>
      <c r="E5097">
        <f>D5097*C5097</f>
        <v>0</v>
      </c>
      <c r="F5097" s="1" t="s">
        <v>14835</v>
      </c>
      <c r="G5097" s="17">
        <v>83746</v>
      </c>
    </row>
    <row r="5098" spans="1:7">
      <c r="A5098" s="1" t="s">
        <v>14836</v>
      </c>
      <c r="B5098" s="1" t="s">
        <v>14837</v>
      </c>
      <c r="C5098">
        <f>(1-(B7/100))*372.33</f>
        <v>372.33</v>
      </c>
      <c r="D5098" s="1">
        <v>0</v>
      </c>
      <c r="E5098">
        <f>D5098*C5098</f>
        <v>0</v>
      </c>
      <c r="F5098" s="1" t="s">
        <v>14838</v>
      </c>
      <c r="G5098" s="17">
        <v>83750</v>
      </c>
    </row>
    <row r="5099" spans="1:7">
      <c r="A5099" s="1" t="s">
        <v>14839</v>
      </c>
      <c r="B5099" s="1" t="s">
        <v>14840</v>
      </c>
      <c r="C5099">
        <f>(1-(B7/100))*372.33</f>
        <v>372.33</v>
      </c>
      <c r="D5099" s="1">
        <v>0</v>
      </c>
      <c r="E5099">
        <f>D5099*C5099</f>
        <v>0</v>
      </c>
      <c r="F5099" s="1" t="s">
        <v>14841</v>
      </c>
      <c r="G5099" s="17">
        <v>83758</v>
      </c>
    </row>
    <row r="5100" spans="1:7">
      <c r="A5100" s="1" t="s">
        <v>14842</v>
      </c>
      <c r="B5100" s="1" t="s">
        <v>14843</v>
      </c>
      <c r="C5100">
        <f>(1-(B7/100))*372.33</f>
        <v>372.33</v>
      </c>
      <c r="D5100" s="1">
        <v>0</v>
      </c>
      <c r="E5100">
        <f>D5100*C5100</f>
        <v>0</v>
      </c>
      <c r="F5100" s="1" t="s">
        <v>14844</v>
      </c>
      <c r="G5100" s="17">
        <v>83759</v>
      </c>
    </row>
    <row r="5101" spans="1:7">
      <c r="A5101" s="1" t="s">
        <v>14845</v>
      </c>
      <c r="B5101" s="1" t="s">
        <v>14846</v>
      </c>
      <c r="C5101">
        <f>(1-(B7/100))*372.33</f>
        <v>372.33</v>
      </c>
      <c r="D5101" s="1">
        <v>0</v>
      </c>
      <c r="E5101">
        <f>D5101*C5101</f>
        <v>0</v>
      </c>
      <c r="F5101" s="1" t="s">
        <v>14847</v>
      </c>
      <c r="G5101" s="17">
        <v>83763</v>
      </c>
    </row>
    <row r="5102" spans="1:7">
      <c r="A5102" s="1" t="s">
        <v>14848</v>
      </c>
      <c r="B5102" s="1" t="s">
        <v>14849</v>
      </c>
      <c r="C5102">
        <f>(1-(B7/100))*372.33</f>
        <v>372.33</v>
      </c>
      <c r="D5102" s="1">
        <v>0</v>
      </c>
      <c r="E5102">
        <f>D5102*C5102</f>
        <v>0</v>
      </c>
      <c r="F5102" s="1" t="s">
        <v>14850</v>
      </c>
      <c r="G5102" s="17">
        <v>83765</v>
      </c>
    </row>
    <row r="5103" spans="1:7">
      <c r="A5103" s="1" t="s">
        <v>14851</v>
      </c>
      <c r="B5103" s="1" t="s">
        <v>14852</v>
      </c>
      <c r="C5103">
        <f>(1-(B7/100))*372.33</f>
        <v>372.33</v>
      </c>
      <c r="D5103" s="1">
        <v>0</v>
      </c>
      <c r="E5103">
        <f>D5103*C5103</f>
        <v>0</v>
      </c>
      <c r="F5103" s="1" t="s">
        <v>14853</v>
      </c>
      <c r="G5103" s="17">
        <v>83784</v>
      </c>
    </row>
    <row r="5104" spans="1:7">
      <c r="A5104" s="1" t="s">
        <v>14854</v>
      </c>
      <c r="B5104" s="1" t="s">
        <v>14855</v>
      </c>
      <c r="C5104">
        <f>(1-(B7/100))*372.33</f>
        <v>372.33</v>
      </c>
      <c r="D5104" s="1">
        <v>0</v>
      </c>
      <c r="E5104">
        <f>D5104*C5104</f>
        <v>0</v>
      </c>
      <c r="F5104" s="1" t="s">
        <v>14856</v>
      </c>
      <c r="G5104" s="17">
        <v>83788</v>
      </c>
    </row>
    <row r="5105" spans="1:7">
      <c r="A5105" s="1" t="s">
        <v>14857</v>
      </c>
      <c r="B5105" s="1" t="s">
        <v>14858</v>
      </c>
      <c r="C5105">
        <f>(1-(B7/100))*372.33</f>
        <v>372.33</v>
      </c>
      <c r="D5105" s="1">
        <v>0</v>
      </c>
      <c r="E5105">
        <f>D5105*C5105</f>
        <v>0</v>
      </c>
      <c r="F5105" s="1" t="s">
        <v>14859</v>
      </c>
      <c r="G5105" s="17">
        <v>83789</v>
      </c>
    </row>
    <row r="5106" spans="1:7">
      <c r="A5106" s="1" t="s">
        <v>14860</v>
      </c>
      <c r="B5106" s="1" t="s">
        <v>14861</v>
      </c>
      <c r="C5106">
        <f>(1-(B7/100))*372.33</f>
        <v>372.33</v>
      </c>
      <c r="D5106" s="1">
        <v>0</v>
      </c>
      <c r="E5106">
        <f>D5106*C5106</f>
        <v>0</v>
      </c>
      <c r="F5106" s="1" t="s">
        <v>14862</v>
      </c>
      <c r="G5106" s="17">
        <v>83794</v>
      </c>
    </row>
    <row r="5107" spans="1:7">
      <c r="A5107" s="1" t="s">
        <v>14863</v>
      </c>
      <c r="B5107" s="1" t="s">
        <v>14864</v>
      </c>
      <c r="C5107">
        <f>(1-(B7/100))*372.33</f>
        <v>372.33</v>
      </c>
      <c r="D5107" s="1">
        <v>0</v>
      </c>
      <c r="E5107">
        <f>D5107*C5107</f>
        <v>0</v>
      </c>
      <c r="F5107" s="1" t="s">
        <v>14865</v>
      </c>
      <c r="G5107" s="17">
        <v>83795</v>
      </c>
    </row>
    <row r="5108" spans="1:7">
      <c r="A5108" s="1" t="s">
        <v>14866</v>
      </c>
      <c r="B5108" s="1" t="s">
        <v>14867</v>
      </c>
      <c r="C5108">
        <f>(1-(B7/100))*372.33</f>
        <v>372.33</v>
      </c>
      <c r="D5108" s="1">
        <v>0</v>
      </c>
      <c r="E5108">
        <f>D5108*C5108</f>
        <v>0</v>
      </c>
      <c r="F5108" s="1" t="s">
        <v>14868</v>
      </c>
      <c r="G5108" s="17">
        <v>83797</v>
      </c>
    </row>
    <row r="5109" spans="1:7">
      <c r="A5109" s="1" t="s">
        <v>14869</v>
      </c>
      <c r="B5109" s="1" t="s">
        <v>14870</v>
      </c>
      <c r="C5109">
        <f>(1-(B7/100))*372.33</f>
        <v>372.33</v>
      </c>
      <c r="D5109" s="1">
        <v>0</v>
      </c>
      <c r="E5109">
        <f>D5109*C5109</f>
        <v>0</v>
      </c>
      <c r="F5109" s="1" t="s">
        <v>14871</v>
      </c>
      <c r="G5109" s="17">
        <v>83798</v>
      </c>
    </row>
    <row r="5110" spans="1:7">
      <c r="A5110" s="1" t="s">
        <v>14872</v>
      </c>
      <c r="B5110" s="1" t="s">
        <v>14873</v>
      </c>
      <c r="C5110">
        <f>(1-(B7/100))*372.33</f>
        <v>372.33</v>
      </c>
      <c r="D5110" s="1">
        <v>0</v>
      </c>
      <c r="E5110">
        <f>D5110*C5110</f>
        <v>0</v>
      </c>
      <c r="F5110" s="1" t="s">
        <v>14874</v>
      </c>
      <c r="G5110" s="17">
        <v>83800</v>
      </c>
    </row>
    <row r="5111" spans="1:7">
      <c r="A5111" s="1" t="s">
        <v>14875</v>
      </c>
      <c r="B5111" s="1" t="s">
        <v>14876</v>
      </c>
      <c r="C5111">
        <f>(1-(B7/100))*372.33</f>
        <v>372.33</v>
      </c>
      <c r="D5111" s="1">
        <v>0</v>
      </c>
      <c r="E5111">
        <f>D5111*C5111</f>
        <v>0</v>
      </c>
      <c r="F5111" s="1" t="s">
        <v>14877</v>
      </c>
      <c r="G5111" s="17">
        <v>83801</v>
      </c>
    </row>
    <row r="5112" spans="1:7">
      <c r="A5112" s="1" t="s">
        <v>14878</v>
      </c>
      <c r="B5112" s="1" t="s">
        <v>14879</v>
      </c>
      <c r="C5112">
        <f>(1-(B7/100))*372.33</f>
        <v>372.33</v>
      </c>
      <c r="D5112" s="1">
        <v>0</v>
      </c>
      <c r="E5112">
        <f>D5112*C5112</f>
        <v>0</v>
      </c>
      <c r="F5112" s="1" t="s">
        <v>14880</v>
      </c>
      <c r="G5112" s="17">
        <v>83802</v>
      </c>
    </row>
    <row r="5113" spans="1:7">
      <c r="A5113" s="1" t="s">
        <v>14881</v>
      </c>
      <c r="B5113" s="1" t="s">
        <v>14882</v>
      </c>
      <c r="C5113">
        <f>(1-(B7/100))*27.91</f>
        <v>27.91</v>
      </c>
      <c r="D5113" s="1">
        <v>0</v>
      </c>
      <c r="E5113">
        <f>D5113*C5113</f>
        <v>0</v>
      </c>
      <c r="F5113" s="1" t="s">
        <v>14883</v>
      </c>
      <c r="G5113" s="17">
        <v>83815</v>
      </c>
    </row>
    <row r="5114" spans="1:7">
      <c r="A5114" s="1" t="s">
        <v>14884</v>
      </c>
      <c r="B5114" s="1" t="s">
        <v>14885</v>
      </c>
      <c r="C5114">
        <f>(1-(B7/100))*193.89</f>
        <v>193.89</v>
      </c>
      <c r="D5114" s="1">
        <v>0</v>
      </c>
      <c r="E5114">
        <f>D5114*C5114</f>
        <v>0</v>
      </c>
      <c r="F5114" s="1" t="s">
        <v>14886</v>
      </c>
      <c r="G5114" s="17">
        <v>83819</v>
      </c>
    </row>
    <row r="5115" spans="1:7">
      <c r="A5115" s="1" t="s">
        <v>14887</v>
      </c>
      <c r="B5115" s="1" t="s">
        <v>14888</v>
      </c>
      <c r="C5115">
        <f>(1-(B7/100))*138.69</f>
        <v>138.69</v>
      </c>
      <c r="D5115" s="1">
        <v>0</v>
      </c>
      <c r="E5115">
        <f>D5115*C5115</f>
        <v>0</v>
      </c>
      <c r="F5115" s="1" t="s">
        <v>14889</v>
      </c>
      <c r="G5115" s="17">
        <v>83821</v>
      </c>
    </row>
    <row r="5116" spans="1:7">
      <c r="A5116" s="1" t="s">
        <v>14890</v>
      </c>
      <c r="B5116" s="1" t="s">
        <v>14891</v>
      </c>
      <c r="C5116">
        <f>(1-(B7/100))*188.02</f>
        <v>188.02</v>
      </c>
      <c r="D5116" s="1">
        <v>0</v>
      </c>
      <c r="E5116">
        <f>D5116*C5116</f>
        <v>0</v>
      </c>
      <c r="F5116" s="1" t="s">
        <v>14892</v>
      </c>
      <c r="G5116" s="17">
        <v>83823</v>
      </c>
    </row>
    <row r="5117" spans="1:7">
      <c r="A5117" s="1" t="s">
        <v>14893</v>
      </c>
      <c r="B5117" s="1" t="s">
        <v>14894</v>
      </c>
      <c r="C5117">
        <f>(1-(B7/100))*21.97</f>
        <v>21.97</v>
      </c>
      <c r="D5117" s="1">
        <v>0</v>
      </c>
      <c r="E5117">
        <f>D5117*C5117</f>
        <v>0</v>
      </c>
      <c r="F5117" s="1" t="s">
        <v>14895</v>
      </c>
      <c r="G5117" s="17">
        <v>83829</v>
      </c>
    </row>
    <row r="5118" spans="1:7">
      <c r="A5118" s="1" t="s">
        <v>14896</v>
      </c>
      <c r="B5118" s="1" t="s">
        <v>14897</v>
      </c>
      <c r="C5118">
        <f>(1-(B7/100))*55.33</f>
        <v>55.33</v>
      </c>
      <c r="D5118" s="1">
        <v>0</v>
      </c>
      <c r="E5118">
        <f>D5118*C5118</f>
        <v>0</v>
      </c>
      <c r="F5118" s="1" t="s">
        <v>14898</v>
      </c>
      <c r="G5118" s="17">
        <v>83842</v>
      </c>
    </row>
    <row r="5119" spans="1:7">
      <c r="A5119" s="1" t="s">
        <v>14899</v>
      </c>
      <c r="B5119" s="1" t="s">
        <v>14900</v>
      </c>
      <c r="C5119">
        <f>(1-(B7/100))*56.38</f>
        <v>56.38</v>
      </c>
      <c r="D5119" s="1">
        <v>0</v>
      </c>
      <c r="E5119">
        <f>D5119*C5119</f>
        <v>0</v>
      </c>
      <c r="F5119" s="1" t="s">
        <v>14901</v>
      </c>
      <c r="G5119" s="17">
        <v>83843</v>
      </c>
    </row>
    <row r="5120" spans="1:7">
      <c r="A5120" s="1" t="s">
        <v>14902</v>
      </c>
      <c r="B5120" s="1" t="s">
        <v>14903</v>
      </c>
      <c r="C5120">
        <f>(1-(B7/100))*243.84</f>
        <v>243.84</v>
      </c>
      <c r="D5120" s="1">
        <v>0</v>
      </c>
      <c r="E5120">
        <f>D5120*C5120</f>
        <v>0</v>
      </c>
      <c r="F5120" s="1" t="s">
        <v>14904</v>
      </c>
      <c r="G5120" s="17">
        <v>83846</v>
      </c>
    </row>
    <row r="5121" spans="1:7">
      <c r="A5121" s="1" t="s">
        <v>14905</v>
      </c>
      <c r="B5121" s="1" t="s">
        <v>14906</v>
      </c>
      <c r="C5121">
        <f>(1-(B7/100))*243.84</f>
        <v>243.84</v>
      </c>
      <c r="D5121" s="1">
        <v>0</v>
      </c>
      <c r="E5121">
        <f>D5121*C5121</f>
        <v>0</v>
      </c>
      <c r="F5121" s="1" t="s">
        <v>14907</v>
      </c>
      <c r="G5121" s="17">
        <v>83847</v>
      </c>
    </row>
    <row r="5122" spans="1:7">
      <c r="A5122" s="1" t="s">
        <v>14908</v>
      </c>
      <c r="B5122" s="1" t="s">
        <v>14909</v>
      </c>
      <c r="C5122">
        <f>(1-(B7/100))*368.92</f>
        <v>368.92</v>
      </c>
      <c r="D5122" s="1">
        <v>0</v>
      </c>
      <c r="E5122">
        <f>D5122*C5122</f>
        <v>0</v>
      </c>
      <c r="F5122" s="1" t="s">
        <v>14910</v>
      </c>
      <c r="G5122" s="17">
        <v>83854</v>
      </c>
    </row>
    <row r="5123" spans="1:7">
      <c r="A5123" s="1" t="s">
        <v>14911</v>
      </c>
      <c r="B5123" s="1" t="s">
        <v>14912</v>
      </c>
      <c r="C5123">
        <f>(1-(B7/100))*47.4</f>
        <v>47.4</v>
      </c>
      <c r="D5123" s="1">
        <v>0</v>
      </c>
      <c r="E5123">
        <f>D5123*C5123</f>
        <v>0</v>
      </c>
      <c r="F5123" s="1" t="s">
        <v>14913</v>
      </c>
      <c r="G5123" s="17">
        <v>83857</v>
      </c>
    </row>
    <row r="5124" spans="1:7">
      <c r="A5124" s="1" t="s">
        <v>14914</v>
      </c>
      <c r="B5124" s="1" t="s">
        <v>14915</v>
      </c>
      <c r="C5124">
        <f>(1-(B7/100))*277.47</f>
        <v>277.47</v>
      </c>
      <c r="D5124" s="1">
        <v>0</v>
      </c>
      <c r="E5124">
        <f>D5124*C5124</f>
        <v>0</v>
      </c>
      <c r="F5124" s="1" t="s">
        <v>14916</v>
      </c>
      <c r="G5124" s="17">
        <v>83862</v>
      </c>
    </row>
    <row r="5125" spans="1:7">
      <c r="A5125" s="1" t="s">
        <v>14917</v>
      </c>
      <c r="B5125" s="1" t="s">
        <v>14918</v>
      </c>
      <c r="C5125">
        <f>(1-(B7/100))*324.65</f>
        <v>324.65</v>
      </c>
      <c r="D5125" s="1">
        <v>0</v>
      </c>
      <c r="E5125">
        <f>D5125*C5125</f>
        <v>0</v>
      </c>
      <c r="F5125" s="1" t="s">
        <v>14919</v>
      </c>
      <c r="G5125" s="17">
        <v>83863</v>
      </c>
    </row>
    <row r="5126" spans="1:7">
      <c r="A5126" s="1" t="s">
        <v>14920</v>
      </c>
      <c r="B5126" s="1" t="s">
        <v>14921</v>
      </c>
      <c r="C5126">
        <f>(1-(B7/100))*137.58</f>
        <v>137.58</v>
      </c>
      <c r="D5126" s="1">
        <v>0</v>
      </c>
      <c r="E5126">
        <f>D5126*C5126</f>
        <v>0</v>
      </c>
      <c r="F5126" s="1" t="s">
        <v>14922</v>
      </c>
      <c r="G5126" s="17">
        <v>83876</v>
      </c>
    </row>
    <row r="5127" spans="1:7">
      <c r="A5127" s="1" t="s">
        <v>14923</v>
      </c>
      <c r="B5127" s="1" t="s">
        <v>14924</v>
      </c>
      <c r="C5127">
        <f>(1-(B7/100))*1191.6</f>
        <v>1191.6</v>
      </c>
      <c r="D5127" s="1">
        <v>0</v>
      </c>
      <c r="E5127">
        <f>D5127*C5127</f>
        <v>0</v>
      </c>
      <c r="F5127" s="1" t="s">
        <v>14925</v>
      </c>
      <c r="G5127" s="17">
        <v>83878</v>
      </c>
    </row>
    <row r="5128" spans="1:7">
      <c r="A5128" s="1" t="s">
        <v>14926</v>
      </c>
      <c r="B5128" s="1" t="s">
        <v>14927</v>
      </c>
      <c r="C5128">
        <f>(1-(B7/100))*1930.92</f>
        <v>1930.92</v>
      </c>
      <c r="D5128" s="1">
        <v>0</v>
      </c>
      <c r="E5128">
        <f>D5128*C5128</f>
        <v>0</v>
      </c>
      <c r="F5128" s="1" t="s">
        <v>14928</v>
      </c>
      <c r="G5128" s="17">
        <v>83880</v>
      </c>
    </row>
    <row r="5129" spans="1:7">
      <c r="A5129" s="1" t="s">
        <v>14929</v>
      </c>
      <c r="B5129" s="1" t="s">
        <v>14930</v>
      </c>
      <c r="C5129">
        <f>(1-(B7/100))*1495.85</f>
        <v>1495.85</v>
      </c>
      <c r="D5129" s="1">
        <v>0</v>
      </c>
      <c r="E5129">
        <f>D5129*C5129</f>
        <v>0</v>
      </c>
      <c r="F5129" s="1" t="s">
        <v>14931</v>
      </c>
      <c r="G5129" s="17">
        <v>83881</v>
      </c>
    </row>
    <row r="5130" spans="1:7">
      <c r="A5130" s="1" t="s">
        <v>14932</v>
      </c>
      <c r="B5130" s="1" t="s">
        <v>14933</v>
      </c>
      <c r="C5130">
        <f>(1-(B7/100))*294.58</f>
        <v>294.58</v>
      </c>
      <c r="D5130" s="1">
        <v>0</v>
      </c>
      <c r="E5130">
        <f>D5130*C5130</f>
        <v>0</v>
      </c>
      <c r="F5130" s="1" t="s">
        <v>14934</v>
      </c>
      <c r="G5130" s="17">
        <v>83885</v>
      </c>
    </row>
    <row r="5131" spans="1:7">
      <c r="A5131" s="1" t="s">
        <v>14935</v>
      </c>
      <c r="B5131" s="1" t="s">
        <v>14936</v>
      </c>
      <c r="C5131">
        <f>(1-(B7/100))*537.08</f>
        <v>537.08</v>
      </c>
      <c r="D5131" s="1">
        <v>0</v>
      </c>
      <c r="E5131">
        <f>D5131*C5131</f>
        <v>0</v>
      </c>
      <c r="F5131" s="1" t="s">
        <v>14937</v>
      </c>
      <c r="G5131" s="17">
        <v>83886</v>
      </c>
    </row>
    <row r="5132" spans="1:7">
      <c r="A5132" s="1" t="s">
        <v>14938</v>
      </c>
      <c r="B5132" s="1" t="s">
        <v>14939</v>
      </c>
      <c r="C5132">
        <f>(1-(B7/100))*201.04</f>
        <v>201.04</v>
      </c>
      <c r="D5132" s="1">
        <v>0</v>
      </c>
      <c r="E5132">
        <f>D5132*C5132</f>
        <v>0</v>
      </c>
      <c r="F5132" s="1" t="s">
        <v>14940</v>
      </c>
      <c r="G5132" s="17">
        <v>83888</v>
      </c>
    </row>
    <row r="5133" spans="1:7">
      <c r="A5133" s="1" t="s">
        <v>14941</v>
      </c>
      <c r="B5133" s="1" t="s">
        <v>14942</v>
      </c>
      <c r="C5133">
        <f>(1-(B7/100))*443.41</f>
        <v>443.41</v>
      </c>
      <c r="D5133" s="1">
        <v>0</v>
      </c>
      <c r="E5133">
        <f>D5133*C5133</f>
        <v>0</v>
      </c>
      <c r="F5133" s="1" t="s">
        <v>14943</v>
      </c>
      <c r="G5133" s="17">
        <v>83889</v>
      </c>
    </row>
    <row r="5134" spans="1:7">
      <c r="A5134" s="1" t="s">
        <v>14944</v>
      </c>
      <c r="B5134" s="1" t="s">
        <v>14945</v>
      </c>
      <c r="C5134">
        <f>(1-(B7/100))*625.9</f>
        <v>625.9</v>
      </c>
      <c r="D5134" s="1">
        <v>0</v>
      </c>
      <c r="E5134">
        <f>D5134*C5134</f>
        <v>0</v>
      </c>
      <c r="F5134" s="1" t="s">
        <v>14946</v>
      </c>
      <c r="G5134" s="17">
        <v>83891</v>
      </c>
    </row>
    <row r="5135" spans="1:7">
      <c r="A5135" s="1" t="s">
        <v>14947</v>
      </c>
      <c r="B5135" s="1" t="s">
        <v>14948</v>
      </c>
      <c r="C5135">
        <f>(1-(B7/100))*563.78</f>
        <v>563.78</v>
      </c>
      <c r="D5135" s="1">
        <v>0</v>
      </c>
      <c r="E5135">
        <f>D5135*C5135</f>
        <v>0</v>
      </c>
      <c r="F5135" s="1" t="s">
        <v>14949</v>
      </c>
      <c r="G5135" s="17">
        <v>83892</v>
      </c>
    </row>
    <row r="5136" spans="1:7">
      <c r="A5136" s="1" t="s">
        <v>14950</v>
      </c>
      <c r="B5136" s="1" t="s">
        <v>14951</v>
      </c>
      <c r="C5136">
        <f>(1-(B7/100))*753.6</f>
        <v>753.6</v>
      </c>
      <c r="D5136" s="1">
        <v>0</v>
      </c>
      <c r="E5136">
        <f>D5136*C5136</f>
        <v>0</v>
      </c>
      <c r="F5136" s="1" t="s">
        <v>14952</v>
      </c>
      <c r="G5136" s="17">
        <v>83893</v>
      </c>
    </row>
    <row r="5137" spans="1:7">
      <c r="A5137" s="1" t="s">
        <v>14953</v>
      </c>
      <c r="B5137" s="1" t="s">
        <v>14954</v>
      </c>
      <c r="C5137">
        <f>(1-(B7/100))*640.02</f>
        <v>640.02</v>
      </c>
      <c r="D5137" s="1">
        <v>0</v>
      </c>
      <c r="E5137">
        <f>D5137*C5137</f>
        <v>0</v>
      </c>
      <c r="F5137" s="1" t="s">
        <v>14955</v>
      </c>
      <c r="G5137" s="17">
        <v>83894</v>
      </c>
    </row>
    <row r="5138" spans="1:7">
      <c r="A5138" s="1" t="s">
        <v>14956</v>
      </c>
      <c r="B5138" s="1" t="s">
        <v>14957</v>
      </c>
      <c r="C5138">
        <f>(1-(B7/100))*627.6</f>
        <v>627.6</v>
      </c>
      <c r="D5138" s="1">
        <v>0</v>
      </c>
      <c r="E5138">
        <f>D5138*C5138</f>
        <v>0</v>
      </c>
      <c r="F5138" s="1" t="s">
        <v>14958</v>
      </c>
      <c r="G5138" s="17">
        <v>83895</v>
      </c>
    </row>
    <row r="5139" spans="1:7">
      <c r="A5139" s="1" t="s">
        <v>14959</v>
      </c>
      <c r="B5139" s="1" t="s">
        <v>14960</v>
      </c>
      <c r="C5139">
        <f>(1-(B7/100))*260.23</f>
        <v>260.23</v>
      </c>
      <c r="D5139" s="1">
        <v>0</v>
      </c>
      <c r="E5139">
        <f>D5139*C5139</f>
        <v>0</v>
      </c>
      <c r="F5139" s="1" t="s">
        <v>14961</v>
      </c>
      <c r="G5139" s="17">
        <v>83897</v>
      </c>
    </row>
    <row r="5140" spans="1:7">
      <c r="A5140" s="1" t="s">
        <v>14962</v>
      </c>
      <c r="B5140" s="1" t="s">
        <v>14963</v>
      </c>
      <c r="C5140">
        <f>(1-(B7/100))*143.47</f>
        <v>143.47</v>
      </c>
      <c r="D5140" s="1">
        <v>0</v>
      </c>
      <c r="E5140">
        <f>D5140*C5140</f>
        <v>0</v>
      </c>
      <c r="F5140" s="1" t="s">
        <v>14964</v>
      </c>
      <c r="G5140" s="17">
        <v>83904</v>
      </c>
    </row>
    <row r="5141" spans="1:7">
      <c r="A5141" s="1" t="s">
        <v>14965</v>
      </c>
      <c r="B5141" s="1" t="s">
        <v>14966</v>
      </c>
      <c r="C5141">
        <f>(1-(B7/100))*115.98</f>
        <v>115.98</v>
      </c>
      <c r="D5141" s="1">
        <v>0</v>
      </c>
      <c r="E5141">
        <f>D5141*C5141</f>
        <v>0</v>
      </c>
      <c r="F5141" s="1" t="s">
        <v>14967</v>
      </c>
      <c r="G5141" s="17">
        <v>83905</v>
      </c>
    </row>
    <row r="5142" spans="1:7">
      <c r="A5142" s="1" t="s">
        <v>14968</v>
      </c>
      <c r="B5142" s="1" t="s">
        <v>14969</v>
      </c>
      <c r="C5142">
        <f>(1-(B7/100))*673.85</f>
        <v>673.85</v>
      </c>
      <c r="D5142" s="1">
        <v>0</v>
      </c>
      <c r="E5142">
        <f>D5142*C5142</f>
        <v>0</v>
      </c>
      <c r="F5142" s="1" t="s">
        <v>14970</v>
      </c>
      <c r="G5142" s="17">
        <v>83911</v>
      </c>
    </row>
    <row r="5143" spans="1:7">
      <c r="A5143" s="1" t="s">
        <v>14971</v>
      </c>
      <c r="B5143" s="1" t="s">
        <v>14972</v>
      </c>
      <c r="C5143">
        <f>(1-(B7/100))*673.85</f>
        <v>673.85</v>
      </c>
      <c r="D5143" s="1">
        <v>0</v>
      </c>
      <c r="E5143">
        <f>D5143*C5143</f>
        <v>0</v>
      </c>
      <c r="F5143" s="1" t="s">
        <v>14973</v>
      </c>
      <c r="G5143" s="17">
        <v>83912</v>
      </c>
    </row>
    <row r="5144" spans="1:7">
      <c r="A5144" s="1" t="s">
        <v>14974</v>
      </c>
      <c r="B5144" s="1" t="s">
        <v>14975</v>
      </c>
      <c r="C5144">
        <f>(1-(B7/100))*1662.14</f>
        <v>1662.14</v>
      </c>
      <c r="D5144" s="1">
        <v>0</v>
      </c>
      <c r="E5144">
        <f>D5144*C5144</f>
        <v>0</v>
      </c>
      <c r="F5144" s="1" t="s">
        <v>14976</v>
      </c>
      <c r="G5144" s="17">
        <v>83918</v>
      </c>
    </row>
    <row r="5145" spans="1:7">
      <c r="A5145" s="1" t="s">
        <v>14977</v>
      </c>
      <c r="B5145" s="1" t="s">
        <v>14978</v>
      </c>
      <c r="C5145">
        <f>(1-(B7/100))*129.48</f>
        <v>129.48</v>
      </c>
      <c r="D5145" s="1">
        <v>0</v>
      </c>
      <c r="E5145">
        <f>D5145*C5145</f>
        <v>0</v>
      </c>
      <c r="F5145" s="1" t="s">
        <v>14979</v>
      </c>
      <c r="G5145" s="17">
        <v>83944</v>
      </c>
    </row>
    <row r="5146" spans="1:7">
      <c r="A5146" s="1" t="s">
        <v>14980</v>
      </c>
      <c r="B5146" s="1" t="s">
        <v>14981</v>
      </c>
      <c r="C5146">
        <f>(1-(B7/100))*138.93</f>
        <v>138.93</v>
      </c>
      <c r="D5146" s="1">
        <v>0</v>
      </c>
      <c r="E5146">
        <f>D5146*C5146</f>
        <v>0</v>
      </c>
      <c r="F5146" s="1" t="s">
        <v>14982</v>
      </c>
      <c r="G5146" s="17">
        <v>83950</v>
      </c>
    </row>
    <row r="5147" spans="1:7">
      <c r="A5147" s="1" t="s">
        <v>14983</v>
      </c>
      <c r="B5147" s="1" t="s">
        <v>14984</v>
      </c>
      <c r="C5147">
        <f>(1-(B7/100))*126.32</f>
        <v>126.32</v>
      </c>
      <c r="D5147" s="1">
        <v>0</v>
      </c>
      <c r="E5147">
        <f>D5147*C5147</f>
        <v>0</v>
      </c>
      <c r="F5147" s="1" t="s">
        <v>14985</v>
      </c>
      <c r="G5147" s="17">
        <v>83952</v>
      </c>
    </row>
    <row r="5148" spans="1:7">
      <c r="A5148" s="1" t="s">
        <v>14986</v>
      </c>
      <c r="B5148" s="1" t="s">
        <v>14987</v>
      </c>
      <c r="C5148">
        <f>(1-(B7/100))*133.39</f>
        <v>133.39</v>
      </c>
      <c r="D5148" s="1">
        <v>0</v>
      </c>
      <c r="E5148">
        <f>D5148*C5148</f>
        <v>0</v>
      </c>
      <c r="F5148" s="1" t="s">
        <v>14988</v>
      </c>
      <c r="G5148" s="17">
        <v>83957</v>
      </c>
    </row>
    <row r="5149" spans="1:7">
      <c r="A5149" s="1" t="s">
        <v>14989</v>
      </c>
      <c r="B5149" s="1" t="s">
        <v>14990</v>
      </c>
      <c r="C5149">
        <f>(1-(B7/100))*135.1</f>
        <v>135.1</v>
      </c>
      <c r="D5149" s="1">
        <v>0</v>
      </c>
      <c r="E5149">
        <f>D5149*C5149</f>
        <v>0</v>
      </c>
      <c r="F5149" s="1" t="s">
        <v>14991</v>
      </c>
      <c r="G5149" s="17">
        <v>83963</v>
      </c>
    </row>
    <row r="5150" spans="1:7">
      <c r="A5150" s="1" t="s">
        <v>14992</v>
      </c>
      <c r="B5150" s="1" t="s">
        <v>14993</v>
      </c>
      <c r="C5150">
        <f>(1-(B7/100))*138.54</f>
        <v>138.54</v>
      </c>
      <c r="D5150" s="1">
        <v>0</v>
      </c>
      <c r="E5150">
        <f>D5150*C5150</f>
        <v>0</v>
      </c>
      <c r="F5150" s="1" t="s">
        <v>14994</v>
      </c>
      <c r="G5150" s="17">
        <v>83971</v>
      </c>
    </row>
    <row r="5151" spans="1:7">
      <c r="A5151" s="1" t="s">
        <v>14995</v>
      </c>
      <c r="B5151" s="1" t="s">
        <v>14996</v>
      </c>
      <c r="C5151">
        <f>(1-(B7/100))*112.8</f>
        <v>112.8</v>
      </c>
      <c r="D5151" s="1">
        <v>0</v>
      </c>
      <c r="E5151">
        <f>D5151*C5151</f>
        <v>0</v>
      </c>
      <c r="F5151" s="1" t="s">
        <v>14997</v>
      </c>
      <c r="G5151" s="17">
        <v>83983</v>
      </c>
    </row>
    <row r="5152" spans="1:7">
      <c r="A5152" s="1" t="s">
        <v>14998</v>
      </c>
      <c r="B5152" s="1" t="s">
        <v>14999</v>
      </c>
      <c r="C5152">
        <f>(1-(B7/100))*88.92</f>
        <v>88.92</v>
      </c>
      <c r="D5152" s="1">
        <v>0</v>
      </c>
      <c r="E5152">
        <f>D5152*C5152</f>
        <v>0</v>
      </c>
      <c r="F5152" s="1" t="s">
        <v>15000</v>
      </c>
      <c r="G5152" s="17">
        <v>83990</v>
      </c>
    </row>
    <row r="5153" spans="1:7">
      <c r="A5153" s="1" t="s">
        <v>15001</v>
      </c>
      <c r="B5153" s="1" t="s">
        <v>15002</v>
      </c>
      <c r="C5153">
        <f>(1-(B7/100))*110.34</f>
        <v>110.34</v>
      </c>
      <c r="D5153" s="1">
        <v>0</v>
      </c>
      <c r="E5153">
        <f>D5153*C5153</f>
        <v>0</v>
      </c>
      <c r="F5153" s="1" t="s">
        <v>15003</v>
      </c>
      <c r="G5153" s="17">
        <v>84006</v>
      </c>
    </row>
    <row r="5154" spans="1:7">
      <c r="A5154" s="1" t="s">
        <v>15004</v>
      </c>
      <c r="B5154" s="1" t="s">
        <v>15005</v>
      </c>
      <c r="C5154">
        <f>(1-(B7/100))*95.59</f>
        <v>95.59</v>
      </c>
      <c r="D5154" s="1">
        <v>0</v>
      </c>
      <c r="E5154">
        <f>D5154*C5154</f>
        <v>0</v>
      </c>
      <c r="F5154" s="1" t="s">
        <v>15006</v>
      </c>
      <c r="G5154" s="17">
        <v>84022</v>
      </c>
    </row>
    <row r="5155" spans="1:7">
      <c r="A5155" s="1" t="s">
        <v>15007</v>
      </c>
      <c r="B5155" s="1" t="s">
        <v>15008</v>
      </c>
      <c r="C5155">
        <f>(1-(B7/100))*62.61</f>
        <v>62.61</v>
      </c>
      <c r="D5155" s="1">
        <v>0</v>
      </c>
      <c r="E5155">
        <f>D5155*C5155</f>
        <v>0</v>
      </c>
      <c r="F5155" s="1" t="s">
        <v>15009</v>
      </c>
      <c r="G5155" s="17">
        <v>84026</v>
      </c>
    </row>
    <row r="5156" spans="1:7">
      <c r="A5156" s="1" t="s">
        <v>15010</v>
      </c>
      <c r="B5156" s="1" t="s">
        <v>15011</v>
      </c>
      <c r="C5156">
        <f>(1-(B7/100))*64.34</f>
        <v>64.34</v>
      </c>
      <c r="D5156" s="1">
        <v>0</v>
      </c>
      <c r="E5156">
        <f>D5156*C5156</f>
        <v>0</v>
      </c>
      <c r="F5156" s="1" t="s">
        <v>15012</v>
      </c>
      <c r="G5156" s="17">
        <v>84030</v>
      </c>
    </row>
    <row r="5157" spans="1:7">
      <c r="A5157" s="1" t="s">
        <v>15013</v>
      </c>
      <c r="B5157" s="1" t="s">
        <v>15014</v>
      </c>
      <c r="C5157">
        <f>(1-(B7/100))*334.17</f>
        <v>334.17</v>
      </c>
      <c r="D5157" s="1">
        <v>0</v>
      </c>
      <c r="E5157">
        <f>D5157*C5157</f>
        <v>0</v>
      </c>
      <c r="F5157" s="1" t="s">
        <v>15015</v>
      </c>
      <c r="G5157" s="17">
        <v>84033</v>
      </c>
    </row>
    <row r="5158" spans="1:7">
      <c r="A5158" s="1" t="s">
        <v>15016</v>
      </c>
      <c r="B5158" s="1" t="s">
        <v>15017</v>
      </c>
      <c r="C5158">
        <f>(1-(B7/100))*199.7</f>
        <v>199.7</v>
      </c>
      <c r="D5158" s="1">
        <v>0</v>
      </c>
      <c r="E5158">
        <f>D5158*C5158</f>
        <v>0</v>
      </c>
      <c r="F5158" s="1" t="s">
        <v>15018</v>
      </c>
      <c r="G5158" s="17">
        <v>84034</v>
      </c>
    </row>
    <row r="5159" spans="1:7">
      <c r="A5159" s="1" t="s">
        <v>15019</v>
      </c>
      <c r="B5159" s="1" t="s">
        <v>15020</v>
      </c>
      <c r="C5159">
        <f>(1-(B7/100))*27.33</f>
        <v>27.33</v>
      </c>
      <c r="D5159" s="1">
        <v>0</v>
      </c>
      <c r="E5159">
        <f>D5159*C5159</f>
        <v>0</v>
      </c>
      <c r="F5159" s="1" t="s">
        <v>15021</v>
      </c>
      <c r="G5159" s="17">
        <v>84038</v>
      </c>
    </row>
    <row r="5160" spans="1:7">
      <c r="A5160" s="1" t="s">
        <v>15022</v>
      </c>
      <c r="B5160" s="1" t="s">
        <v>15023</v>
      </c>
      <c r="C5160">
        <f>(1-(B7/100))*145.02</f>
        <v>145.02</v>
      </c>
      <c r="D5160" s="1">
        <v>0</v>
      </c>
      <c r="E5160">
        <f>D5160*C5160</f>
        <v>0</v>
      </c>
      <c r="F5160" s="1" t="s">
        <v>15024</v>
      </c>
      <c r="G5160" s="17">
        <v>84041</v>
      </c>
    </row>
    <row r="5161" spans="1:7">
      <c r="A5161" s="1" t="s">
        <v>15025</v>
      </c>
      <c r="B5161" s="1" t="s">
        <v>15026</v>
      </c>
      <c r="C5161">
        <f>(1-(B7/100))*2943.81</f>
        <v>2943.81</v>
      </c>
      <c r="D5161" s="1">
        <v>0</v>
      </c>
      <c r="E5161">
        <f>D5161*C5161</f>
        <v>0</v>
      </c>
      <c r="F5161" s="1" t="s">
        <v>15027</v>
      </c>
      <c r="G5161" s="17">
        <v>84046</v>
      </c>
    </row>
    <row r="5162" spans="1:7">
      <c r="A5162" s="1" t="s">
        <v>15028</v>
      </c>
      <c r="B5162" s="1" t="s">
        <v>15029</v>
      </c>
      <c r="C5162">
        <f>(1-(B7/100))*372.83</f>
        <v>372.83</v>
      </c>
      <c r="D5162" s="1">
        <v>0</v>
      </c>
      <c r="E5162">
        <f>D5162*C5162</f>
        <v>0</v>
      </c>
      <c r="F5162" s="1" t="s">
        <v>15030</v>
      </c>
      <c r="G5162" s="17">
        <v>84053</v>
      </c>
    </row>
    <row r="5163" spans="1:7">
      <c r="A5163" s="1" t="s">
        <v>15031</v>
      </c>
      <c r="B5163" s="1" t="s">
        <v>15032</v>
      </c>
      <c r="C5163">
        <f>(1-(B7/100))*194.49</f>
        <v>194.49</v>
      </c>
      <c r="D5163" s="1">
        <v>0</v>
      </c>
      <c r="E5163">
        <f>D5163*C5163</f>
        <v>0</v>
      </c>
      <c r="F5163" s="1" t="s">
        <v>15033</v>
      </c>
      <c r="G5163" s="17">
        <v>84069</v>
      </c>
    </row>
    <row r="5164" spans="1:7">
      <c r="A5164" s="1" t="s">
        <v>15034</v>
      </c>
      <c r="B5164" s="1" t="s">
        <v>15035</v>
      </c>
      <c r="C5164">
        <f>(1-(B7/100))*119.7</f>
        <v>119.7</v>
      </c>
      <c r="D5164" s="1">
        <v>0</v>
      </c>
      <c r="E5164">
        <f>D5164*C5164</f>
        <v>0</v>
      </c>
      <c r="F5164" s="1" t="s">
        <v>15036</v>
      </c>
      <c r="G5164" s="17">
        <v>84070</v>
      </c>
    </row>
    <row r="5165" spans="1:7">
      <c r="A5165" s="1" t="s">
        <v>15037</v>
      </c>
      <c r="B5165" s="1" t="s">
        <v>15038</v>
      </c>
      <c r="C5165">
        <f>(1-(B7/100))*175.9</f>
        <v>175.9</v>
      </c>
      <c r="D5165" s="1">
        <v>0</v>
      </c>
      <c r="E5165">
        <f>D5165*C5165</f>
        <v>0</v>
      </c>
      <c r="F5165" s="1" t="s">
        <v>15039</v>
      </c>
      <c r="G5165" s="17">
        <v>84085</v>
      </c>
    </row>
    <row r="5166" spans="1:7">
      <c r="A5166" s="1" t="s">
        <v>15040</v>
      </c>
      <c r="B5166" s="1" t="s">
        <v>15041</v>
      </c>
      <c r="C5166">
        <f>(1-(B7/100))*146.57</f>
        <v>146.57</v>
      </c>
      <c r="D5166" s="1">
        <v>0</v>
      </c>
      <c r="E5166">
        <f>D5166*C5166</f>
        <v>0</v>
      </c>
      <c r="F5166" s="1" t="s">
        <v>15042</v>
      </c>
      <c r="G5166" s="17">
        <v>84090</v>
      </c>
    </row>
    <row r="5167" spans="1:7">
      <c r="A5167" s="1" t="s">
        <v>15043</v>
      </c>
      <c r="B5167" s="1" t="s">
        <v>15044</v>
      </c>
      <c r="C5167">
        <f>(1-(B7/100))*205.76</f>
        <v>205.76</v>
      </c>
      <c r="D5167" s="1">
        <v>0</v>
      </c>
      <c r="E5167">
        <f>D5167*C5167</f>
        <v>0</v>
      </c>
      <c r="F5167" s="1" t="s">
        <v>15045</v>
      </c>
      <c r="G5167" s="17">
        <v>84100</v>
      </c>
    </row>
    <row r="5168" spans="1:7">
      <c r="A5168" s="1" t="s">
        <v>15046</v>
      </c>
      <c r="B5168" s="1" t="s">
        <v>15047</v>
      </c>
      <c r="C5168">
        <f>(1-(B7/100))*236.29</f>
        <v>236.29</v>
      </c>
      <c r="D5168" s="1">
        <v>0</v>
      </c>
      <c r="E5168">
        <f>D5168*C5168</f>
        <v>0</v>
      </c>
      <c r="F5168" s="1" t="s">
        <v>15048</v>
      </c>
      <c r="G5168" s="17">
        <v>84102</v>
      </c>
    </row>
    <row r="5169" spans="1:7">
      <c r="A5169" s="1" t="s">
        <v>15049</v>
      </c>
      <c r="B5169" s="1" t="s">
        <v>15050</v>
      </c>
      <c r="C5169">
        <f>(1-(B7/100))*212.12</f>
        <v>212.12</v>
      </c>
      <c r="D5169" s="1">
        <v>0</v>
      </c>
      <c r="E5169">
        <f>D5169*C5169</f>
        <v>0</v>
      </c>
      <c r="F5169" s="1" t="s">
        <v>15051</v>
      </c>
      <c r="G5169" s="17">
        <v>84103</v>
      </c>
    </row>
    <row r="5170" spans="1:7">
      <c r="A5170" s="1" t="s">
        <v>15052</v>
      </c>
      <c r="B5170" s="1" t="s">
        <v>15053</v>
      </c>
      <c r="C5170">
        <f>(1-(B7/100))*472.55</f>
        <v>472.55</v>
      </c>
      <c r="D5170" s="1">
        <v>0</v>
      </c>
      <c r="E5170">
        <f>D5170*C5170</f>
        <v>0</v>
      </c>
      <c r="F5170" s="1" t="s">
        <v>15054</v>
      </c>
      <c r="G5170" s="17">
        <v>84105</v>
      </c>
    </row>
    <row r="5171" spans="1:7">
      <c r="A5171" s="1" t="s">
        <v>15055</v>
      </c>
      <c r="B5171" s="1" t="s">
        <v>15056</v>
      </c>
      <c r="C5171">
        <f>(1-(B7/100))*501.73</f>
        <v>501.73</v>
      </c>
      <c r="D5171" s="1">
        <v>0</v>
      </c>
      <c r="E5171">
        <f>D5171*C5171</f>
        <v>0</v>
      </c>
      <c r="F5171" s="1" t="s">
        <v>15057</v>
      </c>
      <c r="G5171" s="17">
        <v>84111</v>
      </c>
    </row>
    <row r="5172" spans="1:7">
      <c r="A5172" s="1" t="s">
        <v>15058</v>
      </c>
      <c r="B5172" s="1" t="s">
        <v>15059</v>
      </c>
      <c r="C5172">
        <f>(1-(B7/100))*58.74</f>
        <v>58.74</v>
      </c>
      <c r="D5172" s="1">
        <v>0</v>
      </c>
      <c r="E5172">
        <f>D5172*C5172</f>
        <v>0</v>
      </c>
      <c r="F5172" s="1" t="s">
        <v>15060</v>
      </c>
      <c r="G5172" s="17">
        <v>84112</v>
      </c>
    </row>
    <row r="5173" spans="1:7">
      <c r="A5173" s="1" t="s">
        <v>15061</v>
      </c>
      <c r="B5173" s="1" t="s">
        <v>15062</v>
      </c>
      <c r="C5173">
        <f>(1-(B7/100))*58.74</f>
        <v>58.74</v>
      </c>
      <c r="D5173" s="1">
        <v>0</v>
      </c>
      <c r="E5173">
        <f>D5173*C5173</f>
        <v>0</v>
      </c>
      <c r="F5173" s="1" t="s">
        <v>15063</v>
      </c>
      <c r="G5173" s="17">
        <v>84114</v>
      </c>
    </row>
    <row r="5174" spans="1:7">
      <c r="A5174" s="1" t="s">
        <v>15064</v>
      </c>
      <c r="B5174" s="1" t="s">
        <v>15065</v>
      </c>
      <c r="C5174">
        <f>(1-(B7/100))*71.64</f>
        <v>71.64</v>
      </c>
      <c r="D5174" s="1">
        <v>0</v>
      </c>
      <c r="E5174">
        <f>D5174*C5174</f>
        <v>0</v>
      </c>
      <c r="F5174" s="1" t="s">
        <v>15066</v>
      </c>
      <c r="G5174" s="17">
        <v>84115</v>
      </c>
    </row>
    <row r="5175" spans="1:7">
      <c r="A5175" s="1" t="s">
        <v>15067</v>
      </c>
      <c r="B5175" s="1" t="s">
        <v>15068</v>
      </c>
      <c r="C5175">
        <f>(1-(B7/100))*263.04</f>
        <v>263.04</v>
      </c>
      <c r="D5175" s="1">
        <v>0</v>
      </c>
      <c r="E5175">
        <f>D5175*C5175</f>
        <v>0</v>
      </c>
      <c r="F5175" s="1" t="s">
        <v>15069</v>
      </c>
      <c r="G5175" s="17">
        <v>84117</v>
      </c>
    </row>
    <row r="5176" spans="1:7">
      <c r="A5176" s="1" t="s">
        <v>15070</v>
      </c>
      <c r="B5176" s="1" t="s">
        <v>15071</v>
      </c>
      <c r="C5176">
        <f>(1-(B7/100))*1613.97</f>
        <v>1613.97</v>
      </c>
      <c r="D5176" s="1">
        <v>0</v>
      </c>
      <c r="E5176">
        <f>D5176*C5176</f>
        <v>0</v>
      </c>
      <c r="F5176" s="1" t="s">
        <v>15072</v>
      </c>
      <c r="G5176" s="17">
        <v>84121</v>
      </c>
    </row>
    <row r="5177" spans="1:7">
      <c r="A5177" s="1" t="s">
        <v>15073</v>
      </c>
      <c r="B5177" s="1" t="s">
        <v>15074</v>
      </c>
      <c r="C5177">
        <f>(1-(B7/100))*1519.91</f>
        <v>1519.91</v>
      </c>
      <c r="D5177" s="1">
        <v>0</v>
      </c>
      <c r="E5177">
        <f>D5177*C5177</f>
        <v>0</v>
      </c>
      <c r="F5177" s="1" t="s">
        <v>15075</v>
      </c>
      <c r="G5177" s="17">
        <v>84123</v>
      </c>
    </row>
    <row r="5178" spans="1:7">
      <c r="A5178" s="1" t="s">
        <v>15076</v>
      </c>
      <c r="B5178" s="1" t="s">
        <v>15077</v>
      </c>
      <c r="C5178">
        <f>(1-(B7/100))*179.95</f>
        <v>179.95</v>
      </c>
      <c r="D5178" s="1">
        <v>0</v>
      </c>
      <c r="E5178">
        <f>D5178*C5178</f>
        <v>0</v>
      </c>
      <c r="F5178" s="1" t="s">
        <v>15078</v>
      </c>
      <c r="G5178" s="17">
        <v>84127</v>
      </c>
    </row>
    <row r="5179" spans="1:7">
      <c r="A5179" s="1" t="s">
        <v>15079</v>
      </c>
      <c r="B5179" s="1" t="s">
        <v>15080</v>
      </c>
      <c r="C5179">
        <f>(1-(B7/100))*179.95</f>
        <v>179.95</v>
      </c>
      <c r="D5179" s="1">
        <v>0</v>
      </c>
      <c r="E5179">
        <f>D5179*C5179</f>
        <v>0</v>
      </c>
      <c r="F5179" s="1" t="s">
        <v>15081</v>
      </c>
      <c r="G5179" s="17">
        <v>84128</v>
      </c>
    </row>
    <row r="5180" spans="1:7">
      <c r="A5180" s="1" t="s">
        <v>15082</v>
      </c>
      <c r="B5180" s="1" t="s">
        <v>15083</v>
      </c>
      <c r="C5180">
        <f>(1-(B7/100))*179.95</f>
        <v>179.95</v>
      </c>
      <c r="D5180" s="1">
        <v>0</v>
      </c>
      <c r="E5180">
        <f>D5180*C5180</f>
        <v>0</v>
      </c>
      <c r="F5180" s="1" t="s">
        <v>15084</v>
      </c>
      <c r="G5180" s="17">
        <v>84129</v>
      </c>
    </row>
    <row r="5181" spans="1:7">
      <c r="A5181" s="1" t="s">
        <v>15085</v>
      </c>
      <c r="B5181" s="1" t="s">
        <v>15086</v>
      </c>
      <c r="C5181">
        <f>(1-(B7/100))*1556.27</f>
        <v>1556.27</v>
      </c>
      <c r="D5181" s="1">
        <v>0</v>
      </c>
      <c r="E5181">
        <f>D5181*C5181</f>
        <v>0</v>
      </c>
      <c r="F5181" s="1" t="s">
        <v>15087</v>
      </c>
      <c r="G5181" s="17">
        <v>84136</v>
      </c>
    </row>
    <row r="5182" spans="1:7">
      <c r="A5182" s="1" t="s">
        <v>15088</v>
      </c>
      <c r="B5182" s="1" t="s">
        <v>15089</v>
      </c>
      <c r="C5182">
        <f>(1-(B7/100))*1678.42</f>
        <v>1678.42</v>
      </c>
      <c r="D5182" s="1">
        <v>0</v>
      </c>
      <c r="E5182">
        <f>D5182*C5182</f>
        <v>0</v>
      </c>
      <c r="F5182" s="1" t="s">
        <v>15090</v>
      </c>
      <c r="G5182" s="17">
        <v>84137</v>
      </c>
    </row>
    <row r="5183" spans="1:7">
      <c r="A5183" s="1" t="s">
        <v>15091</v>
      </c>
      <c r="B5183" s="1" t="s">
        <v>15092</v>
      </c>
      <c r="C5183">
        <f>(1-(B7/100))*1597.85</f>
        <v>1597.85</v>
      </c>
      <c r="D5183" s="1">
        <v>0</v>
      </c>
      <c r="E5183">
        <f>D5183*C5183</f>
        <v>0</v>
      </c>
      <c r="F5183" s="1" t="s">
        <v>15093</v>
      </c>
      <c r="G5183" s="17">
        <v>84138</v>
      </c>
    </row>
    <row r="5184" spans="1:7">
      <c r="A5184" s="1" t="s">
        <v>15094</v>
      </c>
      <c r="B5184" s="1" t="s">
        <v>15095</v>
      </c>
      <c r="C5184">
        <f>(1-(B7/100))*1609.47</f>
        <v>1609.47</v>
      </c>
      <c r="D5184" s="1">
        <v>0</v>
      </c>
      <c r="E5184">
        <f>D5184*C5184</f>
        <v>0</v>
      </c>
      <c r="F5184" s="1" t="s">
        <v>15096</v>
      </c>
      <c r="G5184" s="17">
        <v>84139</v>
      </c>
    </row>
    <row r="5185" spans="1:7">
      <c r="A5185" s="1" t="s">
        <v>15097</v>
      </c>
      <c r="B5185" s="1" t="s">
        <v>15098</v>
      </c>
      <c r="C5185">
        <f>(1-(B7/100))*76.95</f>
        <v>76.95</v>
      </c>
      <c r="D5185" s="1">
        <v>0</v>
      </c>
      <c r="E5185">
        <f>D5185*C5185</f>
        <v>0</v>
      </c>
      <c r="F5185" s="1" t="s">
        <v>15099</v>
      </c>
      <c r="G5185" s="17">
        <v>84140</v>
      </c>
    </row>
    <row r="5186" spans="1:7">
      <c r="A5186" s="1" t="s">
        <v>15100</v>
      </c>
      <c r="B5186" s="1" t="s">
        <v>15101</v>
      </c>
      <c r="C5186">
        <f>(1-(B7/100))*621.02</f>
        <v>621.02</v>
      </c>
      <c r="D5186" s="1">
        <v>0</v>
      </c>
      <c r="E5186">
        <f>D5186*C5186</f>
        <v>0</v>
      </c>
      <c r="F5186" s="1" t="s">
        <v>15102</v>
      </c>
      <c r="G5186" s="17">
        <v>84145</v>
      </c>
    </row>
    <row r="5187" spans="1:7">
      <c r="A5187" s="1" t="s">
        <v>15103</v>
      </c>
      <c r="B5187" s="1" t="s">
        <v>15104</v>
      </c>
      <c r="C5187">
        <f>(1-(B7/100))*426.53</f>
        <v>426.53</v>
      </c>
      <c r="D5187" s="1">
        <v>0</v>
      </c>
      <c r="E5187">
        <f>D5187*C5187</f>
        <v>0</v>
      </c>
      <c r="F5187" s="1" t="s">
        <v>15105</v>
      </c>
      <c r="G5187" s="17">
        <v>84146</v>
      </c>
    </row>
    <row r="5188" spans="1:7">
      <c r="A5188" s="1" t="s">
        <v>15106</v>
      </c>
      <c r="B5188" s="1" t="s">
        <v>15107</v>
      </c>
      <c r="C5188">
        <f>(1-(B7/100))*511.73</f>
        <v>511.73</v>
      </c>
      <c r="D5188" s="1">
        <v>0</v>
      </c>
      <c r="E5188">
        <f>D5188*C5188</f>
        <v>0</v>
      </c>
      <c r="F5188" s="1" t="s">
        <v>15108</v>
      </c>
      <c r="G5188" s="17">
        <v>84148</v>
      </c>
    </row>
    <row r="5189" spans="1:7">
      <c r="A5189" s="1" t="s">
        <v>15109</v>
      </c>
      <c r="B5189" s="1" t="s">
        <v>15110</v>
      </c>
      <c r="C5189">
        <f>(1-(B7/100))*1257.76</f>
        <v>1257.76</v>
      </c>
      <c r="D5189" s="1">
        <v>0</v>
      </c>
      <c r="E5189">
        <f>D5189*C5189</f>
        <v>0</v>
      </c>
      <c r="F5189" s="1" t="s">
        <v>15111</v>
      </c>
      <c r="G5189" s="17">
        <v>84151</v>
      </c>
    </row>
    <row r="5190" spans="1:7">
      <c r="A5190" s="1" t="s">
        <v>15112</v>
      </c>
      <c r="B5190" s="1" t="s">
        <v>15113</v>
      </c>
      <c r="C5190">
        <f>(1-(B7/100))*334.56</f>
        <v>334.56</v>
      </c>
      <c r="D5190" s="1">
        <v>0</v>
      </c>
      <c r="E5190">
        <f>D5190*C5190</f>
        <v>0</v>
      </c>
      <c r="F5190" s="1" t="s">
        <v>15114</v>
      </c>
      <c r="G5190" s="17">
        <v>84152</v>
      </c>
    </row>
    <row r="5191" spans="1:7">
      <c r="A5191" s="1" t="s">
        <v>15115</v>
      </c>
      <c r="B5191" s="1" t="s">
        <v>15116</v>
      </c>
      <c r="C5191">
        <f>(1-(B7/100))*434.4</f>
        <v>434.4</v>
      </c>
      <c r="D5191" s="1">
        <v>0</v>
      </c>
      <c r="E5191">
        <f>D5191*C5191</f>
        <v>0</v>
      </c>
      <c r="F5191" s="1" t="s">
        <v>15117</v>
      </c>
      <c r="G5191" s="17">
        <v>84158</v>
      </c>
    </row>
    <row r="5192" spans="1:7">
      <c r="A5192" s="1" t="s">
        <v>15118</v>
      </c>
      <c r="B5192" s="1" t="s">
        <v>15119</v>
      </c>
      <c r="C5192">
        <f>(1-(B7/100))*126.14</f>
        <v>126.14</v>
      </c>
      <c r="D5192" s="1">
        <v>0</v>
      </c>
      <c r="E5192">
        <f>D5192*C5192</f>
        <v>0</v>
      </c>
      <c r="F5192" s="1" t="s">
        <v>15120</v>
      </c>
      <c r="G5192" s="17">
        <v>84162</v>
      </c>
    </row>
    <row r="5193" spans="1:7">
      <c r="A5193" s="1" t="s">
        <v>15121</v>
      </c>
      <c r="B5193" s="1" t="s">
        <v>15122</v>
      </c>
      <c r="C5193">
        <f>(1-(B7/100))*136.59</f>
        <v>136.59</v>
      </c>
      <c r="D5193" s="1">
        <v>0</v>
      </c>
      <c r="E5193">
        <f>D5193*C5193</f>
        <v>0</v>
      </c>
      <c r="F5193" s="1" t="s">
        <v>15123</v>
      </c>
      <c r="G5193" s="17">
        <v>84271</v>
      </c>
    </row>
    <row r="5194" spans="1:7">
      <c r="A5194" s="1" t="s">
        <v>15124</v>
      </c>
      <c r="B5194" s="1" t="s">
        <v>15125</v>
      </c>
      <c r="C5194">
        <f>(1-(B7/100))*178.36</f>
        <v>178.36</v>
      </c>
      <c r="D5194" s="1">
        <v>0</v>
      </c>
      <c r="E5194">
        <f>D5194*C5194</f>
        <v>0</v>
      </c>
      <c r="F5194" s="1" t="s">
        <v>15126</v>
      </c>
      <c r="G5194" s="17">
        <v>84588</v>
      </c>
    </row>
    <row r="5195" spans="1:7">
      <c r="A5195" s="1" t="s">
        <v>15127</v>
      </c>
      <c r="B5195" s="1" t="s">
        <v>15128</v>
      </c>
      <c r="C5195">
        <f>(1-(B7/100))*237</f>
        <v>237</v>
      </c>
      <c r="D5195" s="1">
        <v>0</v>
      </c>
      <c r="E5195">
        <f>D5195*C5195</f>
        <v>0</v>
      </c>
      <c r="F5195" s="1" t="s">
        <v>15129</v>
      </c>
      <c r="G5195" s="17">
        <v>84613</v>
      </c>
    </row>
    <row r="5196" spans="1:7">
      <c r="A5196" s="1" t="s">
        <v>15130</v>
      </c>
      <c r="B5196" s="1" t="s">
        <v>15131</v>
      </c>
      <c r="C5196">
        <f>(1-(B7/100))*676.58</f>
        <v>676.58</v>
      </c>
      <c r="D5196" s="1">
        <v>0</v>
      </c>
      <c r="E5196">
        <f>D5196*C5196</f>
        <v>0</v>
      </c>
      <c r="F5196" s="1" t="s">
        <v>15132</v>
      </c>
      <c r="G5196" s="17">
        <v>84696</v>
      </c>
    </row>
    <row r="5197" spans="1:7">
      <c r="A5197" s="1" t="s">
        <v>15133</v>
      </c>
      <c r="B5197" s="1" t="s">
        <v>15134</v>
      </c>
      <c r="C5197">
        <f>(1-(B7/100))*154.64</f>
        <v>154.64</v>
      </c>
      <c r="D5197" s="1">
        <v>0</v>
      </c>
      <c r="E5197">
        <f>D5197*C5197</f>
        <v>0</v>
      </c>
      <c r="F5197" s="1" t="s">
        <v>15135</v>
      </c>
      <c r="G5197" s="17">
        <v>84737</v>
      </c>
    </row>
    <row r="5198" spans="1:7">
      <c r="A5198" s="1" t="s">
        <v>15136</v>
      </c>
      <c r="B5198" s="1" t="s">
        <v>15137</v>
      </c>
      <c r="C5198">
        <f>(1-(B7/100))*112.75</f>
        <v>112.75</v>
      </c>
      <c r="D5198" s="1">
        <v>0</v>
      </c>
      <c r="E5198">
        <f>D5198*C5198</f>
        <v>0</v>
      </c>
      <c r="F5198" s="1" t="s">
        <v>16</v>
      </c>
      <c r="G5198" s="17">
        <v>84771</v>
      </c>
    </row>
    <row r="5199" spans="1:7">
      <c r="A5199" s="1" t="s">
        <v>15138</v>
      </c>
      <c r="B5199" s="1" t="s">
        <v>15139</v>
      </c>
      <c r="C5199">
        <f>(1-(B7/100))*135.86</f>
        <v>135.86</v>
      </c>
      <c r="D5199" s="1">
        <v>0</v>
      </c>
      <c r="E5199">
        <f>D5199*C5199</f>
        <v>0</v>
      </c>
      <c r="F5199" s="1" t="s">
        <v>15140</v>
      </c>
      <c r="G5199" s="17">
        <v>84972</v>
      </c>
    </row>
    <row r="5200" spans="1:7">
      <c r="A5200" s="1" t="s">
        <v>15141</v>
      </c>
      <c r="B5200" s="1" t="s">
        <v>15142</v>
      </c>
      <c r="C5200">
        <f>(1-(B7/100))*51.32</f>
        <v>51.32</v>
      </c>
      <c r="D5200" s="1">
        <v>0</v>
      </c>
      <c r="E5200">
        <f>D5200*C5200</f>
        <v>0</v>
      </c>
      <c r="F5200" s="1" t="s">
        <v>15143</v>
      </c>
      <c r="G5200" s="17">
        <v>85095</v>
      </c>
    </row>
    <row r="5201" spans="1:7">
      <c r="A5201" s="1" t="s">
        <v>15144</v>
      </c>
      <c r="B5201" s="1" t="s">
        <v>15145</v>
      </c>
      <c r="C5201">
        <f>(1-(B7/100))*316.7</f>
        <v>316.7</v>
      </c>
      <c r="D5201" s="1">
        <v>0</v>
      </c>
      <c r="E5201">
        <f>D5201*C5201</f>
        <v>0</v>
      </c>
      <c r="F5201" s="1" t="s">
        <v>15146</v>
      </c>
      <c r="G5201" s="17">
        <v>85207</v>
      </c>
    </row>
    <row r="5202" spans="1:7">
      <c r="A5202" s="1" t="s">
        <v>15147</v>
      </c>
      <c r="B5202" s="1" t="s">
        <v>15148</v>
      </c>
      <c r="C5202">
        <f>(1-(B7/100))*360.85</f>
        <v>360.85</v>
      </c>
      <c r="D5202" s="1">
        <v>0</v>
      </c>
      <c r="E5202">
        <f>D5202*C5202</f>
        <v>0</v>
      </c>
      <c r="F5202" s="1" t="s">
        <v>15149</v>
      </c>
      <c r="G5202" s="17">
        <v>85319</v>
      </c>
    </row>
    <row r="5203" spans="1:7">
      <c r="A5203" s="1" t="s">
        <v>15150</v>
      </c>
      <c r="B5203" s="1" t="s">
        <v>15151</v>
      </c>
      <c r="C5203">
        <f>(1-(B7/100))*177.61</f>
        <v>177.61</v>
      </c>
      <c r="D5203" s="1">
        <v>0</v>
      </c>
      <c r="E5203">
        <f>D5203*C5203</f>
        <v>0</v>
      </c>
      <c r="F5203" s="1" t="s">
        <v>15152</v>
      </c>
      <c r="G5203" s="17">
        <v>85376</v>
      </c>
    </row>
    <row r="5204" spans="1:7">
      <c r="A5204" s="1" t="s">
        <v>15153</v>
      </c>
      <c r="B5204" s="1" t="s">
        <v>15154</v>
      </c>
      <c r="C5204">
        <f>(1-(B7/100))*257.71</f>
        <v>257.71</v>
      </c>
      <c r="D5204" s="1">
        <v>0</v>
      </c>
      <c r="E5204">
        <f>D5204*C5204</f>
        <v>0</v>
      </c>
      <c r="F5204" s="1" t="s">
        <v>15155</v>
      </c>
      <c r="G5204" s="17">
        <v>85384</v>
      </c>
    </row>
    <row r="5205" spans="1:7">
      <c r="A5205" s="1" t="s">
        <v>15156</v>
      </c>
      <c r="B5205" s="1" t="s">
        <v>15157</v>
      </c>
      <c r="C5205">
        <f>(1-(B7/100))*371.72</f>
        <v>371.72</v>
      </c>
      <c r="D5205" s="1">
        <v>0</v>
      </c>
      <c r="E5205">
        <f>D5205*C5205</f>
        <v>0</v>
      </c>
      <c r="F5205" s="1" t="s">
        <v>15158</v>
      </c>
      <c r="G5205" s="17">
        <v>85389</v>
      </c>
    </row>
    <row r="5206" spans="1:7">
      <c r="A5206" s="1" t="s">
        <v>15159</v>
      </c>
      <c r="B5206" s="1" t="s">
        <v>15160</v>
      </c>
      <c r="C5206">
        <f>(1-(B7/100))*219.11</f>
        <v>219.11</v>
      </c>
      <c r="D5206" s="1">
        <v>0</v>
      </c>
      <c r="E5206">
        <f>D5206*C5206</f>
        <v>0</v>
      </c>
      <c r="F5206" s="1" t="s">
        <v>15161</v>
      </c>
      <c r="G5206" s="17">
        <v>85413</v>
      </c>
    </row>
    <row r="5207" spans="1:7">
      <c r="A5207" s="1" t="s">
        <v>15162</v>
      </c>
      <c r="B5207" s="1" t="s">
        <v>15163</v>
      </c>
      <c r="C5207">
        <f>(1-(B7/100))*75.14</f>
        <v>75.14</v>
      </c>
      <c r="D5207" s="1">
        <v>0</v>
      </c>
      <c r="E5207">
        <f>D5207*C5207</f>
        <v>0</v>
      </c>
      <c r="F5207" s="1" t="s">
        <v>15164</v>
      </c>
      <c r="G5207" s="17">
        <v>85740</v>
      </c>
    </row>
    <row r="5208" spans="1:7">
      <c r="A5208" s="1" t="s">
        <v>15165</v>
      </c>
      <c r="B5208" s="1" t="s">
        <v>15166</v>
      </c>
      <c r="C5208">
        <f>(1-(B7/100))*614.15</f>
        <v>614.15</v>
      </c>
      <c r="D5208" s="1">
        <v>0</v>
      </c>
      <c r="E5208">
        <f>D5208*C5208</f>
        <v>0</v>
      </c>
      <c r="F5208" s="1" t="s">
        <v>15167</v>
      </c>
      <c r="G5208" s="17">
        <v>85841</v>
      </c>
    </row>
    <row r="5209" spans="1:7">
      <c r="A5209" s="1" t="s">
        <v>15168</v>
      </c>
      <c r="B5209" s="1" t="s">
        <v>15169</v>
      </c>
      <c r="C5209">
        <f>(1-(B7/100))*62.46</f>
        <v>62.46</v>
      </c>
      <c r="D5209" s="1">
        <v>0</v>
      </c>
      <c r="E5209">
        <f>D5209*C5209</f>
        <v>0</v>
      </c>
      <c r="F5209" s="1" t="s">
        <v>15170</v>
      </c>
      <c r="G5209" s="17">
        <v>85924</v>
      </c>
    </row>
    <row r="5210" spans="1:7">
      <c r="A5210" s="1" t="s">
        <v>15171</v>
      </c>
      <c r="B5210" s="1" t="s">
        <v>15172</v>
      </c>
      <c r="C5210">
        <f>(1-(B7/100))*1559.94</f>
        <v>1559.94</v>
      </c>
      <c r="D5210" s="1">
        <v>0</v>
      </c>
      <c r="E5210">
        <f>D5210*C5210</f>
        <v>0</v>
      </c>
      <c r="F5210" s="1" t="s">
        <v>15173</v>
      </c>
      <c r="G5210" s="17">
        <v>85935</v>
      </c>
    </row>
    <row r="5211" spans="1:7">
      <c r="A5211" s="1" t="s">
        <v>15174</v>
      </c>
      <c r="B5211" s="1" t="s">
        <v>15175</v>
      </c>
      <c r="C5211">
        <f>(1-(B7/100))*1588.52</f>
        <v>1588.52</v>
      </c>
      <c r="D5211" s="1">
        <v>0</v>
      </c>
      <c r="E5211">
        <f>D5211*C5211</f>
        <v>0</v>
      </c>
      <c r="F5211" s="1" t="s">
        <v>15176</v>
      </c>
      <c r="G5211" s="17">
        <v>85936</v>
      </c>
    </row>
    <row r="5212" spans="1:7">
      <c r="A5212" s="1" t="s">
        <v>15177</v>
      </c>
      <c r="B5212" s="1" t="s">
        <v>15178</v>
      </c>
      <c r="C5212">
        <f>(1-(B7/100))*3093.31</f>
        <v>3093.31</v>
      </c>
      <c r="D5212" s="1">
        <v>0</v>
      </c>
      <c r="E5212">
        <f>D5212*C5212</f>
        <v>0</v>
      </c>
      <c r="F5212" s="1" t="s">
        <v>15179</v>
      </c>
      <c r="G5212" s="17">
        <v>85937</v>
      </c>
    </row>
    <row r="5213" spans="1:7">
      <c r="A5213" s="1" t="s">
        <v>15180</v>
      </c>
      <c r="B5213" s="1" t="s">
        <v>15181</v>
      </c>
      <c r="C5213">
        <f>(1-(B7/100))*2691.92</f>
        <v>2691.92</v>
      </c>
      <c r="D5213" s="1">
        <v>0</v>
      </c>
      <c r="E5213">
        <f>D5213*C5213</f>
        <v>0</v>
      </c>
      <c r="F5213" s="1" t="s">
        <v>15182</v>
      </c>
      <c r="G5213" s="17">
        <v>85940</v>
      </c>
    </row>
    <row r="5214" spans="1:7">
      <c r="A5214" s="1" t="s">
        <v>15183</v>
      </c>
      <c r="B5214" s="1" t="s">
        <v>15184</v>
      </c>
      <c r="C5214">
        <f>(1-(B7/100))*273.74</f>
        <v>273.74</v>
      </c>
      <c r="D5214" s="1">
        <v>0</v>
      </c>
      <c r="E5214">
        <f>D5214*C5214</f>
        <v>0</v>
      </c>
      <c r="F5214" s="1" t="s">
        <v>15185</v>
      </c>
      <c r="G5214" s="17">
        <v>85945</v>
      </c>
    </row>
    <row r="5215" spans="1:7">
      <c r="A5215" s="1">
        <v>10000231</v>
      </c>
      <c r="B5215" s="1" t="s">
        <v>15186</v>
      </c>
      <c r="C5215">
        <f>(1-(B7/100))*969.46</f>
        <v>969.46</v>
      </c>
      <c r="D5215" s="1">
        <v>0</v>
      </c>
      <c r="E5215">
        <f>D5215*C5215</f>
        <v>0</v>
      </c>
      <c r="F5215" s="1" t="s">
        <v>15187</v>
      </c>
      <c r="G5215" s="17">
        <v>85946</v>
      </c>
    </row>
    <row r="5216" spans="1:7">
      <c r="A5216" s="1" t="s">
        <v>15188</v>
      </c>
      <c r="B5216" s="1" t="s">
        <v>15189</v>
      </c>
      <c r="C5216">
        <f>(1-(B7/100))*1031.01</f>
        <v>1031.01</v>
      </c>
      <c r="D5216" s="1">
        <v>0</v>
      </c>
      <c r="E5216">
        <f>D5216*C5216</f>
        <v>0</v>
      </c>
      <c r="F5216" s="1" t="s">
        <v>15190</v>
      </c>
      <c r="G5216" s="17">
        <v>85947</v>
      </c>
    </row>
    <row r="5217" spans="1:7">
      <c r="A5217" s="1" t="s">
        <v>15191</v>
      </c>
      <c r="B5217" s="1" t="s">
        <v>15192</v>
      </c>
      <c r="C5217">
        <f>(1-(B7/100))*230.72</f>
        <v>230.72</v>
      </c>
      <c r="D5217" s="1">
        <v>0</v>
      </c>
      <c r="E5217">
        <f>D5217*C5217</f>
        <v>0</v>
      </c>
      <c r="F5217" s="1" t="s">
        <v>15193</v>
      </c>
      <c r="G5217" s="17">
        <v>85951</v>
      </c>
    </row>
    <row r="5218" spans="1:7">
      <c r="A5218" s="1" t="s">
        <v>15194</v>
      </c>
      <c r="B5218" s="1" t="s">
        <v>15195</v>
      </c>
      <c r="C5218">
        <f>(1-(B7/100))*246.59</f>
        <v>246.59</v>
      </c>
      <c r="D5218" s="1">
        <v>0</v>
      </c>
      <c r="E5218">
        <f>D5218*C5218</f>
        <v>0</v>
      </c>
      <c r="F5218" s="1" t="s">
        <v>15196</v>
      </c>
      <c r="G5218" s="17">
        <v>85952</v>
      </c>
    </row>
    <row r="5219" spans="1:7">
      <c r="A5219" s="1" t="s">
        <v>15197</v>
      </c>
      <c r="B5219" s="1" t="s">
        <v>15198</v>
      </c>
      <c r="C5219">
        <f>(1-(B7/100))*1916.72</f>
        <v>1916.72</v>
      </c>
      <c r="D5219" s="1">
        <v>0</v>
      </c>
      <c r="E5219">
        <f>D5219*C5219</f>
        <v>0</v>
      </c>
      <c r="F5219" s="1" t="s">
        <v>15199</v>
      </c>
      <c r="G5219" s="17">
        <v>85955</v>
      </c>
    </row>
    <row r="5220" spans="1:7">
      <c r="A5220" s="1" t="s">
        <v>15200</v>
      </c>
      <c r="B5220" s="1" t="s">
        <v>15201</v>
      </c>
      <c r="C5220">
        <f>(1-(B7/100))*371.53</f>
        <v>371.53</v>
      </c>
      <c r="D5220" s="1">
        <v>0</v>
      </c>
      <c r="E5220">
        <f>D5220*C5220</f>
        <v>0</v>
      </c>
      <c r="F5220" s="1" t="s">
        <v>15202</v>
      </c>
      <c r="G5220" s="17">
        <v>86019</v>
      </c>
    </row>
    <row r="5221" spans="1:7">
      <c r="A5221" s="1" t="s">
        <v>15203</v>
      </c>
      <c r="B5221" s="1" t="s">
        <v>15204</v>
      </c>
      <c r="C5221">
        <f>(1-(B7/100))*20.24</f>
        <v>20.24</v>
      </c>
      <c r="D5221" s="1">
        <v>0</v>
      </c>
      <c r="E5221">
        <f>D5221*C5221</f>
        <v>0</v>
      </c>
      <c r="F5221" s="1" t="s">
        <v>15205</v>
      </c>
      <c r="G5221" s="17">
        <v>86102</v>
      </c>
    </row>
    <row r="5222" spans="1:7">
      <c r="A5222" s="1" t="s">
        <v>15206</v>
      </c>
      <c r="B5222" s="1" t="s">
        <v>15207</v>
      </c>
      <c r="C5222">
        <f>(1-(B7/100))*250.72</f>
        <v>250.72</v>
      </c>
      <c r="D5222" s="1">
        <v>0</v>
      </c>
      <c r="E5222">
        <f>D5222*C5222</f>
        <v>0</v>
      </c>
      <c r="F5222" s="1" t="s">
        <v>15208</v>
      </c>
      <c r="G5222" s="17">
        <v>86162</v>
      </c>
    </row>
    <row r="5223" spans="1:7">
      <c r="A5223" s="1" t="s">
        <v>15209</v>
      </c>
      <c r="B5223" s="1" t="s">
        <v>15210</v>
      </c>
      <c r="C5223">
        <f>(1-(B7/100))*144.34</f>
        <v>144.34</v>
      </c>
      <c r="D5223" s="1">
        <v>0</v>
      </c>
      <c r="E5223">
        <f>D5223*C5223</f>
        <v>0</v>
      </c>
      <c r="F5223" s="1" t="s">
        <v>15211</v>
      </c>
      <c r="G5223" s="17">
        <v>86284</v>
      </c>
    </row>
    <row r="5224" spans="1:7">
      <c r="A5224" s="1" t="s">
        <v>15212</v>
      </c>
      <c r="B5224" s="1" t="s">
        <v>15213</v>
      </c>
      <c r="C5224">
        <f>(1-(B7/100))*780.7</f>
        <v>780.7</v>
      </c>
      <c r="D5224" s="1">
        <v>0</v>
      </c>
      <c r="E5224">
        <f>D5224*C5224</f>
        <v>0</v>
      </c>
      <c r="F5224" s="1" t="s">
        <v>15214</v>
      </c>
      <c r="G5224" s="17">
        <v>86407</v>
      </c>
    </row>
    <row r="5225" spans="1:7">
      <c r="A5225" s="1" t="s">
        <v>15215</v>
      </c>
      <c r="B5225" s="1" t="s">
        <v>15216</v>
      </c>
      <c r="C5225">
        <f>(1-(B7/100))*703.32</f>
        <v>703.32</v>
      </c>
      <c r="D5225" s="1">
        <v>0</v>
      </c>
      <c r="E5225">
        <f>D5225*C5225</f>
        <v>0</v>
      </c>
      <c r="F5225" s="1" t="s">
        <v>15217</v>
      </c>
      <c r="G5225" s="17">
        <v>86417</v>
      </c>
    </row>
    <row r="5226" spans="1:7">
      <c r="A5226" s="1" t="s">
        <v>15218</v>
      </c>
      <c r="B5226" s="1" t="s">
        <v>14134</v>
      </c>
      <c r="C5226">
        <f>(1-(B7/100))*846.83</f>
        <v>846.83</v>
      </c>
      <c r="D5226" s="1">
        <v>0</v>
      </c>
      <c r="E5226">
        <f>D5226*C5226</f>
        <v>0</v>
      </c>
      <c r="F5226" s="1" t="s">
        <v>15219</v>
      </c>
      <c r="G5226" s="17">
        <v>86418</v>
      </c>
    </row>
    <row r="5227" spans="1:7">
      <c r="A5227" s="1" t="s">
        <v>15220</v>
      </c>
      <c r="B5227" s="1" t="s">
        <v>15221</v>
      </c>
      <c r="C5227">
        <f>(1-(B7/100))*415.24</f>
        <v>415.24</v>
      </c>
      <c r="D5227" s="1">
        <v>0</v>
      </c>
      <c r="E5227">
        <f>D5227*C5227</f>
        <v>0</v>
      </c>
      <c r="F5227" s="1" t="s">
        <v>15222</v>
      </c>
      <c r="G5227" s="17">
        <v>86433</v>
      </c>
    </row>
    <row r="5228" spans="1:7">
      <c r="A5228" s="1" t="s">
        <v>15223</v>
      </c>
      <c r="B5228" s="1" t="s">
        <v>15224</v>
      </c>
      <c r="C5228">
        <f>(1-(B7/100))*196.44</f>
        <v>196.44</v>
      </c>
      <c r="D5228" s="1">
        <v>0</v>
      </c>
      <c r="E5228">
        <f>D5228*C5228</f>
        <v>0</v>
      </c>
      <c r="F5228" s="1" t="s">
        <v>15225</v>
      </c>
      <c r="G5228" s="17">
        <v>86458</v>
      </c>
    </row>
    <row r="5229" spans="1:7">
      <c r="A5229" s="1" t="s">
        <v>15226</v>
      </c>
      <c r="B5229" s="1" t="s">
        <v>15227</v>
      </c>
      <c r="C5229">
        <f>(1-(B7/100))*512.88</f>
        <v>512.88</v>
      </c>
      <c r="D5229" s="1">
        <v>0</v>
      </c>
      <c r="E5229">
        <f>D5229*C5229</f>
        <v>0</v>
      </c>
      <c r="F5229" s="1" t="s">
        <v>15228</v>
      </c>
      <c r="G5229" s="17">
        <v>86459</v>
      </c>
    </row>
    <row r="5230" spans="1:7">
      <c r="A5230" s="1">
        <v>10008823</v>
      </c>
      <c r="B5230" s="1" t="s">
        <v>15229</v>
      </c>
      <c r="C5230">
        <f>(1-(B7/100))*1580.12</f>
        <v>1580.12</v>
      </c>
      <c r="D5230" s="1">
        <v>0</v>
      </c>
      <c r="E5230">
        <f>D5230*C5230</f>
        <v>0</v>
      </c>
      <c r="F5230" s="1" t="s">
        <v>16</v>
      </c>
      <c r="G5230" s="17">
        <v>86463</v>
      </c>
    </row>
    <row r="5231" spans="1:7">
      <c r="A5231" s="1" t="s">
        <v>15230</v>
      </c>
      <c r="B5231" s="1" t="s">
        <v>15231</v>
      </c>
      <c r="C5231">
        <f>(1-(B7/100))*2515.67</f>
        <v>2515.67</v>
      </c>
      <c r="D5231" s="1">
        <v>0</v>
      </c>
      <c r="E5231">
        <f>D5231*C5231</f>
        <v>0</v>
      </c>
      <c r="F5231" s="1" t="s">
        <v>15232</v>
      </c>
      <c r="G5231" s="17">
        <v>86464</v>
      </c>
    </row>
    <row r="5232" spans="1:7">
      <c r="A5232" s="1" t="s">
        <v>15233</v>
      </c>
      <c r="B5232" s="1" t="s">
        <v>15234</v>
      </c>
      <c r="C5232">
        <f>(1-(B7/100))*165.72</f>
        <v>165.72</v>
      </c>
      <c r="D5232" s="1">
        <v>0</v>
      </c>
      <c r="E5232">
        <f>D5232*C5232</f>
        <v>0</v>
      </c>
      <c r="F5232" s="1" t="s">
        <v>15235</v>
      </c>
      <c r="G5232" s="17">
        <v>86489</v>
      </c>
    </row>
    <row r="5233" spans="1:7">
      <c r="A5233" s="1" t="s">
        <v>15236</v>
      </c>
      <c r="B5233" s="1" t="s">
        <v>15237</v>
      </c>
      <c r="C5233">
        <f>(1-(B7/100))*180.22</f>
        <v>180.22</v>
      </c>
      <c r="D5233" s="1">
        <v>0</v>
      </c>
      <c r="E5233">
        <f>D5233*C5233</f>
        <v>0</v>
      </c>
      <c r="F5233" s="1" t="s">
        <v>15238</v>
      </c>
      <c r="G5233" s="17">
        <v>86500</v>
      </c>
    </row>
    <row r="5234" spans="1:7">
      <c r="A5234" s="1" t="s">
        <v>15239</v>
      </c>
      <c r="B5234" s="1" t="s">
        <v>15240</v>
      </c>
      <c r="C5234">
        <f>(1-(B7/100))*129.8</f>
        <v>129.8</v>
      </c>
      <c r="D5234" s="1">
        <v>0</v>
      </c>
      <c r="E5234">
        <f>D5234*C5234</f>
        <v>0</v>
      </c>
      <c r="F5234" s="1" t="s">
        <v>15241</v>
      </c>
      <c r="G5234" s="17">
        <v>86575</v>
      </c>
    </row>
    <row r="5235" spans="1:7">
      <c r="A5235" s="1" t="s">
        <v>15242</v>
      </c>
      <c r="B5235" s="1" t="s">
        <v>15243</v>
      </c>
      <c r="C5235">
        <f>(1-(B7/100))*126.14</f>
        <v>126.14</v>
      </c>
      <c r="D5235" s="1">
        <v>0</v>
      </c>
      <c r="E5235">
        <f>D5235*C5235</f>
        <v>0</v>
      </c>
      <c r="F5235" s="1" t="s">
        <v>15244</v>
      </c>
      <c r="G5235" s="17">
        <v>86576</v>
      </c>
    </row>
    <row r="5236" spans="1:7">
      <c r="A5236" s="1" t="s">
        <v>15245</v>
      </c>
      <c r="B5236" s="1" t="s">
        <v>8275</v>
      </c>
      <c r="C5236">
        <f>(1-(B7/100))*1578.57</f>
        <v>1578.57</v>
      </c>
      <c r="D5236" s="1">
        <v>0</v>
      </c>
      <c r="E5236">
        <f>D5236*C5236</f>
        <v>0</v>
      </c>
      <c r="F5236" s="1" t="s">
        <v>15246</v>
      </c>
      <c r="G5236" s="17">
        <v>86614</v>
      </c>
    </row>
    <row r="5237" spans="1:7">
      <c r="A5237" s="1" t="s">
        <v>15247</v>
      </c>
      <c r="B5237" s="1" t="s">
        <v>15248</v>
      </c>
      <c r="C5237">
        <f>(1-(B7/100))*2152.73</f>
        <v>2152.73</v>
      </c>
      <c r="D5237" s="1">
        <v>0</v>
      </c>
      <c r="E5237">
        <f>D5237*C5237</f>
        <v>0</v>
      </c>
      <c r="F5237" s="1" t="s">
        <v>15249</v>
      </c>
      <c r="G5237" s="17">
        <v>86634</v>
      </c>
    </row>
    <row r="5238" spans="1:7">
      <c r="A5238" s="1" t="s">
        <v>15250</v>
      </c>
      <c r="B5238" s="1" t="s">
        <v>15251</v>
      </c>
      <c r="C5238">
        <f>(1-(B7/100))*277.24</f>
        <v>277.24</v>
      </c>
      <c r="D5238" s="1">
        <v>0</v>
      </c>
      <c r="E5238">
        <f>D5238*C5238</f>
        <v>0</v>
      </c>
      <c r="F5238" s="1" t="s">
        <v>16</v>
      </c>
      <c r="G5238" s="17">
        <v>86643</v>
      </c>
    </row>
    <row r="5239" spans="1:7">
      <c r="A5239" s="1" t="s">
        <v>15252</v>
      </c>
      <c r="B5239" s="1" t="s">
        <v>15253</v>
      </c>
      <c r="C5239">
        <f>(1-(B7/100))*662.86</f>
        <v>662.86</v>
      </c>
      <c r="D5239" s="1">
        <v>0</v>
      </c>
      <c r="E5239">
        <f>D5239*C5239</f>
        <v>0</v>
      </c>
      <c r="F5239" s="1" t="s">
        <v>15254</v>
      </c>
      <c r="G5239" s="17">
        <v>86644</v>
      </c>
    </row>
    <row r="5240" spans="1:7">
      <c r="A5240" s="1" t="s">
        <v>15255</v>
      </c>
      <c r="B5240" s="1" t="s">
        <v>15256</v>
      </c>
      <c r="C5240">
        <f>(1-(B7/100))*694.86</f>
        <v>694.86</v>
      </c>
      <c r="D5240" s="1">
        <v>0</v>
      </c>
      <c r="E5240">
        <f>D5240*C5240</f>
        <v>0</v>
      </c>
      <c r="F5240" s="1" t="s">
        <v>15257</v>
      </c>
      <c r="G5240" s="17">
        <v>86649</v>
      </c>
    </row>
    <row r="5241" spans="1:7">
      <c r="A5241" s="1" t="s">
        <v>15258</v>
      </c>
      <c r="B5241" s="1" t="s">
        <v>15259</v>
      </c>
      <c r="C5241">
        <f>(1-(B7/100))*1087.48</f>
        <v>1087.48</v>
      </c>
      <c r="D5241" s="1">
        <v>0</v>
      </c>
      <c r="E5241">
        <f>D5241*C5241</f>
        <v>0</v>
      </c>
      <c r="F5241" s="1" t="s">
        <v>15260</v>
      </c>
      <c r="G5241" s="17">
        <v>86850</v>
      </c>
    </row>
    <row r="5242" spans="1:7">
      <c r="A5242" s="1" t="s">
        <v>15261</v>
      </c>
      <c r="B5242" s="1" t="s">
        <v>15262</v>
      </c>
      <c r="C5242">
        <f>(1-(B7/100))*1071.18</f>
        <v>1071.18</v>
      </c>
      <c r="D5242" s="1">
        <v>0</v>
      </c>
      <c r="E5242">
        <f>D5242*C5242</f>
        <v>0</v>
      </c>
      <c r="F5242" s="1" t="s">
        <v>15263</v>
      </c>
      <c r="G5242" s="17">
        <v>86851</v>
      </c>
    </row>
    <row r="5243" spans="1:7">
      <c r="A5243" s="1" t="s">
        <v>15264</v>
      </c>
      <c r="B5243" s="1" t="s">
        <v>15265</v>
      </c>
      <c r="C5243">
        <f>(1-(B7/100))*273.74</f>
        <v>273.74</v>
      </c>
      <c r="D5243" s="1">
        <v>0</v>
      </c>
      <c r="E5243">
        <f>D5243*C5243</f>
        <v>0</v>
      </c>
      <c r="F5243" s="1" t="s">
        <v>15266</v>
      </c>
      <c r="G5243" s="17">
        <v>86860</v>
      </c>
    </row>
    <row r="5244" spans="1:7">
      <c r="A5244" s="1" t="s">
        <v>15267</v>
      </c>
      <c r="B5244" s="1" t="s">
        <v>15268</v>
      </c>
      <c r="C5244">
        <f>(1-(B7/100))*115.45</f>
        <v>115.45</v>
      </c>
      <c r="D5244" s="1">
        <v>0</v>
      </c>
      <c r="E5244">
        <f>D5244*C5244</f>
        <v>0</v>
      </c>
      <c r="F5244" s="1" t="s">
        <v>15269</v>
      </c>
      <c r="G5244" s="17">
        <v>86923</v>
      </c>
    </row>
    <row r="5245" spans="1:7">
      <c r="A5245" s="1" t="s">
        <v>15270</v>
      </c>
      <c r="B5245" s="1" t="s">
        <v>15271</v>
      </c>
      <c r="C5245">
        <f>(1-(B7/100))*2455.79</f>
        <v>2455.79</v>
      </c>
      <c r="D5245" s="1">
        <v>0</v>
      </c>
      <c r="E5245">
        <f>D5245*C5245</f>
        <v>0</v>
      </c>
      <c r="F5245" s="1" t="s">
        <v>15272</v>
      </c>
      <c r="G5245" s="17">
        <v>86926</v>
      </c>
    </row>
    <row r="5246" spans="1:7">
      <c r="A5246" s="1" t="s">
        <v>15273</v>
      </c>
      <c r="B5246" s="1" t="s">
        <v>15274</v>
      </c>
      <c r="C5246">
        <f>(1-(B7/100))*1407.67</f>
        <v>1407.67</v>
      </c>
      <c r="D5246" s="1">
        <v>0</v>
      </c>
      <c r="E5246">
        <f>D5246*C5246</f>
        <v>0</v>
      </c>
      <c r="F5246" s="1" t="s">
        <v>15275</v>
      </c>
      <c r="G5246" s="17">
        <v>87230</v>
      </c>
    </row>
    <row r="5247" spans="1:7">
      <c r="A5247" s="1" t="s">
        <v>15276</v>
      </c>
      <c r="B5247" s="1" t="s">
        <v>15277</v>
      </c>
      <c r="C5247">
        <f>(1-(B7/100))*478.71</f>
        <v>478.71</v>
      </c>
      <c r="D5247" s="1">
        <v>0</v>
      </c>
      <c r="E5247">
        <f>D5247*C5247</f>
        <v>0</v>
      </c>
      <c r="F5247" s="1" t="s">
        <v>16</v>
      </c>
      <c r="G5247" s="17">
        <v>87272</v>
      </c>
    </row>
    <row r="5248" spans="1:7">
      <c r="A5248" s="1" t="s">
        <v>15278</v>
      </c>
      <c r="B5248" s="1" t="s">
        <v>15279</v>
      </c>
      <c r="C5248">
        <f>(1-(B7/100))*1194.85</f>
        <v>1194.85</v>
      </c>
      <c r="D5248" s="1">
        <v>0</v>
      </c>
      <c r="E5248">
        <f>D5248*C5248</f>
        <v>0</v>
      </c>
      <c r="F5248" s="1" t="s">
        <v>15280</v>
      </c>
      <c r="G5248" s="17">
        <v>87274</v>
      </c>
    </row>
    <row r="5249" spans="1:7">
      <c r="A5249" s="1" t="s">
        <v>15281</v>
      </c>
      <c r="B5249" s="1" t="s">
        <v>15282</v>
      </c>
      <c r="C5249">
        <f>(1-(B7/100))*410.56</f>
        <v>410.56</v>
      </c>
      <c r="D5249" s="1">
        <v>0</v>
      </c>
      <c r="E5249">
        <f>D5249*C5249</f>
        <v>0</v>
      </c>
      <c r="F5249" s="1" t="s">
        <v>15283</v>
      </c>
      <c r="G5249" s="17">
        <v>87289</v>
      </c>
    </row>
    <row r="5250" spans="1:7">
      <c r="A5250" s="1" t="s">
        <v>15284</v>
      </c>
      <c r="B5250" s="1" t="s">
        <v>15285</v>
      </c>
      <c r="C5250">
        <f>(1-(B7/100))*231.47</f>
        <v>231.47</v>
      </c>
      <c r="D5250" s="1">
        <v>0</v>
      </c>
      <c r="E5250">
        <f>D5250*C5250</f>
        <v>0</v>
      </c>
      <c r="F5250" s="1" t="s">
        <v>15286</v>
      </c>
      <c r="G5250" s="17">
        <v>87294</v>
      </c>
    </row>
    <row r="5251" spans="1:7">
      <c r="A5251" s="1" t="s">
        <v>15287</v>
      </c>
      <c r="B5251" s="1" t="s">
        <v>15288</v>
      </c>
      <c r="C5251">
        <f>(1-(B7/100))*80.47</f>
        <v>80.47</v>
      </c>
      <c r="D5251" s="1">
        <v>0</v>
      </c>
      <c r="E5251">
        <f>D5251*C5251</f>
        <v>0</v>
      </c>
      <c r="F5251" s="1" t="s">
        <v>15289</v>
      </c>
      <c r="G5251" s="17">
        <v>87300</v>
      </c>
    </row>
    <row r="5252" spans="1:7">
      <c r="A5252" s="1" t="s">
        <v>15290</v>
      </c>
      <c r="B5252" s="1" t="s">
        <v>15291</v>
      </c>
      <c r="C5252">
        <f>(1-(B7/100))*1542.5</f>
        <v>1542.5</v>
      </c>
      <c r="D5252" s="1">
        <v>0</v>
      </c>
      <c r="E5252">
        <f>D5252*C5252</f>
        <v>0</v>
      </c>
      <c r="F5252" s="1" t="s">
        <v>15292</v>
      </c>
      <c r="G5252" s="17">
        <v>87312</v>
      </c>
    </row>
    <row r="5253" spans="1:7">
      <c r="A5253" s="1" t="s">
        <v>15293</v>
      </c>
      <c r="B5253" s="1" t="s">
        <v>15294</v>
      </c>
      <c r="C5253">
        <f>(1-(B7/100))*1665.49</f>
        <v>1665.49</v>
      </c>
      <c r="D5253" s="1">
        <v>0</v>
      </c>
      <c r="E5253">
        <f>D5253*C5253</f>
        <v>0</v>
      </c>
      <c r="F5253" s="1" t="s">
        <v>15295</v>
      </c>
      <c r="G5253" s="17">
        <v>87314</v>
      </c>
    </row>
    <row r="5254" spans="1:7">
      <c r="A5254" s="1" t="s">
        <v>15296</v>
      </c>
      <c r="B5254" s="1" t="s">
        <v>15297</v>
      </c>
      <c r="C5254">
        <f>(1-(B7/100))*1586.42</f>
        <v>1586.42</v>
      </c>
      <c r="D5254" s="1">
        <v>0</v>
      </c>
      <c r="E5254">
        <f>D5254*C5254</f>
        <v>0</v>
      </c>
      <c r="F5254" s="1" t="s">
        <v>15298</v>
      </c>
      <c r="G5254" s="17">
        <v>87332</v>
      </c>
    </row>
    <row r="5255" spans="1:7">
      <c r="A5255" s="1" t="s">
        <v>15299</v>
      </c>
      <c r="B5255" s="1" t="s">
        <v>15300</v>
      </c>
      <c r="C5255">
        <f>(1-(B7/100))*334.3</f>
        <v>334.3</v>
      </c>
      <c r="D5255" s="1">
        <v>0</v>
      </c>
      <c r="E5255">
        <f>D5255*C5255</f>
        <v>0</v>
      </c>
      <c r="F5255" s="1" t="s">
        <v>15301</v>
      </c>
      <c r="G5255" s="17">
        <v>87335</v>
      </c>
    </row>
    <row r="5256" spans="1:7">
      <c r="A5256" s="1" t="s">
        <v>15302</v>
      </c>
      <c r="B5256" s="1" t="s">
        <v>15303</v>
      </c>
      <c r="C5256">
        <f>(1-(B7/100))*339.52</f>
        <v>339.52</v>
      </c>
      <c r="D5256" s="1">
        <v>0</v>
      </c>
      <c r="E5256">
        <f>D5256*C5256</f>
        <v>0</v>
      </c>
      <c r="F5256" s="1" t="s">
        <v>15304</v>
      </c>
      <c r="G5256" s="17">
        <v>87336</v>
      </c>
    </row>
    <row r="5257" spans="1:7">
      <c r="A5257" s="1" t="s">
        <v>15305</v>
      </c>
      <c r="B5257" s="1" t="s">
        <v>15306</v>
      </c>
      <c r="C5257">
        <f>(1-(B7/100))*66.84</f>
        <v>66.84</v>
      </c>
      <c r="D5257" s="1">
        <v>0</v>
      </c>
      <c r="E5257">
        <f>D5257*C5257</f>
        <v>0</v>
      </c>
      <c r="F5257" s="1" t="s">
        <v>15307</v>
      </c>
      <c r="G5257" s="17">
        <v>87337</v>
      </c>
    </row>
    <row r="5258" spans="1:7">
      <c r="A5258" s="1" t="s">
        <v>15308</v>
      </c>
      <c r="B5258" s="1" t="s">
        <v>15309</v>
      </c>
      <c r="C5258">
        <f>(1-(B7/100))*1473.48</f>
        <v>1473.48</v>
      </c>
      <c r="D5258" s="1">
        <v>0</v>
      </c>
      <c r="E5258">
        <f>D5258*C5258</f>
        <v>0</v>
      </c>
      <c r="F5258" s="1" t="s">
        <v>15310</v>
      </c>
      <c r="G5258" s="17">
        <v>87433</v>
      </c>
    </row>
    <row r="5259" spans="1:7">
      <c r="A5259" s="1" t="s">
        <v>15311</v>
      </c>
      <c r="B5259" s="1" t="s">
        <v>15312</v>
      </c>
      <c r="C5259">
        <f>(1-(B7/100))*112.75</f>
        <v>112.75</v>
      </c>
      <c r="D5259" s="1">
        <v>0</v>
      </c>
      <c r="E5259">
        <f>D5259*C5259</f>
        <v>0</v>
      </c>
      <c r="F5259" s="1" t="s">
        <v>15313</v>
      </c>
      <c r="G5259" s="17">
        <v>87434</v>
      </c>
    </row>
    <row r="5260" spans="1:7">
      <c r="A5260" s="1" t="s">
        <v>15314</v>
      </c>
      <c r="B5260" s="1" t="s">
        <v>15315</v>
      </c>
      <c r="C5260">
        <f>(1-(B7/100))*64.73</f>
        <v>64.73</v>
      </c>
      <c r="D5260" s="1">
        <v>0</v>
      </c>
      <c r="E5260">
        <f>D5260*C5260</f>
        <v>0</v>
      </c>
      <c r="F5260" s="1" t="s">
        <v>15316</v>
      </c>
      <c r="G5260" s="17">
        <v>87443</v>
      </c>
    </row>
    <row r="5261" spans="1:7">
      <c r="A5261" s="1" t="s">
        <v>15317</v>
      </c>
      <c r="B5261" s="1" t="s">
        <v>15318</v>
      </c>
      <c r="C5261">
        <f>(1-(B7/100))*676.61</f>
        <v>676.61</v>
      </c>
      <c r="D5261" s="1">
        <v>0</v>
      </c>
      <c r="E5261">
        <f>D5261*C5261</f>
        <v>0</v>
      </c>
      <c r="F5261" s="1" t="s">
        <v>15319</v>
      </c>
      <c r="G5261" s="17">
        <v>87466</v>
      </c>
    </row>
    <row r="5262" spans="1:7">
      <c r="A5262" s="1" t="s">
        <v>15320</v>
      </c>
      <c r="B5262" s="1" t="s">
        <v>15321</v>
      </c>
      <c r="C5262">
        <f>(1-(B7/100))*1762.8</f>
        <v>1762.8</v>
      </c>
      <c r="D5262" s="1">
        <v>0</v>
      </c>
      <c r="E5262">
        <f>D5262*C5262</f>
        <v>0</v>
      </c>
      <c r="F5262" s="1" t="s">
        <v>15322</v>
      </c>
      <c r="G5262" s="17">
        <v>87467</v>
      </c>
    </row>
    <row r="5263" spans="1:7">
      <c r="A5263" s="1" t="s">
        <v>15323</v>
      </c>
      <c r="B5263" s="1" t="s">
        <v>15324</v>
      </c>
      <c r="C5263">
        <f>(1-(B7/100))*63.86</f>
        <v>63.86</v>
      </c>
      <c r="D5263" s="1">
        <v>0</v>
      </c>
      <c r="E5263">
        <f>D5263*C5263</f>
        <v>0</v>
      </c>
      <c r="F5263" s="1" t="s">
        <v>15325</v>
      </c>
      <c r="G5263" s="17">
        <v>87468</v>
      </c>
    </row>
    <row r="5264" spans="1:7">
      <c r="A5264" s="1" t="s">
        <v>15326</v>
      </c>
      <c r="B5264" s="1" t="s">
        <v>15327</v>
      </c>
      <c r="C5264">
        <f>(1-(B7/100))*63.86</f>
        <v>63.86</v>
      </c>
      <c r="D5264" s="1">
        <v>0</v>
      </c>
      <c r="E5264">
        <f>D5264*C5264</f>
        <v>0</v>
      </c>
      <c r="F5264" s="1" t="s">
        <v>15328</v>
      </c>
      <c r="G5264" s="17">
        <v>87469</v>
      </c>
    </row>
    <row r="5265" spans="1:7">
      <c r="A5265" s="1" t="s">
        <v>15329</v>
      </c>
      <c r="B5265" s="1" t="s">
        <v>15330</v>
      </c>
      <c r="C5265">
        <f>(1-(B7/100))*766.03</f>
        <v>766.03</v>
      </c>
      <c r="D5265" s="1">
        <v>0</v>
      </c>
      <c r="E5265">
        <f>D5265*C5265</f>
        <v>0</v>
      </c>
      <c r="F5265" s="1" t="s">
        <v>15331</v>
      </c>
      <c r="G5265" s="17">
        <v>87470</v>
      </c>
    </row>
    <row r="5266" spans="1:7">
      <c r="A5266" s="1" t="s">
        <v>15332</v>
      </c>
      <c r="B5266" s="1" t="s">
        <v>15333</v>
      </c>
      <c r="C5266">
        <f>(1-(B7/100))*625.9</f>
        <v>625.9</v>
      </c>
      <c r="D5266" s="1">
        <v>0</v>
      </c>
      <c r="E5266">
        <f>D5266*C5266</f>
        <v>0</v>
      </c>
      <c r="F5266" s="1" t="s">
        <v>15334</v>
      </c>
      <c r="G5266" s="17">
        <v>87471</v>
      </c>
    </row>
    <row r="5267" spans="1:7">
      <c r="A5267" s="1" t="s">
        <v>15335</v>
      </c>
      <c r="B5267" s="1" t="s">
        <v>15336</v>
      </c>
      <c r="C5267">
        <f>(1-(B7/100))*141.18</f>
        <v>141.18</v>
      </c>
      <c r="D5267" s="1">
        <v>0</v>
      </c>
      <c r="E5267">
        <f>D5267*C5267</f>
        <v>0</v>
      </c>
      <c r="F5267" s="1" t="s">
        <v>15337</v>
      </c>
      <c r="G5267" s="17">
        <v>87472</v>
      </c>
    </row>
    <row r="5268" spans="1:7">
      <c r="A5268" s="1" t="s">
        <v>15338</v>
      </c>
      <c r="B5268" s="1" t="s">
        <v>15339</v>
      </c>
      <c r="C5268">
        <f>(1-(B7/100))*141.18</f>
        <v>141.18</v>
      </c>
      <c r="D5268" s="1">
        <v>0</v>
      </c>
      <c r="E5268">
        <f>D5268*C5268</f>
        <v>0</v>
      </c>
      <c r="F5268" s="1" t="s">
        <v>15340</v>
      </c>
      <c r="G5268" s="17">
        <v>87473</v>
      </c>
    </row>
    <row r="5269" spans="1:7">
      <c r="A5269" s="1" t="s">
        <v>15341</v>
      </c>
      <c r="B5269" s="1" t="s">
        <v>15342</v>
      </c>
      <c r="C5269">
        <f>(1-(B7/100))*670.01</f>
        <v>670.01</v>
      </c>
      <c r="D5269" s="1">
        <v>0</v>
      </c>
      <c r="E5269">
        <f>D5269*C5269</f>
        <v>0</v>
      </c>
      <c r="F5269" s="1" t="s">
        <v>15343</v>
      </c>
      <c r="G5269" s="17">
        <v>87482</v>
      </c>
    </row>
    <row r="5270" spans="1:7">
      <c r="A5270" s="1" t="s">
        <v>15344</v>
      </c>
      <c r="B5270" s="1" t="s">
        <v>15345</v>
      </c>
      <c r="C5270">
        <f>(1-(B7/100))*321.76</f>
        <v>321.76</v>
      </c>
      <c r="D5270" s="1">
        <v>0</v>
      </c>
      <c r="E5270">
        <f>D5270*C5270</f>
        <v>0</v>
      </c>
      <c r="F5270" s="1" t="s">
        <v>15346</v>
      </c>
      <c r="G5270" s="17">
        <v>87485</v>
      </c>
    </row>
    <row r="5271" spans="1:7">
      <c r="A5271" s="16"/>
      <c r="B5271" s="16" t="s">
        <v>15347</v>
      </c>
      <c r="C5271" s="16"/>
      <c r="D5271" s="16"/>
      <c r="E5271" s="16"/>
      <c r="F5271" s="16"/>
    </row>
    <row r="5272" spans="1:7">
      <c r="A5272" s="16"/>
      <c r="B5272" s="16" t="s">
        <v>15348</v>
      </c>
      <c r="C5272" s="16"/>
      <c r="D5272" s="16"/>
      <c r="E5272" s="16"/>
      <c r="F5272" s="16"/>
    </row>
    <row r="5273" spans="1:7">
      <c r="A5273" s="16"/>
      <c r="B5273" s="16" t="s">
        <v>15349</v>
      </c>
      <c r="C5273" s="16"/>
      <c r="D5273" s="16"/>
      <c r="E5273" s="16"/>
      <c r="F5273" s="16"/>
    </row>
    <row r="5274" spans="1:7">
      <c r="A5274" s="16"/>
      <c r="B5274" s="16" t="s">
        <v>15350</v>
      </c>
      <c r="C5274" s="16"/>
      <c r="D5274" s="16"/>
      <c r="E5274" s="16"/>
      <c r="F5274" s="16"/>
    </row>
    <row r="5275" spans="1:7">
      <c r="A5275" s="16"/>
      <c r="B5275" s="16" t="s">
        <v>15348</v>
      </c>
      <c r="C5275" s="16"/>
      <c r="D5275" s="16"/>
      <c r="E5275" s="16"/>
      <c r="F5275" s="16"/>
    </row>
    <row r="5276" spans="1:7">
      <c r="A5276" s="16"/>
      <c r="B5276" s="16" t="s">
        <v>15351</v>
      </c>
      <c r="C5276" s="16"/>
      <c r="D5276" s="16"/>
      <c r="E5276" s="16"/>
      <c r="F5276" s="16"/>
    </row>
    <row r="5277" spans="1:7">
      <c r="A5277" s="16"/>
      <c r="B5277" s="16" t="s">
        <v>15352</v>
      </c>
      <c r="C5277" s="16"/>
      <c r="D5277" s="16"/>
      <c r="E5277" s="16"/>
      <c r="F5277" s="16"/>
    </row>
    <row r="5278" spans="1:7">
      <c r="A5278" s="16"/>
      <c r="B5278" s="16" t="s">
        <v>15353</v>
      </c>
      <c r="C5278" s="16"/>
      <c r="D5278" s="16"/>
      <c r="E5278" s="16"/>
      <c r="F5278" s="16"/>
    </row>
    <row r="5279" spans="1:7">
      <c r="A5279" s="16"/>
      <c r="B5279" s="16" t="s">
        <v>15354</v>
      </c>
      <c r="C5279" s="16"/>
      <c r="D5279" s="16"/>
      <c r="E5279" s="16"/>
      <c r="F5279" s="16"/>
    </row>
    <row r="5280" spans="1:7">
      <c r="A5280" s="1" t="s">
        <v>15355</v>
      </c>
      <c r="B5280" s="1" t="s">
        <v>15356</v>
      </c>
      <c r="C5280">
        <f>(1-(B7/100))*43.13</f>
        <v>43.13</v>
      </c>
      <c r="D5280" s="1">
        <v>0</v>
      </c>
      <c r="E5280">
        <f>D5280*C5280</f>
        <v>0</v>
      </c>
      <c r="F5280" s="1" t="s">
        <v>15357</v>
      </c>
      <c r="G5280" s="17">
        <v>84171</v>
      </c>
    </row>
    <row r="5281" spans="1:7">
      <c r="A5281" s="1" t="s">
        <v>15358</v>
      </c>
      <c r="B5281" s="1" t="s">
        <v>15359</v>
      </c>
      <c r="C5281">
        <f>(1-(B7/100))*423.93</f>
        <v>423.93</v>
      </c>
      <c r="D5281" s="1">
        <v>0</v>
      </c>
      <c r="E5281">
        <f>D5281*C5281</f>
        <v>0</v>
      </c>
      <c r="F5281" s="1" t="s">
        <v>15360</v>
      </c>
      <c r="G5281" s="17">
        <v>84176</v>
      </c>
    </row>
    <row r="5282" spans="1:7">
      <c r="A5282" s="1" t="s">
        <v>15361</v>
      </c>
      <c r="B5282" s="1" t="s">
        <v>15362</v>
      </c>
      <c r="C5282">
        <f>(1-(B7/100))*438.6</f>
        <v>438.6</v>
      </c>
      <c r="D5282" s="1">
        <v>0</v>
      </c>
      <c r="E5282">
        <f>D5282*C5282</f>
        <v>0</v>
      </c>
      <c r="F5282" s="1" t="s">
        <v>15363</v>
      </c>
      <c r="G5282" s="17">
        <v>84177</v>
      </c>
    </row>
    <row r="5283" spans="1:7">
      <c r="A5283" s="1" t="s">
        <v>15364</v>
      </c>
      <c r="B5283" s="1" t="s">
        <v>15365</v>
      </c>
      <c r="C5283">
        <f>(1-(B7/100))*419.41</f>
        <v>419.41</v>
      </c>
      <c r="D5283" s="1">
        <v>0</v>
      </c>
      <c r="E5283">
        <f>D5283*C5283</f>
        <v>0</v>
      </c>
      <c r="F5283" s="1" t="s">
        <v>15366</v>
      </c>
      <c r="G5283" s="17">
        <v>84178</v>
      </c>
    </row>
    <row r="5284" spans="1:7">
      <c r="A5284" s="1" t="s">
        <v>15367</v>
      </c>
      <c r="B5284" s="1" t="s">
        <v>15368</v>
      </c>
      <c r="C5284">
        <f>(1-(B7/100))*264.48</f>
        <v>264.48</v>
      </c>
      <c r="D5284" s="1">
        <v>0</v>
      </c>
      <c r="E5284">
        <f>D5284*C5284</f>
        <v>0</v>
      </c>
      <c r="F5284" s="1" t="s">
        <v>15369</v>
      </c>
      <c r="G5284" s="17">
        <v>84180</v>
      </c>
    </row>
    <row r="5285" spans="1:7">
      <c r="A5285" s="1" t="s">
        <v>15370</v>
      </c>
      <c r="B5285" s="1" t="s">
        <v>15371</v>
      </c>
      <c r="C5285">
        <f>(1-(B7/100))*173.03</f>
        <v>173.03</v>
      </c>
      <c r="D5285" s="1">
        <v>0</v>
      </c>
      <c r="E5285">
        <f>D5285*C5285</f>
        <v>0</v>
      </c>
      <c r="F5285" s="1" t="s">
        <v>15372</v>
      </c>
      <c r="G5285" s="17">
        <v>84185</v>
      </c>
    </row>
    <row r="5286" spans="1:7">
      <c r="A5286" s="1" t="s">
        <v>15373</v>
      </c>
      <c r="B5286" s="1" t="s">
        <v>15374</v>
      </c>
      <c r="C5286">
        <f>(1-(B7/100))*514.74</f>
        <v>514.74</v>
      </c>
      <c r="D5286" s="1">
        <v>0</v>
      </c>
      <c r="E5286">
        <f>D5286*C5286</f>
        <v>0</v>
      </c>
      <c r="F5286" s="1" t="s">
        <v>15375</v>
      </c>
      <c r="G5286" s="17">
        <v>84188</v>
      </c>
    </row>
    <row r="5287" spans="1:7">
      <c r="A5287" s="1" t="s">
        <v>15376</v>
      </c>
      <c r="B5287" s="1" t="s">
        <v>15377</v>
      </c>
      <c r="C5287">
        <f>(1-(B7/100))*578.76</f>
        <v>578.76</v>
      </c>
      <c r="D5287" s="1">
        <v>0</v>
      </c>
      <c r="E5287">
        <f>D5287*C5287</f>
        <v>0</v>
      </c>
      <c r="F5287" s="1" t="s">
        <v>15378</v>
      </c>
      <c r="G5287" s="17">
        <v>86927</v>
      </c>
    </row>
    <row r="5288" spans="1:7">
      <c r="A5288" s="16"/>
      <c r="B5288" s="16" t="s">
        <v>15379</v>
      </c>
      <c r="C5288" s="16"/>
      <c r="D5288" s="16"/>
      <c r="E5288" s="16"/>
      <c r="F5288" s="16"/>
    </row>
    <row r="5289" spans="1:7">
      <c r="A5289" s="16"/>
      <c r="B5289" s="16" t="s">
        <v>15380</v>
      </c>
      <c r="C5289" s="16"/>
      <c r="D5289" s="16"/>
      <c r="E5289" s="16"/>
      <c r="F5289" s="16"/>
    </row>
    <row r="5290" spans="1:7">
      <c r="A5290" s="1" t="s">
        <v>15381</v>
      </c>
      <c r="B5290" s="1" t="s">
        <v>15382</v>
      </c>
      <c r="C5290">
        <f>(1-(B7/100))*188.47</f>
        <v>188.47</v>
      </c>
      <c r="D5290" s="1">
        <v>0</v>
      </c>
      <c r="E5290">
        <f>D5290*C5290</f>
        <v>0</v>
      </c>
      <c r="F5290" s="1" t="s">
        <v>15383</v>
      </c>
      <c r="G5290" s="17">
        <v>64623</v>
      </c>
    </row>
    <row r="5291" spans="1:7">
      <c r="A5291" s="1" t="s">
        <v>15384</v>
      </c>
      <c r="B5291" s="1" t="s">
        <v>15385</v>
      </c>
      <c r="C5291">
        <f>(1-(B7/100))*180.52</f>
        <v>180.52</v>
      </c>
      <c r="D5291" s="1">
        <v>0</v>
      </c>
      <c r="E5291">
        <f>D5291*C5291</f>
        <v>0</v>
      </c>
      <c r="F5291" s="1" t="s">
        <v>15386</v>
      </c>
      <c r="G5291" s="17">
        <v>64624</v>
      </c>
    </row>
    <row r="5292" spans="1:7">
      <c r="A5292" s="1" t="s">
        <v>15387</v>
      </c>
      <c r="B5292" s="1" t="s">
        <v>15388</v>
      </c>
      <c r="C5292">
        <f>(1-(B7/100))*249</f>
        <v>249</v>
      </c>
      <c r="D5292" s="1">
        <v>0</v>
      </c>
      <c r="E5292">
        <f>D5292*C5292</f>
        <v>0</v>
      </c>
      <c r="F5292" s="1" t="s">
        <v>15389</v>
      </c>
      <c r="G5292" s="17">
        <v>64625</v>
      </c>
    </row>
    <row r="5293" spans="1:7">
      <c r="A5293" s="1" t="s">
        <v>15390</v>
      </c>
      <c r="B5293" s="1" t="s">
        <v>15391</v>
      </c>
      <c r="C5293">
        <f>(1-(B7/100))*181.25</f>
        <v>181.25</v>
      </c>
      <c r="D5293" s="1">
        <v>0</v>
      </c>
      <c r="E5293">
        <f>D5293*C5293</f>
        <v>0</v>
      </c>
      <c r="F5293" s="1" t="s">
        <v>15392</v>
      </c>
      <c r="G5293" s="17">
        <v>64626</v>
      </c>
    </row>
    <row r="5294" spans="1:7">
      <c r="A5294" s="1" t="s">
        <v>15393</v>
      </c>
      <c r="B5294" s="1" t="s">
        <v>15394</v>
      </c>
      <c r="C5294">
        <f>(1-(B7/100))*181.2</f>
        <v>181.2</v>
      </c>
      <c r="D5294" s="1">
        <v>0</v>
      </c>
      <c r="E5294">
        <f>D5294*C5294</f>
        <v>0</v>
      </c>
      <c r="F5294" s="1" t="s">
        <v>15395</v>
      </c>
      <c r="G5294" s="17">
        <v>64627</v>
      </c>
    </row>
    <row r="5295" spans="1:7">
      <c r="A5295" s="1" t="s">
        <v>15396</v>
      </c>
      <c r="B5295" s="1" t="s">
        <v>15397</v>
      </c>
      <c r="C5295">
        <f>(1-(B7/100))*973.06</f>
        <v>973.06</v>
      </c>
      <c r="D5295" s="1">
        <v>0</v>
      </c>
      <c r="E5295">
        <f>D5295*C5295</f>
        <v>0</v>
      </c>
      <c r="F5295" s="1" t="s">
        <v>15398</v>
      </c>
      <c r="G5295" s="17">
        <v>64628</v>
      </c>
    </row>
    <row r="5296" spans="1:7">
      <c r="A5296" s="1" t="s">
        <v>15399</v>
      </c>
      <c r="B5296" s="1" t="s">
        <v>15400</v>
      </c>
      <c r="C5296">
        <f>(1-(B7/100))*675.68</f>
        <v>675.68</v>
      </c>
      <c r="D5296" s="1">
        <v>0</v>
      </c>
      <c r="E5296">
        <f>D5296*C5296</f>
        <v>0</v>
      </c>
      <c r="F5296" s="1" t="s">
        <v>15401</v>
      </c>
      <c r="G5296" s="17">
        <v>64629</v>
      </c>
    </row>
    <row r="5297" spans="1:7">
      <c r="A5297" s="1" t="s">
        <v>15402</v>
      </c>
      <c r="B5297" s="1" t="s">
        <v>15403</v>
      </c>
      <c r="C5297">
        <f>(1-(B7/100))*778.06</f>
        <v>778.06</v>
      </c>
      <c r="D5297" s="1">
        <v>0</v>
      </c>
      <c r="E5297">
        <f>D5297*C5297</f>
        <v>0</v>
      </c>
      <c r="F5297" s="1" t="s">
        <v>15404</v>
      </c>
      <c r="G5297" s="17">
        <v>64630</v>
      </c>
    </row>
    <row r="5298" spans="1:7">
      <c r="A5298" s="1" t="s">
        <v>15405</v>
      </c>
      <c r="B5298" s="1" t="s">
        <v>15406</v>
      </c>
      <c r="C5298">
        <f>(1-(B7/100))*709.47</f>
        <v>709.47</v>
      </c>
      <c r="D5298" s="1">
        <v>0</v>
      </c>
      <c r="E5298">
        <f>D5298*C5298</f>
        <v>0</v>
      </c>
      <c r="F5298" s="1" t="s">
        <v>15407</v>
      </c>
      <c r="G5298" s="17">
        <v>64631</v>
      </c>
    </row>
    <row r="5299" spans="1:7">
      <c r="A5299" s="1" t="s">
        <v>15408</v>
      </c>
      <c r="B5299" s="1" t="s">
        <v>15409</v>
      </c>
      <c r="C5299">
        <f>(1-(B7/100))*641.9</f>
        <v>641.9</v>
      </c>
      <c r="D5299" s="1">
        <v>0</v>
      </c>
      <c r="E5299">
        <f>D5299*C5299</f>
        <v>0</v>
      </c>
      <c r="F5299" s="1" t="s">
        <v>15410</v>
      </c>
      <c r="G5299" s="17">
        <v>64632</v>
      </c>
    </row>
    <row r="5300" spans="1:7">
      <c r="A5300" s="1" t="s">
        <v>15411</v>
      </c>
      <c r="B5300" s="1" t="s">
        <v>15412</v>
      </c>
      <c r="C5300">
        <f>(1-(B7/100))*734.26</f>
        <v>734.26</v>
      </c>
      <c r="D5300" s="1">
        <v>0</v>
      </c>
      <c r="E5300">
        <f>D5300*C5300</f>
        <v>0</v>
      </c>
      <c r="F5300" s="1" t="s">
        <v>15413</v>
      </c>
      <c r="G5300" s="17">
        <v>64633</v>
      </c>
    </row>
    <row r="5301" spans="1:7">
      <c r="A5301" s="1" t="s">
        <v>15414</v>
      </c>
      <c r="B5301" s="1" t="s">
        <v>15415</v>
      </c>
      <c r="C5301">
        <f>(1-(B7/100))*1318.89</f>
        <v>1318.89</v>
      </c>
      <c r="D5301" s="1">
        <v>0</v>
      </c>
      <c r="E5301">
        <f>D5301*C5301</f>
        <v>0</v>
      </c>
      <c r="F5301" s="1" t="s">
        <v>15416</v>
      </c>
      <c r="G5301" s="17">
        <v>64635</v>
      </c>
    </row>
    <row r="5302" spans="1:7">
      <c r="A5302" s="1" t="s">
        <v>15417</v>
      </c>
      <c r="B5302" s="1" t="s">
        <v>15418</v>
      </c>
      <c r="C5302">
        <f>(1-(B7/100))*1397.95</f>
        <v>1397.95</v>
      </c>
      <c r="D5302" s="1">
        <v>0</v>
      </c>
      <c r="E5302">
        <f>D5302*C5302</f>
        <v>0</v>
      </c>
      <c r="F5302" s="1" t="s">
        <v>15419</v>
      </c>
      <c r="G5302" s="17">
        <v>64636</v>
      </c>
    </row>
    <row r="5303" spans="1:7">
      <c r="A5303" s="1" t="s">
        <v>15420</v>
      </c>
      <c r="B5303" s="1" t="s">
        <v>15421</v>
      </c>
      <c r="C5303">
        <f>(1-(B7/100))*1203.94</f>
        <v>1203.94</v>
      </c>
      <c r="D5303" s="1">
        <v>0</v>
      </c>
      <c r="E5303">
        <f>D5303*C5303</f>
        <v>0</v>
      </c>
      <c r="F5303" s="1" t="s">
        <v>15422</v>
      </c>
      <c r="G5303" s="17">
        <v>64637</v>
      </c>
    </row>
    <row r="5304" spans="1:7">
      <c r="A5304" s="1" t="s">
        <v>15423</v>
      </c>
      <c r="B5304" s="1" t="s">
        <v>15424</v>
      </c>
      <c r="C5304">
        <f>(1-(B7/100))*209.56</f>
        <v>209.56</v>
      </c>
      <c r="D5304" s="1">
        <v>0</v>
      </c>
      <c r="E5304">
        <f>D5304*C5304</f>
        <v>0</v>
      </c>
      <c r="F5304" s="1" t="s">
        <v>15425</v>
      </c>
      <c r="G5304" s="17">
        <v>64638</v>
      </c>
    </row>
    <row r="5305" spans="1:7">
      <c r="A5305" s="1" t="s">
        <v>15426</v>
      </c>
      <c r="B5305" s="1" t="s">
        <v>15427</v>
      </c>
      <c r="C5305">
        <f>(1-(B7/100))*563.78</f>
        <v>563.78</v>
      </c>
      <c r="D5305" s="1">
        <v>0</v>
      </c>
      <c r="E5305">
        <f>D5305*C5305</f>
        <v>0</v>
      </c>
      <c r="F5305" s="1" t="s">
        <v>15428</v>
      </c>
      <c r="G5305" s="17">
        <v>64639</v>
      </c>
    </row>
    <row r="5306" spans="1:7">
      <c r="A5306" s="1" t="s">
        <v>15429</v>
      </c>
      <c r="B5306" s="1" t="s">
        <v>15430</v>
      </c>
      <c r="C5306">
        <f>(1-(B7/100))*557.65</f>
        <v>557.65</v>
      </c>
      <c r="D5306" s="1">
        <v>0</v>
      </c>
      <c r="E5306">
        <f>D5306*C5306</f>
        <v>0</v>
      </c>
      <c r="F5306" s="1" t="s">
        <v>15431</v>
      </c>
      <c r="G5306" s="17">
        <v>64640</v>
      </c>
    </row>
    <row r="5307" spans="1:7">
      <c r="A5307" s="1" t="s">
        <v>15432</v>
      </c>
      <c r="B5307" s="1" t="s">
        <v>15433</v>
      </c>
      <c r="C5307">
        <f>(1-(B7/100))*57.08</f>
        <v>57.08</v>
      </c>
      <c r="D5307" s="1">
        <v>0</v>
      </c>
      <c r="E5307">
        <f>D5307*C5307</f>
        <v>0</v>
      </c>
      <c r="F5307" s="1" t="s">
        <v>15434</v>
      </c>
      <c r="G5307" s="17">
        <v>64642</v>
      </c>
    </row>
    <row r="5308" spans="1:7">
      <c r="A5308" s="1" t="s">
        <v>15435</v>
      </c>
      <c r="B5308" s="1" t="s">
        <v>15436</v>
      </c>
      <c r="C5308">
        <f>(1-(B7/100))*59.18</f>
        <v>59.18</v>
      </c>
      <c r="D5308" s="1">
        <v>0</v>
      </c>
      <c r="E5308">
        <f>D5308*C5308</f>
        <v>0</v>
      </c>
      <c r="F5308" s="1" t="s">
        <v>15437</v>
      </c>
      <c r="G5308" s="17">
        <v>64643</v>
      </c>
    </row>
    <row r="5309" spans="1:7">
      <c r="A5309" s="1" t="s">
        <v>15438</v>
      </c>
      <c r="B5309" s="1" t="s">
        <v>15439</v>
      </c>
      <c r="C5309">
        <f>(1-(B7/100))*488.52</f>
        <v>488.52</v>
      </c>
      <c r="D5309" s="1">
        <v>0</v>
      </c>
      <c r="E5309">
        <f>D5309*C5309</f>
        <v>0</v>
      </c>
      <c r="F5309" s="1" t="s">
        <v>15440</v>
      </c>
      <c r="G5309" s="17">
        <v>64644</v>
      </c>
    </row>
    <row r="5310" spans="1:7">
      <c r="A5310" s="1" t="s">
        <v>15441</v>
      </c>
      <c r="B5310" s="1" t="s">
        <v>15442</v>
      </c>
      <c r="C5310">
        <f>(1-(B7/100))*179</f>
        <v>179</v>
      </c>
      <c r="D5310" s="1">
        <v>0</v>
      </c>
      <c r="E5310">
        <f>D5310*C5310</f>
        <v>0</v>
      </c>
      <c r="F5310" s="1" t="s">
        <v>15443</v>
      </c>
      <c r="G5310" s="17">
        <v>64645</v>
      </c>
    </row>
    <row r="5311" spans="1:7">
      <c r="A5311" s="1" t="s">
        <v>15444</v>
      </c>
      <c r="B5311" s="1" t="s">
        <v>15445</v>
      </c>
      <c r="C5311">
        <f>(1-(B7/100))*271.99</f>
        <v>271.99</v>
      </c>
      <c r="D5311" s="1">
        <v>0</v>
      </c>
      <c r="E5311">
        <f>D5311*C5311</f>
        <v>0</v>
      </c>
      <c r="F5311" s="1" t="s">
        <v>15446</v>
      </c>
      <c r="G5311" s="17">
        <v>64646</v>
      </c>
    </row>
    <row r="5312" spans="1:7">
      <c r="A5312" s="1" t="s">
        <v>15447</v>
      </c>
      <c r="B5312" s="1" t="s">
        <v>15448</v>
      </c>
      <c r="C5312">
        <f>(1-(B7/100))*236.92</f>
        <v>236.92</v>
      </c>
      <c r="D5312" s="1">
        <v>0</v>
      </c>
      <c r="E5312">
        <f>D5312*C5312</f>
        <v>0</v>
      </c>
      <c r="F5312" s="1" t="s">
        <v>15449</v>
      </c>
      <c r="G5312" s="17">
        <v>64647</v>
      </c>
    </row>
    <row r="5313" spans="1:7">
      <c r="A5313" s="1" t="s">
        <v>15450</v>
      </c>
      <c r="B5313" s="1" t="s">
        <v>15451</v>
      </c>
      <c r="C5313">
        <f>(1-(B7/100))*48.82</f>
        <v>48.82</v>
      </c>
      <c r="D5313" s="1">
        <v>0</v>
      </c>
      <c r="E5313">
        <f>D5313*C5313</f>
        <v>0</v>
      </c>
      <c r="F5313" s="1" t="s">
        <v>15452</v>
      </c>
      <c r="G5313" s="17">
        <v>64648</v>
      </c>
    </row>
    <row r="5314" spans="1:7">
      <c r="A5314" s="1" t="s">
        <v>15453</v>
      </c>
      <c r="B5314" s="1" t="s">
        <v>15454</v>
      </c>
      <c r="C5314">
        <f>(1-(B7/100))*750.39</f>
        <v>750.39</v>
      </c>
      <c r="D5314" s="1">
        <v>0</v>
      </c>
      <c r="E5314">
        <f>D5314*C5314</f>
        <v>0</v>
      </c>
      <c r="F5314" s="1" t="s">
        <v>15455</v>
      </c>
      <c r="G5314" s="17">
        <v>64649</v>
      </c>
    </row>
    <row r="5315" spans="1:7">
      <c r="A5315" s="1" t="s">
        <v>15456</v>
      </c>
      <c r="B5315" s="1" t="s">
        <v>15457</v>
      </c>
      <c r="C5315">
        <f>(1-(B7/100))*375.19</f>
        <v>375.19</v>
      </c>
      <c r="D5315" s="1">
        <v>0</v>
      </c>
      <c r="E5315">
        <f>D5315*C5315</f>
        <v>0</v>
      </c>
      <c r="F5315" s="1" t="s">
        <v>15458</v>
      </c>
      <c r="G5315" s="17">
        <v>64650</v>
      </c>
    </row>
    <row r="5316" spans="1:7">
      <c r="A5316" s="1" t="s">
        <v>15459</v>
      </c>
      <c r="B5316" s="1" t="s">
        <v>15460</v>
      </c>
      <c r="C5316">
        <f>(1-(B7/100))*71.27</f>
        <v>71.27</v>
      </c>
      <c r="D5316" s="1">
        <v>0</v>
      </c>
      <c r="E5316">
        <f>D5316*C5316</f>
        <v>0</v>
      </c>
      <c r="F5316" s="1" t="s">
        <v>15461</v>
      </c>
      <c r="G5316" s="17">
        <v>64651</v>
      </c>
    </row>
    <row r="5317" spans="1:7">
      <c r="A5317" s="1" t="s">
        <v>15462</v>
      </c>
      <c r="B5317" s="1" t="s">
        <v>15463</v>
      </c>
      <c r="C5317">
        <f>(1-(B7/100))*233.77</f>
        <v>233.77</v>
      </c>
      <c r="D5317" s="1">
        <v>0</v>
      </c>
      <c r="E5317">
        <f>D5317*C5317</f>
        <v>0</v>
      </c>
      <c r="F5317" s="1" t="s">
        <v>15464</v>
      </c>
      <c r="G5317" s="17">
        <v>64653</v>
      </c>
    </row>
    <row r="5318" spans="1:7">
      <c r="A5318" s="1" t="s">
        <v>15465</v>
      </c>
      <c r="B5318" s="1" t="s">
        <v>15466</v>
      </c>
      <c r="C5318">
        <f>(1-(B7/100))*1508.23</f>
        <v>1508.23</v>
      </c>
      <c r="D5318" s="1">
        <v>0</v>
      </c>
      <c r="E5318">
        <f>D5318*C5318</f>
        <v>0</v>
      </c>
      <c r="F5318" s="1" t="s">
        <v>15467</v>
      </c>
      <c r="G5318" s="17">
        <v>64654</v>
      </c>
    </row>
    <row r="5319" spans="1:7">
      <c r="A5319" s="1" t="s">
        <v>15468</v>
      </c>
      <c r="B5319" s="1" t="s">
        <v>15469</v>
      </c>
      <c r="C5319">
        <f>(1-(B7/100))*1931.71</f>
        <v>1931.71</v>
      </c>
      <c r="D5319" s="1">
        <v>0</v>
      </c>
      <c r="E5319">
        <f>D5319*C5319</f>
        <v>0</v>
      </c>
      <c r="F5319" s="1" t="s">
        <v>15470</v>
      </c>
      <c r="G5319" s="17">
        <v>64661</v>
      </c>
    </row>
    <row r="5320" spans="1:7">
      <c r="A5320" s="1" t="s">
        <v>15471</v>
      </c>
      <c r="B5320" s="1" t="s">
        <v>15472</v>
      </c>
      <c r="C5320">
        <f>(1-(B7/100))*255.04</f>
        <v>255.04</v>
      </c>
      <c r="D5320" s="1">
        <v>0</v>
      </c>
      <c r="E5320">
        <f>D5320*C5320</f>
        <v>0</v>
      </c>
      <c r="F5320" s="1" t="s">
        <v>15473</v>
      </c>
      <c r="G5320" s="17">
        <v>64664</v>
      </c>
    </row>
    <row r="5321" spans="1:7">
      <c r="A5321" s="1" t="s">
        <v>15474</v>
      </c>
      <c r="B5321" s="1" t="s">
        <v>15475</v>
      </c>
      <c r="C5321">
        <f>(1-(B7/100))*255.04</f>
        <v>255.04</v>
      </c>
      <c r="D5321" s="1">
        <v>0</v>
      </c>
      <c r="E5321">
        <f>D5321*C5321</f>
        <v>0</v>
      </c>
      <c r="F5321" s="1" t="s">
        <v>15476</v>
      </c>
      <c r="G5321" s="17">
        <v>64665</v>
      </c>
    </row>
    <row r="5322" spans="1:7">
      <c r="A5322" s="1" t="s">
        <v>15477</v>
      </c>
      <c r="B5322" s="1" t="s">
        <v>15478</v>
      </c>
      <c r="C5322">
        <f>(1-(B7/100))*317.21</f>
        <v>317.21</v>
      </c>
      <c r="D5322" s="1">
        <v>0</v>
      </c>
      <c r="E5322">
        <f>D5322*C5322</f>
        <v>0</v>
      </c>
      <c r="F5322" s="1" t="s">
        <v>15479</v>
      </c>
      <c r="G5322" s="17">
        <v>64666</v>
      </c>
    </row>
    <row r="5323" spans="1:7">
      <c r="A5323" s="1" t="s">
        <v>15480</v>
      </c>
      <c r="B5323" s="1" t="s">
        <v>15481</v>
      </c>
      <c r="C5323">
        <f>(1-(B7/100))*348.48</f>
        <v>348.48</v>
      </c>
      <c r="D5323" s="1">
        <v>0</v>
      </c>
      <c r="E5323">
        <f>D5323*C5323</f>
        <v>0</v>
      </c>
      <c r="F5323" s="1" t="s">
        <v>15482</v>
      </c>
      <c r="G5323" s="17">
        <v>64667</v>
      </c>
    </row>
    <row r="5324" spans="1:7">
      <c r="A5324" s="1" t="s">
        <v>15483</v>
      </c>
      <c r="B5324" s="1" t="s">
        <v>15484</v>
      </c>
      <c r="C5324">
        <f>(1-(B7/100))*56.45</f>
        <v>56.45</v>
      </c>
      <c r="D5324" s="1">
        <v>0</v>
      </c>
      <c r="E5324">
        <f>D5324*C5324</f>
        <v>0</v>
      </c>
      <c r="F5324" s="1" t="s">
        <v>15485</v>
      </c>
      <c r="G5324" s="17">
        <v>64669</v>
      </c>
    </row>
    <row r="5325" spans="1:7">
      <c r="A5325" s="1" t="s">
        <v>15486</v>
      </c>
      <c r="B5325" s="1" t="s">
        <v>15487</v>
      </c>
      <c r="C5325">
        <f>(1-(B7/100))*326.25</f>
        <v>326.25</v>
      </c>
      <c r="D5325" s="1">
        <v>0</v>
      </c>
      <c r="E5325">
        <f>D5325*C5325</f>
        <v>0</v>
      </c>
      <c r="F5325" s="1" t="s">
        <v>15488</v>
      </c>
      <c r="G5325" s="17">
        <v>64672</v>
      </c>
    </row>
    <row r="5326" spans="1:7">
      <c r="A5326" s="1" t="s">
        <v>15489</v>
      </c>
      <c r="B5326" s="1" t="s">
        <v>15490</v>
      </c>
      <c r="C5326">
        <f>(1-(B7/100))*116.08</f>
        <v>116.08</v>
      </c>
      <c r="D5326" s="1">
        <v>0</v>
      </c>
      <c r="E5326">
        <f>D5326*C5326</f>
        <v>0</v>
      </c>
      <c r="F5326" s="1" t="s">
        <v>15491</v>
      </c>
      <c r="G5326" s="17">
        <v>64674</v>
      </c>
    </row>
    <row r="5327" spans="1:7">
      <c r="A5327" s="1" t="s">
        <v>15492</v>
      </c>
      <c r="B5327" s="1" t="s">
        <v>15493</v>
      </c>
      <c r="C5327">
        <f>(1-(B7/100))*61.65</f>
        <v>61.65</v>
      </c>
      <c r="D5327" s="1">
        <v>0</v>
      </c>
      <c r="E5327">
        <f>D5327*C5327</f>
        <v>0</v>
      </c>
      <c r="F5327" s="1" t="s">
        <v>15494</v>
      </c>
      <c r="G5327" s="17">
        <v>64675</v>
      </c>
    </row>
    <row r="5328" spans="1:7">
      <c r="A5328" s="1" t="s">
        <v>15495</v>
      </c>
      <c r="B5328" s="1" t="s">
        <v>15496</v>
      </c>
      <c r="C5328">
        <f>(1-(B7/100))*107</f>
        <v>107</v>
      </c>
      <c r="D5328" s="1">
        <v>0</v>
      </c>
      <c r="E5328">
        <f>D5328*C5328</f>
        <v>0</v>
      </c>
      <c r="F5328" s="1" t="s">
        <v>15497</v>
      </c>
      <c r="G5328" s="17">
        <v>64676</v>
      </c>
    </row>
    <row r="5329" spans="1:7">
      <c r="A5329" s="1" t="s">
        <v>15498</v>
      </c>
      <c r="B5329" s="1" t="s">
        <v>15499</v>
      </c>
      <c r="C5329">
        <f>(1-(B7/100))*107.71</f>
        <v>107.71</v>
      </c>
      <c r="D5329" s="1">
        <v>0</v>
      </c>
      <c r="E5329">
        <f>D5329*C5329</f>
        <v>0</v>
      </c>
      <c r="F5329" s="1" t="s">
        <v>15500</v>
      </c>
      <c r="G5329" s="17">
        <v>64679</v>
      </c>
    </row>
    <row r="5330" spans="1:7">
      <c r="A5330" s="1" t="s">
        <v>15501</v>
      </c>
      <c r="B5330" s="1" t="s">
        <v>15502</v>
      </c>
      <c r="C5330">
        <f>(1-(B7/100))*166.03</f>
        <v>166.03</v>
      </c>
      <c r="D5330" s="1">
        <v>0</v>
      </c>
      <c r="E5330">
        <f>D5330*C5330</f>
        <v>0</v>
      </c>
      <c r="F5330" s="1" t="s">
        <v>15503</v>
      </c>
      <c r="G5330" s="17">
        <v>64680</v>
      </c>
    </row>
    <row r="5331" spans="1:7">
      <c r="A5331" s="1" t="s">
        <v>15504</v>
      </c>
      <c r="B5331" s="1" t="s">
        <v>15505</v>
      </c>
      <c r="C5331">
        <f>(1-(B7/100))*148.15</f>
        <v>148.15</v>
      </c>
      <c r="D5331" s="1">
        <v>0</v>
      </c>
      <c r="E5331">
        <f>D5331*C5331</f>
        <v>0</v>
      </c>
      <c r="F5331" s="1" t="s">
        <v>15506</v>
      </c>
      <c r="G5331" s="17">
        <v>64682</v>
      </c>
    </row>
    <row r="5332" spans="1:7">
      <c r="A5332" s="1" t="s">
        <v>15507</v>
      </c>
      <c r="B5332" s="1" t="s">
        <v>15508</v>
      </c>
      <c r="C5332">
        <f>(1-(B7/100))*381.73</f>
        <v>381.73</v>
      </c>
      <c r="D5332" s="1">
        <v>0</v>
      </c>
      <c r="E5332">
        <f>D5332*C5332</f>
        <v>0</v>
      </c>
      <c r="F5332" s="1" t="s">
        <v>15509</v>
      </c>
      <c r="G5332" s="17">
        <v>64684</v>
      </c>
    </row>
    <row r="5333" spans="1:7">
      <c r="A5333" s="1" t="s">
        <v>15510</v>
      </c>
      <c r="B5333" s="1" t="s">
        <v>15511</v>
      </c>
      <c r="C5333">
        <f>(1-(B7/100))*291.85</f>
        <v>291.85</v>
      </c>
      <c r="D5333" s="1">
        <v>0</v>
      </c>
      <c r="E5333">
        <f>D5333*C5333</f>
        <v>0</v>
      </c>
      <c r="F5333" s="1" t="s">
        <v>15512</v>
      </c>
      <c r="G5333" s="17">
        <v>64689</v>
      </c>
    </row>
    <row r="5334" spans="1:7">
      <c r="A5334" s="1" t="s">
        <v>15513</v>
      </c>
      <c r="B5334" s="1" t="s">
        <v>15514</v>
      </c>
      <c r="C5334">
        <f>(1-(B7/100))*291.12</f>
        <v>291.12</v>
      </c>
      <c r="D5334" s="1">
        <v>0</v>
      </c>
      <c r="E5334">
        <f>D5334*C5334</f>
        <v>0</v>
      </c>
      <c r="F5334" s="1" t="s">
        <v>15515</v>
      </c>
      <c r="G5334" s="17">
        <v>64690</v>
      </c>
    </row>
    <row r="5335" spans="1:7">
      <c r="A5335" s="1" t="s">
        <v>15516</v>
      </c>
      <c r="B5335" s="1" t="s">
        <v>15517</v>
      </c>
      <c r="C5335">
        <f>(1-(B7/100))*301.3</f>
        <v>301.3</v>
      </c>
      <c r="D5335" s="1">
        <v>0</v>
      </c>
      <c r="E5335">
        <f>D5335*C5335</f>
        <v>0</v>
      </c>
      <c r="F5335" s="1" t="s">
        <v>15518</v>
      </c>
      <c r="G5335" s="17">
        <v>64691</v>
      </c>
    </row>
    <row r="5336" spans="1:7">
      <c r="A5336" s="1" t="s">
        <v>15519</v>
      </c>
      <c r="B5336" s="1" t="s">
        <v>15520</v>
      </c>
      <c r="C5336">
        <f>(1-(B7/100))*1342.22</f>
        <v>1342.22</v>
      </c>
      <c r="D5336" s="1">
        <v>0</v>
      </c>
      <c r="E5336">
        <f>D5336*C5336</f>
        <v>0</v>
      </c>
      <c r="F5336" s="1" t="s">
        <v>15521</v>
      </c>
      <c r="G5336" s="17">
        <v>64693</v>
      </c>
    </row>
    <row r="5337" spans="1:7">
      <c r="A5337" s="1" t="s">
        <v>15522</v>
      </c>
      <c r="B5337" s="1" t="s">
        <v>15523</v>
      </c>
      <c r="C5337">
        <f>(1-(B7/100))*528.92</f>
        <v>528.92</v>
      </c>
      <c r="D5337" s="1">
        <v>0</v>
      </c>
      <c r="E5337">
        <f>D5337*C5337</f>
        <v>0</v>
      </c>
      <c r="F5337" s="1" t="s">
        <v>15524</v>
      </c>
      <c r="G5337" s="17">
        <v>64694</v>
      </c>
    </row>
    <row r="5338" spans="1:7">
      <c r="A5338" s="1" t="s">
        <v>15525</v>
      </c>
      <c r="B5338" s="1" t="s">
        <v>15526</v>
      </c>
      <c r="C5338">
        <f>(1-(B7/100))*386.18</f>
        <v>386.18</v>
      </c>
      <c r="D5338" s="1">
        <v>0</v>
      </c>
      <c r="E5338">
        <f>D5338*C5338</f>
        <v>0</v>
      </c>
      <c r="F5338" s="1" t="s">
        <v>15527</v>
      </c>
      <c r="G5338" s="17">
        <v>64695</v>
      </c>
    </row>
    <row r="5339" spans="1:7">
      <c r="A5339" s="1" t="s">
        <v>15528</v>
      </c>
      <c r="B5339" s="1" t="s">
        <v>15529</v>
      </c>
      <c r="C5339">
        <f>(1-(B7/100))*1249.33</f>
        <v>1249.33</v>
      </c>
      <c r="D5339" s="1">
        <v>0</v>
      </c>
      <c r="E5339">
        <f>D5339*C5339</f>
        <v>0</v>
      </c>
      <c r="F5339" s="1" t="s">
        <v>15530</v>
      </c>
      <c r="G5339" s="17">
        <v>64696</v>
      </c>
    </row>
    <row r="5340" spans="1:7">
      <c r="A5340" s="1" t="s">
        <v>15531</v>
      </c>
      <c r="B5340" s="1" t="s">
        <v>15532</v>
      </c>
      <c r="C5340">
        <f>(1-(B7/100))*60.96</f>
        <v>60.96</v>
      </c>
      <c r="D5340" s="1">
        <v>0</v>
      </c>
      <c r="E5340">
        <f>D5340*C5340</f>
        <v>0</v>
      </c>
      <c r="F5340" s="1" t="s">
        <v>15533</v>
      </c>
      <c r="G5340" s="17">
        <v>64698</v>
      </c>
    </row>
    <row r="5341" spans="1:7">
      <c r="A5341" s="1" t="s">
        <v>15534</v>
      </c>
      <c r="B5341" s="1" t="s">
        <v>15535</v>
      </c>
      <c r="C5341">
        <f>(1-(B7/100))*48.97</f>
        <v>48.97</v>
      </c>
      <c r="D5341" s="1">
        <v>0</v>
      </c>
      <c r="E5341">
        <f>D5341*C5341</f>
        <v>0</v>
      </c>
      <c r="F5341" s="1" t="s">
        <v>15536</v>
      </c>
      <c r="G5341" s="17">
        <v>64699</v>
      </c>
    </row>
    <row r="5342" spans="1:7">
      <c r="A5342" s="1" t="s">
        <v>15537</v>
      </c>
      <c r="B5342" s="1" t="s">
        <v>15538</v>
      </c>
      <c r="C5342">
        <f>(1-(B7/100))*110.85</f>
        <v>110.85</v>
      </c>
      <c r="D5342" s="1">
        <v>0</v>
      </c>
      <c r="E5342">
        <f>D5342*C5342</f>
        <v>0</v>
      </c>
      <c r="F5342" s="1" t="s">
        <v>15539</v>
      </c>
      <c r="G5342" s="17">
        <v>64700</v>
      </c>
    </row>
    <row r="5343" spans="1:7">
      <c r="A5343" s="1" t="s">
        <v>15540</v>
      </c>
      <c r="B5343" s="1" t="s">
        <v>15541</v>
      </c>
      <c r="C5343">
        <f>(1-(B7/100))*70.56</f>
        <v>70.56</v>
      </c>
      <c r="D5343" s="1">
        <v>0</v>
      </c>
      <c r="E5343">
        <f>D5343*C5343</f>
        <v>0</v>
      </c>
      <c r="F5343" s="1" t="s">
        <v>15542</v>
      </c>
      <c r="G5343" s="17">
        <v>64701</v>
      </c>
    </row>
    <row r="5344" spans="1:7">
      <c r="A5344" s="1" t="s">
        <v>15543</v>
      </c>
      <c r="B5344" s="1" t="s">
        <v>15544</v>
      </c>
      <c r="C5344">
        <f>(1-(B7/100))*54.97</f>
        <v>54.97</v>
      </c>
      <c r="D5344" s="1">
        <v>0</v>
      </c>
      <c r="E5344">
        <f>D5344*C5344</f>
        <v>0</v>
      </c>
      <c r="F5344" s="1" t="s">
        <v>15545</v>
      </c>
      <c r="G5344" s="17">
        <v>64702</v>
      </c>
    </row>
    <row r="5345" spans="1:7">
      <c r="A5345" s="1" t="s">
        <v>15546</v>
      </c>
      <c r="B5345" s="1" t="s">
        <v>15547</v>
      </c>
      <c r="C5345">
        <f>(1-(B7/100))*376.46</f>
        <v>376.46</v>
      </c>
      <c r="D5345" s="1">
        <v>0</v>
      </c>
      <c r="E5345">
        <f>D5345*C5345</f>
        <v>0</v>
      </c>
      <c r="F5345" s="1" t="s">
        <v>15548</v>
      </c>
      <c r="G5345" s="17">
        <v>64704</v>
      </c>
    </row>
    <row r="5346" spans="1:7">
      <c r="A5346" s="1" t="s">
        <v>15549</v>
      </c>
      <c r="B5346" s="1" t="s">
        <v>15550</v>
      </c>
      <c r="C5346">
        <f>(1-(B7/100))*145.35</f>
        <v>145.35</v>
      </c>
      <c r="D5346" s="1">
        <v>0</v>
      </c>
      <c r="E5346">
        <f>D5346*C5346</f>
        <v>0</v>
      </c>
      <c r="F5346" s="1" t="s">
        <v>15551</v>
      </c>
      <c r="G5346" s="17">
        <v>64705</v>
      </c>
    </row>
    <row r="5347" spans="1:7">
      <c r="A5347" s="1" t="s">
        <v>15552</v>
      </c>
      <c r="B5347" s="1" t="s">
        <v>15553</v>
      </c>
      <c r="C5347">
        <f>(1-(B7/100))*139.77</f>
        <v>139.77</v>
      </c>
      <c r="D5347" s="1">
        <v>0</v>
      </c>
      <c r="E5347">
        <f>D5347*C5347</f>
        <v>0</v>
      </c>
      <c r="F5347" s="1" t="s">
        <v>15554</v>
      </c>
      <c r="G5347" s="17">
        <v>64706</v>
      </c>
    </row>
    <row r="5348" spans="1:7">
      <c r="A5348" s="1" t="s">
        <v>15555</v>
      </c>
      <c r="B5348" s="1" t="s">
        <v>15556</v>
      </c>
      <c r="C5348">
        <f>(1-(B7/100))*33.02</f>
        <v>33.02</v>
      </c>
      <c r="D5348" s="1">
        <v>0</v>
      </c>
      <c r="E5348">
        <f>D5348*C5348</f>
        <v>0</v>
      </c>
      <c r="F5348" s="1" t="s">
        <v>15557</v>
      </c>
      <c r="G5348" s="17">
        <v>64709</v>
      </c>
    </row>
    <row r="5349" spans="1:7">
      <c r="A5349" s="1" t="s">
        <v>15558</v>
      </c>
      <c r="B5349" s="1" t="s">
        <v>15559</v>
      </c>
      <c r="C5349">
        <f>(1-(B7/100))*69.18</f>
        <v>69.18</v>
      </c>
      <c r="D5349" s="1">
        <v>0</v>
      </c>
      <c r="E5349">
        <f>D5349*C5349</f>
        <v>0</v>
      </c>
      <c r="F5349" s="1" t="s">
        <v>15560</v>
      </c>
      <c r="G5349" s="17">
        <v>64711</v>
      </c>
    </row>
    <row r="5350" spans="1:7">
      <c r="A5350" s="1" t="s">
        <v>15561</v>
      </c>
      <c r="B5350" s="1" t="s">
        <v>15562</v>
      </c>
      <c r="C5350">
        <f>(1-(B7/100))*667.35</f>
        <v>667.35</v>
      </c>
      <c r="D5350" s="1">
        <v>0</v>
      </c>
      <c r="E5350">
        <f>D5350*C5350</f>
        <v>0</v>
      </c>
      <c r="F5350" s="1" t="s">
        <v>15563</v>
      </c>
      <c r="G5350" s="17">
        <v>64712</v>
      </c>
    </row>
    <row r="5351" spans="1:7">
      <c r="A5351" s="1" t="s">
        <v>15564</v>
      </c>
      <c r="B5351" s="1" t="s">
        <v>15565</v>
      </c>
      <c r="C5351">
        <f>(1-(B7/100))*211.43</f>
        <v>211.43</v>
      </c>
      <c r="D5351" s="1">
        <v>0</v>
      </c>
      <c r="E5351">
        <f>D5351*C5351</f>
        <v>0</v>
      </c>
      <c r="F5351" s="1" t="s">
        <v>15566</v>
      </c>
      <c r="G5351" s="17">
        <v>64715</v>
      </c>
    </row>
    <row r="5352" spans="1:7">
      <c r="A5352" s="1" t="s">
        <v>15567</v>
      </c>
      <c r="B5352" s="1" t="s">
        <v>15568</v>
      </c>
      <c r="C5352">
        <f>(1-(B7/100))*292.8</f>
        <v>292.8</v>
      </c>
      <c r="D5352" s="1">
        <v>0</v>
      </c>
      <c r="E5352">
        <f>D5352*C5352</f>
        <v>0</v>
      </c>
      <c r="F5352" s="1" t="s">
        <v>15569</v>
      </c>
      <c r="G5352" s="17">
        <v>64716</v>
      </c>
    </row>
    <row r="5353" spans="1:7">
      <c r="A5353" s="1" t="s">
        <v>15570</v>
      </c>
      <c r="B5353" s="1" t="s">
        <v>15571</v>
      </c>
      <c r="C5353">
        <f>(1-(B7/100))*71.97</f>
        <v>71.97</v>
      </c>
      <c r="D5353" s="1">
        <v>0</v>
      </c>
      <c r="E5353">
        <f>D5353*C5353</f>
        <v>0</v>
      </c>
      <c r="F5353" s="1" t="s">
        <v>15572</v>
      </c>
      <c r="G5353" s="17">
        <v>64717</v>
      </c>
    </row>
    <row r="5354" spans="1:7">
      <c r="A5354" s="1" t="s">
        <v>15573</v>
      </c>
      <c r="B5354" s="1" t="s">
        <v>15574</v>
      </c>
      <c r="C5354">
        <f>(1-(B7/100))*623.65</f>
        <v>623.65</v>
      </c>
      <c r="D5354" s="1">
        <v>0</v>
      </c>
      <c r="E5354">
        <f>D5354*C5354</f>
        <v>0</v>
      </c>
      <c r="F5354" s="1" t="s">
        <v>15575</v>
      </c>
      <c r="G5354" s="17">
        <v>64718</v>
      </c>
    </row>
    <row r="5355" spans="1:7">
      <c r="A5355" s="1" t="s">
        <v>15576</v>
      </c>
      <c r="B5355" s="1" t="s">
        <v>15577</v>
      </c>
      <c r="C5355">
        <f>(1-(B7/100))*830.99</f>
        <v>830.99</v>
      </c>
      <c r="D5355" s="1">
        <v>0</v>
      </c>
      <c r="E5355">
        <f>D5355*C5355</f>
        <v>0</v>
      </c>
      <c r="F5355" s="1" t="s">
        <v>15578</v>
      </c>
      <c r="G5355" s="17">
        <v>64719</v>
      </c>
    </row>
    <row r="5356" spans="1:7">
      <c r="A5356" s="1" t="s">
        <v>15579</v>
      </c>
      <c r="B5356" s="1" t="s">
        <v>15580</v>
      </c>
      <c r="C5356">
        <f>(1-(B7/100))*52.03</f>
        <v>52.03</v>
      </c>
      <c r="D5356" s="1">
        <v>0</v>
      </c>
      <c r="E5356">
        <f>D5356*C5356</f>
        <v>0</v>
      </c>
      <c r="F5356" s="1" t="s">
        <v>15581</v>
      </c>
      <c r="G5356" s="17">
        <v>64721</v>
      </c>
    </row>
    <row r="5357" spans="1:7">
      <c r="A5357" s="1" t="s">
        <v>15582</v>
      </c>
      <c r="B5357" s="1" t="s">
        <v>15583</v>
      </c>
      <c r="C5357">
        <f>(1-(B7/100))*37.46</f>
        <v>37.46</v>
      </c>
      <c r="D5357" s="1">
        <v>0</v>
      </c>
      <c r="E5357">
        <f>D5357*C5357</f>
        <v>0</v>
      </c>
      <c r="F5357" s="1" t="s">
        <v>15584</v>
      </c>
      <c r="G5357" s="17">
        <v>64723</v>
      </c>
    </row>
    <row r="5358" spans="1:7">
      <c r="A5358" s="1" t="s">
        <v>15585</v>
      </c>
      <c r="B5358" s="1" t="s">
        <v>15586</v>
      </c>
      <c r="C5358">
        <f>(1-(B7/100))*78.36</f>
        <v>78.36</v>
      </c>
      <c r="D5358" s="1">
        <v>0</v>
      </c>
      <c r="E5358">
        <f>D5358*C5358</f>
        <v>0</v>
      </c>
      <c r="F5358" s="1" t="s">
        <v>15587</v>
      </c>
      <c r="G5358" s="17">
        <v>64725</v>
      </c>
    </row>
    <row r="5359" spans="1:7">
      <c r="A5359" s="1" t="s">
        <v>15588</v>
      </c>
      <c r="B5359" s="1" t="s">
        <v>15589</v>
      </c>
      <c r="C5359">
        <f>(1-(B7/100))*71.27</f>
        <v>71.27</v>
      </c>
      <c r="D5359" s="1">
        <v>0</v>
      </c>
      <c r="E5359">
        <f>D5359*C5359</f>
        <v>0</v>
      </c>
      <c r="F5359" s="1" t="s">
        <v>15590</v>
      </c>
      <c r="G5359" s="17">
        <v>64726</v>
      </c>
    </row>
    <row r="5360" spans="1:7">
      <c r="A5360" s="1" t="s">
        <v>15591</v>
      </c>
      <c r="B5360" s="1" t="s">
        <v>15592</v>
      </c>
      <c r="C5360">
        <f>(1-(B7/100))*71.27</f>
        <v>71.27</v>
      </c>
      <c r="D5360" s="1">
        <v>0</v>
      </c>
      <c r="E5360">
        <f>D5360*C5360</f>
        <v>0</v>
      </c>
      <c r="F5360" s="1" t="s">
        <v>15593</v>
      </c>
      <c r="G5360" s="17">
        <v>64727</v>
      </c>
    </row>
    <row r="5361" spans="1:7">
      <c r="A5361" s="1" t="s">
        <v>15594</v>
      </c>
      <c r="B5361" s="1" t="s">
        <v>15595</v>
      </c>
      <c r="C5361">
        <f>(1-(B7/100))*72.66</f>
        <v>72.66</v>
      </c>
      <c r="D5361" s="1">
        <v>0</v>
      </c>
      <c r="E5361">
        <f>D5361*C5361</f>
        <v>0</v>
      </c>
      <c r="F5361" s="1" t="s">
        <v>15596</v>
      </c>
      <c r="G5361" s="17">
        <v>64728</v>
      </c>
    </row>
    <row r="5362" spans="1:7">
      <c r="A5362" s="1" t="s">
        <v>15597</v>
      </c>
      <c r="B5362" s="1" t="s">
        <v>15598</v>
      </c>
      <c r="C5362">
        <f>(1-(B7/100))*72.66</f>
        <v>72.66</v>
      </c>
      <c r="D5362" s="1">
        <v>0</v>
      </c>
      <c r="E5362">
        <f>D5362*C5362</f>
        <v>0</v>
      </c>
      <c r="F5362" s="1" t="s">
        <v>15599</v>
      </c>
      <c r="G5362" s="17">
        <v>64729</v>
      </c>
    </row>
    <row r="5363" spans="1:7">
      <c r="A5363" s="1" t="s">
        <v>15600</v>
      </c>
      <c r="B5363" s="1" t="s">
        <v>15601</v>
      </c>
      <c r="C5363">
        <f>(1-(B7/100))*6740.23</f>
        <v>6740.23</v>
      </c>
      <c r="D5363" s="1">
        <v>0</v>
      </c>
      <c r="E5363">
        <f>D5363*C5363</f>
        <v>0</v>
      </c>
      <c r="F5363" s="1" t="s">
        <v>15602</v>
      </c>
      <c r="G5363" s="17">
        <v>64732</v>
      </c>
    </row>
    <row r="5364" spans="1:7">
      <c r="A5364" s="1" t="s">
        <v>15603</v>
      </c>
      <c r="B5364" s="1" t="s">
        <v>15604</v>
      </c>
      <c r="C5364">
        <f>(1-(B7/100))*1625.11</f>
        <v>1625.11</v>
      </c>
      <c r="D5364" s="1">
        <v>0</v>
      </c>
      <c r="E5364">
        <f>D5364*C5364</f>
        <v>0</v>
      </c>
      <c r="F5364" s="1" t="s">
        <v>15605</v>
      </c>
      <c r="G5364" s="17">
        <v>64733</v>
      </c>
    </row>
    <row r="5365" spans="1:7">
      <c r="A5365" s="1" t="s">
        <v>15606</v>
      </c>
      <c r="B5365" s="1" t="s">
        <v>15607</v>
      </c>
      <c r="C5365">
        <f>(1-(B7/100))*1478.96</f>
        <v>1478.96</v>
      </c>
      <c r="D5365" s="1">
        <v>0</v>
      </c>
      <c r="E5365">
        <f>D5365*C5365</f>
        <v>0</v>
      </c>
      <c r="F5365" s="1" t="s">
        <v>15608</v>
      </c>
      <c r="G5365" s="17">
        <v>64736</v>
      </c>
    </row>
    <row r="5366" spans="1:7">
      <c r="A5366" s="1" t="s">
        <v>15609</v>
      </c>
      <c r="B5366" s="1" t="s">
        <v>15610</v>
      </c>
      <c r="C5366">
        <f>(1-(B7/100))*152.33</f>
        <v>152.33</v>
      </c>
      <c r="D5366" s="1">
        <v>0</v>
      </c>
      <c r="E5366">
        <f>D5366*C5366</f>
        <v>0</v>
      </c>
      <c r="F5366" s="1" t="s">
        <v>15611</v>
      </c>
      <c r="G5366" s="17">
        <v>72306</v>
      </c>
    </row>
    <row r="5367" spans="1:7">
      <c r="A5367" s="1" t="s">
        <v>15612</v>
      </c>
      <c r="B5367" s="1" t="s">
        <v>15613</v>
      </c>
      <c r="C5367">
        <f>(1-(B7/100))*324.29</f>
        <v>324.29</v>
      </c>
      <c r="D5367" s="1">
        <v>0</v>
      </c>
      <c r="E5367">
        <f>D5367*C5367</f>
        <v>0</v>
      </c>
      <c r="F5367" s="1" t="s">
        <v>15614</v>
      </c>
      <c r="G5367" s="17">
        <v>72484</v>
      </c>
    </row>
    <row r="5368" spans="1:7">
      <c r="A5368" s="16"/>
      <c r="B5368" s="16" t="s">
        <v>6058</v>
      </c>
      <c r="C5368" s="16"/>
      <c r="D5368" s="16"/>
      <c r="E5368" s="16"/>
      <c r="F5368" s="16"/>
    </row>
    <row r="5369" spans="1:7">
      <c r="A5369" s="1" t="s">
        <v>15615</v>
      </c>
      <c r="B5369" s="1" t="s">
        <v>15616</v>
      </c>
      <c r="C5369">
        <f>(1-(B7/100))*276.44</f>
        <v>276.44</v>
      </c>
      <c r="D5369" s="1">
        <v>0</v>
      </c>
      <c r="E5369">
        <f>D5369*C5369</f>
        <v>0</v>
      </c>
      <c r="F5369" s="1" t="s">
        <v>15617</v>
      </c>
      <c r="G5369" s="17">
        <v>68953</v>
      </c>
    </row>
    <row r="5370" spans="1:7">
      <c r="A5370" s="1" t="s">
        <v>15618</v>
      </c>
      <c r="B5370" s="1" t="s">
        <v>15619</v>
      </c>
      <c r="C5370">
        <f>(1-(B7/100))*283.88</f>
        <v>283.88</v>
      </c>
      <c r="D5370" s="1">
        <v>0</v>
      </c>
      <c r="E5370">
        <f>D5370*C5370</f>
        <v>0</v>
      </c>
      <c r="F5370" s="1" t="s">
        <v>16</v>
      </c>
      <c r="G5370" s="17">
        <v>72598</v>
      </c>
    </row>
    <row r="5371" spans="1:7">
      <c r="A5371" s="1" t="s">
        <v>15620</v>
      </c>
      <c r="B5371" s="1" t="s">
        <v>15621</v>
      </c>
      <c r="C5371">
        <f>(1-(B7/100))*276.44</f>
        <v>276.44</v>
      </c>
      <c r="D5371" s="1">
        <v>0</v>
      </c>
      <c r="E5371">
        <f>D5371*C5371</f>
        <v>0</v>
      </c>
      <c r="F5371" s="1" t="s">
        <v>15622</v>
      </c>
      <c r="G5371" s="17">
        <v>85162</v>
      </c>
    </row>
    <row r="5372" spans="1:7">
      <c r="A5372" s="16"/>
      <c r="B5372" s="16" t="s">
        <v>15623</v>
      </c>
      <c r="C5372" s="16"/>
      <c r="D5372" s="16"/>
      <c r="E5372" s="16"/>
      <c r="F5372" s="16"/>
    </row>
    <row r="5373" spans="1:7">
      <c r="A5373" s="16"/>
      <c r="B5373" s="16" t="s">
        <v>15624</v>
      </c>
      <c r="C5373" s="16"/>
      <c r="D5373" s="16"/>
      <c r="E5373" s="16"/>
      <c r="F5373" s="16"/>
    </row>
    <row r="5374" spans="1:7">
      <c r="A5374" s="16"/>
      <c r="B5374" s="16" t="s">
        <v>15625</v>
      </c>
      <c r="C5374" s="16"/>
      <c r="D5374" s="16"/>
      <c r="E5374" s="16"/>
      <c r="F5374" s="16"/>
    </row>
    <row r="5375" spans="1:7">
      <c r="A5375" s="1" t="s">
        <v>15626</v>
      </c>
      <c r="B5375" s="1" t="s">
        <v>15627</v>
      </c>
      <c r="C5375">
        <f>(1-(B7/100))*5518.1</f>
        <v>5518.1</v>
      </c>
      <c r="D5375" s="1">
        <v>0</v>
      </c>
      <c r="E5375">
        <f>D5375*C5375</f>
        <v>0</v>
      </c>
      <c r="F5375" s="1" t="s">
        <v>15628</v>
      </c>
      <c r="G5375" s="17">
        <v>63186</v>
      </c>
    </row>
    <row r="5376" spans="1:7">
      <c r="A5376" s="1" t="s">
        <v>15629</v>
      </c>
      <c r="B5376" s="1" t="s">
        <v>15630</v>
      </c>
      <c r="C5376">
        <f>(1-(B7/100))*6483.42</f>
        <v>6483.42</v>
      </c>
      <c r="D5376" s="1">
        <v>0</v>
      </c>
      <c r="E5376">
        <f>D5376*C5376</f>
        <v>0</v>
      </c>
      <c r="F5376" s="1" t="s">
        <v>15631</v>
      </c>
      <c r="G5376" s="17">
        <v>74073</v>
      </c>
    </row>
    <row r="5377" spans="1:7">
      <c r="A5377" s="16"/>
      <c r="B5377" s="16" t="s">
        <v>15632</v>
      </c>
      <c r="C5377" s="16"/>
      <c r="D5377" s="16"/>
      <c r="E5377" s="16"/>
      <c r="F5377" s="16"/>
    </row>
    <row r="5378" spans="1:7">
      <c r="A5378" s="16"/>
      <c r="B5378" s="16" t="s">
        <v>15633</v>
      </c>
      <c r="C5378" s="16"/>
      <c r="D5378" s="16"/>
      <c r="E5378" s="16"/>
      <c r="F5378" s="16"/>
    </row>
    <row r="5379" spans="1:7">
      <c r="A5379" s="1" t="s">
        <v>15634</v>
      </c>
      <c r="B5379" s="1" t="s">
        <v>15635</v>
      </c>
      <c r="C5379">
        <f>(1-(B7/100))*3766.85</f>
        <v>3766.85</v>
      </c>
      <c r="D5379" s="1">
        <v>0</v>
      </c>
      <c r="E5379">
        <f>D5379*C5379</f>
        <v>0</v>
      </c>
      <c r="F5379" s="1" t="s">
        <v>15636</v>
      </c>
      <c r="G5379" s="17">
        <v>71109</v>
      </c>
    </row>
    <row r="5380" spans="1:7">
      <c r="A5380" s="1" t="s">
        <v>15637</v>
      </c>
      <c r="B5380" s="1" t="s">
        <v>15638</v>
      </c>
      <c r="C5380">
        <f>(1-(B7/100))*3382.65</f>
        <v>3382.65</v>
      </c>
      <c r="D5380" s="1">
        <v>0</v>
      </c>
      <c r="E5380">
        <f>D5380*C5380</f>
        <v>0</v>
      </c>
      <c r="F5380" s="1" t="s">
        <v>16</v>
      </c>
      <c r="G5380" s="17">
        <v>71819</v>
      </c>
    </row>
    <row r="5381" spans="1:7">
      <c r="A5381" s="1" t="s">
        <v>15639</v>
      </c>
      <c r="B5381" s="1" t="s">
        <v>15640</v>
      </c>
      <c r="C5381">
        <f>(1-(B7/100))*5637.75</f>
        <v>5637.75</v>
      </c>
      <c r="D5381" s="1">
        <v>0</v>
      </c>
      <c r="E5381">
        <f>D5381*C5381</f>
        <v>0</v>
      </c>
      <c r="F5381" s="1" t="s">
        <v>15641</v>
      </c>
      <c r="G5381" s="17">
        <v>72014</v>
      </c>
    </row>
    <row r="5382" spans="1:7">
      <c r="A5382" s="1" t="s">
        <v>15642</v>
      </c>
      <c r="B5382" s="1" t="s">
        <v>15643</v>
      </c>
      <c r="C5382">
        <f>(1-(B7/100))*5073.99</f>
        <v>5073.99</v>
      </c>
      <c r="D5382" s="1">
        <v>0</v>
      </c>
      <c r="E5382">
        <f>D5382*C5382</f>
        <v>0</v>
      </c>
      <c r="F5382" s="1" t="s">
        <v>15644</v>
      </c>
      <c r="G5382" s="17">
        <v>72015</v>
      </c>
    </row>
    <row r="5383" spans="1:7">
      <c r="A5383" s="1" t="s">
        <v>15645</v>
      </c>
      <c r="B5383" s="1" t="s">
        <v>15646</v>
      </c>
      <c r="C5383">
        <f>(1-(B7/100))*6427.03</f>
        <v>6427.03</v>
      </c>
      <c r="D5383" s="1">
        <v>0</v>
      </c>
      <c r="E5383">
        <f>D5383*C5383</f>
        <v>0</v>
      </c>
      <c r="F5383" s="1" t="s">
        <v>15647</v>
      </c>
      <c r="G5383" s="17">
        <v>74063</v>
      </c>
    </row>
    <row r="5384" spans="1:7">
      <c r="A5384" s="1" t="s">
        <v>15648</v>
      </c>
      <c r="B5384" s="1" t="s">
        <v>15649</v>
      </c>
      <c r="C5384">
        <f>(1-(B7/100))*6914.71</f>
        <v>6914.71</v>
      </c>
      <c r="D5384" s="1">
        <v>0</v>
      </c>
      <c r="E5384">
        <f>D5384*C5384</f>
        <v>0</v>
      </c>
      <c r="F5384" s="1" t="s">
        <v>15650</v>
      </c>
      <c r="G5384" s="17">
        <v>85896</v>
      </c>
    </row>
    <row r="5385" spans="1:7">
      <c r="A5385" s="16"/>
      <c r="B5385" s="16" t="s">
        <v>15651</v>
      </c>
      <c r="C5385" s="16"/>
      <c r="D5385" s="16"/>
      <c r="E5385" s="16"/>
      <c r="F5385" s="16"/>
    </row>
    <row r="5386" spans="1:7">
      <c r="A5386" s="1" t="s">
        <v>15652</v>
      </c>
      <c r="B5386" s="1" t="s">
        <v>15653</v>
      </c>
      <c r="C5386">
        <f>(1-(B7/100))*5850.87</f>
        <v>5850.87</v>
      </c>
      <c r="D5386" s="1">
        <v>0</v>
      </c>
      <c r="E5386">
        <f>D5386*C5386</f>
        <v>0</v>
      </c>
      <c r="F5386" s="1" t="s">
        <v>15654</v>
      </c>
      <c r="G5386" s="17">
        <v>72138</v>
      </c>
    </row>
    <row r="5387" spans="1:7">
      <c r="A5387" s="16"/>
      <c r="B5387" s="16" t="s">
        <v>15655</v>
      </c>
      <c r="C5387" s="16"/>
      <c r="D5387" s="16"/>
      <c r="E5387" s="16"/>
      <c r="F5387" s="16"/>
    </row>
    <row r="5388" spans="1:7">
      <c r="A5388" s="1" t="s">
        <v>15656</v>
      </c>
      <c r="B5388" s="1" t="s">
        <v>15657</v>
      </c>
      <c r="C5388">
        <f>(1-(B7/100))*1873.68</f>
        <v>1873.68</v>
      </c>
      <c r="D5388" s="1">
        <v>0</v>
      </c>
      <c r="E5388">
        <f>D5388*C5388</f>
        <v>0</v>
      </c>
      <c r="F5388" s="1" t="s">
        <v>15658</v>
      </c>
      <c r="G5388" s="17">
        <v>89690</v>
      </c>
    </row>
    <row r="5389" spans="1:7">
      <c r="A5389" s="16"/>
      <c r="B5389" s="16" t="s">
        <v>15659</v>
      </c>
      <c r="C5389" s="16"/>
      <c r="D5389" s="16"/>
      <c r="E5389" s="16"/>
      <c r="F5389" s="16"/>
    </row>
    <row r="5390" spans="1:7">
      <c r="A5390" s="1" t="s">
        <v>15660</v>
      </c>
      <c r="B5390" s="1" t="s">
        <v>15661</v>
      </c>
      <c r="C5390">
        <f>(1-(B7/100))*5571.42</f>
        <v>5571.42</v>
      </c>
      <c r="D5390" s="1">
        <v>0</v>
      </c>
      <c r="E5390">
        <f>D5390*C5390</f>
        <v>0</v>
      </c>
      <c r="F5390" s="1" t="s">
        <v>15662</v>
      </c>
      <c r="G5390" s="17">
        <v>73879</v>
      </c>
    </row>
    <row r="5391" spans="1:7">
      <c r="A5391" s="16"/>
      <c r="B5391" s="16" t="s">
        <v>15663</v>
      </c>
      <c r="C5391" s="16"/>
      <c r="D5391" s="16"/>
      <c r="E5391" s="16"/>
      <c r="F5391" s="16"/>
    </row>
    <row r="5392" spans="1:7">
      <c r="A5392" s="1" t="s">
        <v>15664</v>
      </c>
      <c r="B5392" s="1" t="s">
        <v>15665</v>
      </c>
      <c r="C5392">
        <f>(1-(B7/100))*2818.89</f>
        <v>2818.89</v>
      </c>
      <c r="D5392" s="1">
        <v>0</v>
      </c>
      <c r="E5392">
        <f>D5392*C5392</f>
        <v>0</v>
      </c>
      <c r="F5392" s="1" t="s">
        <v>15666</v>
      </c>
      <c r="G5392" s="17">
        <v>63062</v>
      </c>
    </row>
    <row r="5393" spans="1:7">
      <c r="A5393" s="1" t="s">
        <v>15667</v>
      </c>
      <c r="B5393" s="1" t="s">
        <v>15668</v>
      </c>
      <c r="C5393">
        <f>(1-(B7/100))*7499.79</f>
        <v>7499.79</v>
      </c>
      <c r="D5393" s="1">
        <v>0</v>
      </c>
      <c r="E5393">
        <f>D5393*C5393</f>
        <v>0</v>
      </c>
      <c r="F5393" s="1" t="s">
        <v>15669</v>
      </c>
      <c r="G5393" s="17">
        <v>72991</v>
      </c>
    </row>
    <row r="5394" spans="1:7">
      <c r="A5394" s="16"/>
      <c r="B5394" s="16" t="s">
        <v>15670</v>
      </c>
      <c r="C5394" s="16"/>
      <c r="D5394" s="16"/>
      <c r="E5394" s="16"/>
      <c r="F5394" s="16"/>
    </row>
    <row r="5395" spans="1:7">
      <c r="A5395" s="1" t="s">
        <v>15671</v>
      </c>
      <c r="B5395" s="1" t="s">
        <v>15672</v>
      </c>
      <c r="C5395">
        <f>(1-(B7/100))*8682.14</f>
        <v>8682.14</v>
      </c>
      <c r="D5395" s="1">
        <v>0</v>
      </c>
      <c r="E5395">
        <f>D5395*C5395</f>
        <v>0</v>
      </c>
      <c r="F5395" s="1" t="s">
        <v>15673</v>
      </c>
      <c r="G5395" s="17">
        <v>63358</v>
      </c>
    </row>
    <row r="5396" spans="1:7">
      <c r="A5396" s="1" t="s">
        <v>15674</v>
      </c>
      <c r="B5396" s="1" t="s">
        <v>15675</v>
      </c>
      <c r="C5396">
        <f>(1-(B7/100))*11789.3</f>
        <v>11789.3</v>
      </c>
      <c r="D5396" s="1">
        <v>0</v>
      </c>
      <c r="E5396">
        <f>D5396*C5396</f>
        <v>0</v>
      </c>
      <c r="F5396" s="1" t="s">
        <v>15676</v>
      </c>
      <c r="G5396" s="17">
        <v>63359</v>
      </c>
    </row>
    <row r="5397" spans="1:7">
      <c r="A5397" s="1" t="s">
        <v>15677</v>
      </c>
      <c r="B5397" s="1" t="s">
        <v>15678</v>
      </c>
      <c r="C5397">
        <f>(1-(B7/100))*6412.85</f>
        <v>6412.85</v>
      </c>
      <c r="D5397" s="1">
        <v>0</v>
      </c>
      <c r="E5397">
        <f>D5397*C5397</f>
        <v>0</v>
      </c>
      <c r="F5397" s="1" t="s">
        <v>15679</v>
      </c>
      <c r="G5397" s="17">
        <v>71051</v>
      </c>
    </row>
    <row r="5398" spans="1:7">
      <c r="A5398" s="1" t="s">
        <v>15680</v>
      </c>
      <c r="B5398" s="1" t="s">
        <v>15681</v>
      </c>
      <c r="C5398">
        <f>(1-(B7/100))*17815.3</f>
        <v>17815.3</v>
      </c>
      <c r="D5398" s="1">
        <v>0</v>
      </c>
      <c r="E5398">
        <f>D5398*C5398</f>
        <v>0</v>
      </c>
      <c r="F5398" s="1" t="s">
        <v>15682</v>
      </c>
      <c r="G5398" s="17">
        <v>71110</v>
      </c>
    </row>
    <row r="5399" spans="1:7">
      <c r="A5399" s="1" t="s">
        <v>15683</v>
      </c>
      <c r="B5399" s="1" t="s">
        <v>15684</v>
      </c>
      <c r="C5399">
        <f>(1-(B7/100))*3887.35</f>
        <v>3887.35</v>
      </c>
      <c r="D5399" s="1">
        <v>0</v>
      </c>
      <c r="E5399">
        <f>D5399*C5399</f>
        <v>0</v>
      </c>
      <c r="F5399" s="1" t="s">
        <v>15685</v>
      </c>
      <c r="G5399" s="17">
        <v>72605</v>
      </c>
    </row>
    <row r="5400" spans="1:7">
      <c r="A5400" s="1" t="s">
        <v>15686</v>
      </c>
      <c r="B5400" s="1" t="s">
        <v>15687</v>
      </c>
      <c r="C5400">
        <f>(1-(B7/100))*5637.75</f>
        <v>5637.75</v>
      </c>
      <c r="D5400" s="1">
        <v>0</v>
      </c>
      <c r="E5400">
        <f>D5400*C5400</f>
        <v>0</v>
      </c>
      <c r="F5400" s="1" t="s">
        <v>15688</v>
      </c>
      <c r="G5400" s="17">
        <v>72848</v>
      </c>
    </row>
    <row r="5401" spans="1:7">
      <c r="A5401" s="1" t="s">
        <v>15689</v>
      </c>
      <c r="B5401" s="1" t="s">
        <v>15690</v>
      </c>
      <c r="C5401">
        <f>(1-(B7/100))*5447.22</f>
        <v>5447.22</v>
      </c>
      <c r="D5401" s="1">
        <v>0</v>
      </c>
      <c r="E5401">
        <f>D5401*C5401</f>
        <v>0</v>
      </c>
      <c r="F5401" s="1" t="s">
        <v>15691</v>
      </c>
      <c r="G5401" s="17">
        <v>74099</v>
      </c>
    </row>
    <row r="5402" spans="1:7">
      <c r="A5402" s="1" t="s">
        <v>15692</v>
      </c>
      <c r="B5402" s="1" t="s">
        <v>15693</v>
      </c>
      <c r="C5402">
        <f>(1-(B7/100))*7065.03</f>
        <v>7065.03</v>
      </c>
      <c r="D5402" s="1">
        <v>0</v>
      </c>
      <c r="E5402">
        <f>D5402*C5402</f>
        <v>0</v>
      </c>
      <c r="F5402" s="1" t="s">
        <v>15694</v>
      </c>
      <c r="G5402" s="17">
        <v>74101</v>
      </c>
    </row>
    <row r="5403" spans="1:7">
      <c r="A5403" s="1" t="s">
        <v>15695</v>
      </c>
      <c r="B5403" s="1" t="s">
        <v>15696</v>
      </c>
      <c r="C5403">
        <f>(1-(B7/100))*4348.38</f>
        <v>4348.38</v>
      </c>
      <c r="D5403" s="1">
        <v>0</v>
      </c>
      <c r="E5403">
        <f>D5403*C5403</f>
        <v>0</v>
      </c>
      <c r="F5403" s="1" t="s">
        <v>15697</v>
      </c>
      <c r="G5403" s="17">
        <v>85736</v>
      </c>
    </row>
    <row r="5404" spans="1:7">
      <c r="A5404" s="16"/>
      <c r="B5404" s="16" t="s">
        <v>15698</v>
      </c>
      <c r="C5404" s="16"/>
      <c r="D5404" s="16"/>
      <c r="E5404" s="16"/>
      <c r="F5404" s="16"/>
    </row>
    <row r="5405" spans="1:7">
      <c r="A5405" s="1" t="s">
        <v>15699</v>
      </c>
      <c r="B5405" s="1" t="s">
        <v>15700</v>
      </c>
      <c r="C5405">
        <f>(1-(B7/100))*4364.74</f>
        <v>4364.74</v>
      </c>
      <c r="D5405" s="1">
        <v>0</v>
      </c>
      <c r="E5405">
        <f>D5405*C5405</f>
        <v>0</v>
      </c>
      <c r="F5405" s="1" t="s">
        <v>15701</v>
      </c>
      <c r="G5405" s="17">
        <v>72825</v>
      </c>
    </row>
    <row r="5406" spans="1:7">
      <c r="A5406" s="16"/>
      <c r="B5406" s="16" t="s">
        <v>15702</v>
      </c>
      <c r="C5406" s="16"/>
      <c r="D5406" s="16"/>
      <c r="E5406" s="16"/>
      <c r="F5406" s="16"/>
    </row>
    <row r="5407" spans="1:7">
      <c r="A5407" s="16"/>
      <c r="B5407" s="16" t="s">
        <v>15632</v>
      </c>
      <c r="C5407" s="16"/>
      <c r="D5407" s="16"/>
      <c r="E5407" s="16"/>
      <c r="F5407" s="16"/>
    </row>
    <row r="5408" spans="1:7">
      <c r="A5408" s="16"/>
      <c r="B5408" s="16" t="s">
        <v>15703</v>
      </c>
      <c r="C5408" s="16"/>
      <c r="D5408" s="16"/>
      <c r="E5408" s="16"/>
      <c r="F5408" s="16"/>
    </row>
    <row r="5409" spans="1:7">
      <c r="A5409" s="16"/>
      <c r="B5409" s="16" t="s">
        <v>15704</v>
      </c>
      <c r="C5409" s="16"/>
      <c r="D5409" s="16"/>
      <c r="E5409" s="16"/>
      <c r="F5409" s="16"/>
    </row>
    <row r="5410" spans="1:7">
      <c r="A5410" s="16"/>
      <c r="B5410" s="16" t="s">
        <v>15705</v>
      </c>
      <c r="C5410" s="16"/>
      <c r="D5410" s="16"/>
      <c r="E5410" s="16"/>
      <c r="F5410" s="16"/>
    </row>
    <row r="5411" spans="1:7">
      <c r="A5411" s="16"/>
      <c r="B5411" s="16" t="s">
        <v>15706</v>
      </c>
      <c r="C5411" s="16"/>
      <c r="D5411" s="16"/>
      <c r="E5411" s="16"/>
      <c r="F5411" s="16"/>
    </row>
    <row r="5412" spans="1:7">
      <c r="A5412" s="16"/>
      <c r="B5412" s="16" t="s">
        <v>15707</v>
      </c>
      <c r="C5412" s="16"/>
      <c r="D5412" s="16"/>
      <c r="E5412" s="16"/>
      <c r="F5412" s="16"/>
    </row>
    <row r="5413" spans="1:7">
      <c r="A5413" s="16"/>
      <c r="B5413" s="16" t="s">
        <v>15708</v>
      </c>
      <c r="C5413" s="16"/>
      <c r="D5413" s="16"/>
      <c r="E5413" s="16"/>
      <c r="F5413" s="16"/>
    </row>
    <row r="5414" spans="1:7">
      <c r="A5414" s="1" t="s">
        <v>15709</v>
      </c>
      <c r="B5414" s="1" t="s">
        <v>15710</v>
      </c>
      <c r="C5414">
        <f>(1-(B7/100))*6379.47</f>
        <v>6379.47</v>
      </c>
      <c r="D5414" s="1">
        <v>0</v>
      </c>
      <c r="E5414">
        <f>D5414*C5414</f>
        <v>0</v>
      </c>
      <c r="F5414" s="1" t="s">
        <v>15711</v>
      </c>
      <c r="G5414" s="17">
        <v>86654</v>
      </c>
    </row>
    <row r="5415" spans="1:7">
      <c r="A5415" s="16"/>
      <c r="B5415" s="16" t="s">
        <v>15670</v>
      </c>
      <c r="C5415" s="16"/>
      <c r="D5415" s="16"/>
      <c r="E5415" s="16"/>
      <c r="F5415" s="16"/>
    </row>
    <row r="5416" spans="1:7">
      <c r="A5416" s="16"/>
      <c r="B5416" s="16" t="s">
        <v>15712</v>
      </c>
      <c r="C5416" s="16"/>
      <c r="D5416" s="16"/>
      <c r="E5416" s="16"/>
      <c r="F5416" s="16"/>
    </row>
    <row r="5417" spans="1:7">
      <c r="A5417" s="16"/>
      <c r="B5417" s="16" t="s">
        <v>15713</v>
      </c>
      <c r="C5417" s="16"/>
      <c r="D5417" s="16"/>
      <c r="E5417" s="16"/>
      <c r="F5417" s="16"/>
    </row>
    <row r="5418" spans="1:7">
      <c r="A5418" s="16"/>
      <c r="B5418" s="16" t="s">
        <v>15714</v>
      </c>
      <c r="C5418" s="16"/>
      <c r="D5418" s="16"/>
      <c r="E5418" s="16"/>
      <c r="F5418" s="16"/>
    </row>
    <row r="5419" spans="1:7">
      <c r="A5419" s="16"/>
      <c r="B5419" s="16" t="s">
        <v>15715</v>
      </c>
      <c r="C5419" s="16"/>
      <c r="D5419" s="16"/>
      <c r="E5419" s="16"/>
      <c r="F5419" s="16"/>
    </row>
    <row r="5420" spans="1:7">
      <c r="A5420" s="16"/>
      <c r="B5420" s="16" t="s">
        <v>15716</v>
      </c>
      <c r="C5420" s="16"/>
      <c r="D5420" s="16"/>
      <c r="E5420" s="16"/>
      <c r="F5420" s="16"/>
    </row>
    <row r="5421" spans="1:7">
      <c r="A5421" s="16"/>
      <c r="B5421" s="16" t="s">
        <v>15717</v>
      </c>
      <c r="C5421" s="16"/>
      <c r="D5421" s="16"/>
      <c r="E5421" s="16"/>
      <c r="F5421" s="16"/>
    </row>
    <row r="5422" spans="1:7">
      <c r="A5422" s="16"/>
      <c r="B5422" s="16" t="s">
        <v>15718</v>
      </c>
      <c r="C5422" s="16"/>
      <c r="D5422" s="16"/>
      <c r="E5422" s="16"/>
      <c r="F5422" s="16"/>
    </row>
    <row r="5423" spans="1:7">
      <c r="A5423" s="16"/>
      <c r="B5423" s="16" t="s">
        <v>15719</v>
      </c>
      <c r="C5423" s="16"/>
      <c r="D5423" s="16"/>
      <c r="E5423" s="16"/>
      <c r="F5423" s="16"/>
    </row>
    <row r="5424" spans="1:7">
      <c r="A5424" s="16"/>
      <c r="B5424" s="16" t="s">
        <v>15720</v>
      </c>
      <c r="C5424" s="16"/>
      <c r="D5424" s="16"/>
      <c r="E5424" s="16"/>
      <c r="F5424" s="16"/>
    </row>
    <row r="5425" spans="1:7">
      <c r="A5425" s="1" t="s">
        <v>15721</v>
      </c>
      <c r="B5425" s="1" t="s">
        <v>15722</v>
      </c>
      <c r="C5425">
        <f>(1-(B7/100))*4193.06</f>
        <v>4193.06</v>
      </c>
      <c r="D5425" s="1">
        <v>0</v>
      </c>
      <c r="E5425">
        <f>D5425*C5425</f>
        <v>0</v>
      </c>
      <c r="F5425" s="1" t="s">
        <v>15723</v>
      </c>
      <c r="G5425" s="17">
        <v>62798</v>
      </c>
    </row>
    <row r="5426" spans="1:7">
      <c r="A5426" s="1" t="s">
        <v>15724</v>
      </c>
      <c r="B5426" s="1" t="s">
        <v>15725</v>
      </c>
      <c r="C5426">
        <f>(1-(B7/100))*4192.07</f>
        <v>4192.07</v>
      </c>
      <c r="D5426" s="1">
        <v>0</v>
      </c>
      <c r="E5426">
        <f>D5426*C5426</f>
        <v>0</v>
      </c>
      <c r="F5426" s="1" t="s">
        <v>15726</v>
      </c>
      <c r="G5426" s="17">
        <v>63445</v>
      </c>
    </row>
    <row r="5427" spans="1:7">
      <c r="A5427" s="1" t="s">
        <v>15727</v>
      </c>
      <c r="B5427" s="1" t="s">
        <v>15728</v>
      </c>
      <c r="C5427">
        <f>(1-(B7/100))*5073.99</f>
        <v>5073.99</v>
      </c>
      <c r="D5427" s="1">
        <v>0</v>
      </c>
      <c r="E5427">
        <f>D5427*C5427</f>
        <v>0</v>
      </c>
      <c r="F5427" s="1" t="s">
        <v>15729</v>
      </c>
      <c r="G5427" s="17">
        <v>71175</v>
      </c>
    </row>
    <row r="5428" spans="1:7">
      <c r="A5428" s="1" t="s">
        <v>15730</v>
      </c>
      <c r="B5428" s="1" t="s">
        <v>15731</v>
      </c>
      <c r="C5428">
        <f>(1-(B7/100))*5325.94</f>
        <v>5325.94</v>
      </c>
      <c r="D5428" s="1">
        <v>0</v>
      </c>
      <c r="E5428">
        <f>D5428*C5428</f>
        <v>0</v>
      </c>
      <c r="F5428" s="1" t="s">
        <v>15732</v>
      </c>
      <c r="G5428" s="17">
        <v>71176</v>
      </c>
    </row>
    <row r="5429" spans="1:7">
      <c r="A5429" s="1" t="s">
        <v>15733</v>
      </c>
      <c r="B5429" s="1" t="s">
        <v>15734</v>
      </c>
      <c r="C5429">
        <f>(1-(B7/100))*3723.29</f>
        <v>3723.29</v>
      </c>
      <c r="D5429" s="1">
        <v>0</v>
      </c>
      <c r="E5429">
        <f>D5429*C5429</f>
        <v>0</v>
      </c>
      <c r="F5429" s="1" t="s">
        <v>15735</v>
      </c>
      <c r="G5429" s="17">
        <v>71228</v>
      </c>
    </row>
    <row r="5430" spans="1:7">
      <c r="A5430" s="1" t="s">
        <v>15736</v>
      </c>
      <c r="B5430" s="1" t="s">
        <v>15737</v>
      </c>
      <c r="C5430">
        <f>(1-(B7/100))*4680.71</f>
        <v>4680.71</v>
      </c>
      <c r="D5430" s="1">
        <v>0</v>
      </c>
      <c r="E5430">
        <f>D5430*C5430</f>
        <v>0</v>
      </c>
      <c r="F5430" s="1" t="s">
        <v>15738</v>
      </c>
      <c r="G5430" s="17">
        <v>74060</v>
      </c>
    </row>
    <row r="5431" spans="1:7">
      <c r="A5431" s="1" t="s">
        <v>15739</v>
      </c>
      <c r="B5431" s="1" t="s">
        <v>15740</v>
      </c>
      <c r="C5431">
        <f>(1-(B7/100))*5073.99</f>
        <v>5073.99</v>
      </c>
      <c r="D5431" s="1">
        <v>0</v>
      </c>
      <c r="E5431">
        <f>D5431*C5431</f>
        <v>0</v>
      </c>
      <c r="F5431" s="1" t="s">
        <v>15741</v>
      </c>
      <c r="G5431" s="17">
        <v>74070</v>
      </c>
    </row>
    <row r="5432" spans="1:7">
      <c r="A5432" s="1" t="s">
        <v>15742</v>
      </c>
      <c r="B5432" s="1" t="s">
        <v>15743</v>
      </c>
      <c r="C5432">
        <f>(1-(B7/100))*3723.29</f>
        <v>3723.29</v>
      </c>
      <c r="D5432" s="1">
        <v>0</v>
      </c>
      <c r="E5432">
        <f>D5432*C5432</f>
        <v>0</v>
      </c>
      <c r="F5432" s="1" t="s">
        <v>15744</v>
      </c>
      <c r="G5432" s="17">
        <v>86158</v>
      </c>
    </row>
    <row r="5433" spans="1:7">
      <c r="A5433" s="1" t="s">
        <v>15745</v>
      </c>
      <c r="B5433" s="1" t="s">
        <v>15746</v>
      </c>
      <c r="C5433">
        <f>(1-(B7/100))*3723.29</f>
        <v>3723.29</v>
      </c>
      <c r="D5433" s="1">
        <v>0</v>
      </c>
      <c r="E5433">
        <f>D5433*C5433</f>
        <v>0</v>
      </c>
      <c r="F5433" s="1" t="s">
        <v>15747</v>
      </c>
      <c r="G5433" s="17">
        <v>86159</v>
      </c>
    </row>
    <row r="5434" spans="1:7">
      <c r="A5434" s="1" t="s">
        <v>15748</v>
      </c>
      <c r="B5434" s="1" t="s">
        <v>15749</v>
      </c>
      <c r="C5434">
        <f>(1-(B7/100))*4126.24</f>
        <v>4126.24</v>
      </c>
      <c r="D5434" s="1">
        <v>0</v>
      </c>
      <c r="E5434">
        <f>D5434*C5434</f>
        <v>0</v>
      </c>
      <c r="F5434" s="1" t="s">
        <v>15750</v>
      </c>
      <c r="G5434" s="17">
        <v>86924</v>
      </c>
    </row>
    <row r="5435" spans="1:7">
      <c r="A5435" s="1" t="s">
        <v>15751</v>
      </c>
      <c r="B5435" s="1" t="s">
        <v>15752</v>
      </c>
      <c r="C5435">
        <f>(1-(B7/100))*5017.6</f>
        <v>5017.6</v>
      </c>
      <c r="D5435" s="1">
        <v>0</v>
      </c>
      <c r="E5435">
        <f>D5435*C5435</f>
        <v>0</v>
      </c>
      <c r="F5435" s="1" t="s">
        <v>15753</v>
      </c>
      <c r="G5435" s="17">
        <v>86925</v>
      </c>
    </row>
    <row r="5436" spans="1:7">
      <c r="A5436" s="16"/>
      <c r="B5436" s="16" t="s">
        <v>15754</v>
      </c>
      <c r="C5436" s="16"/>
      <c r="D5436" s="16"/>
      <c r="E5436" s="16"/>
      <c r="F5436" s="16"/>
    </row>
    <row r="5437" spans="1:7">
      <c r="A5437" s="16"/>
      <c r="B5437" s="16" t="s">
        <v>15755</v>
      </c>
      <c r="C5437" s="16"/>
      <c r="D5437" s="16"/>
      <c r="E5437" s="16"/>
      <c r="F5437" s="16"/>
    </row>
    <row r="5438" spans="1:7">
      <c r="A5438" s="1" t="s">
        <v>15756</v>
      </c>
      <c r="B5438" s="1" t="s">
        <v>15757</v>
      </c>
      <c r="C5438">
        <f>(1-(B7/100))*5073.99</f>
        <v>5073.99</v>
      </c>
      <c r="D5438" s="1">
        <v>0</v>
      </c>
      <c r="E5438">
        <f>D5438*C5438</f>
        <v>0</v>
      </c>
      <c r="F5438" s="1" t="s">
        <v>15758</v>
      </c>
      <c r="G5438" s="17">
        <v>71355</v>
      </c>
    </row>
    <row r="5439" spans="1:7">
      <c r="A5439" s="16"/>
      <c r="B5439" s="16" t="s">
        <v>15759</v>
      </c>
      <c r="C5439" s="16"/>
      <c r="D5439" s="16"/>
      <c r="E5439" s="16"/>
      <c r="F5439" s="16"/>
    </row>
    <row r="5440" spans="1:7">
      <c r="A5440" s="16"/>
      <c r="B5440" s="16" t="s">
        <v>15760</v>
      </c>
      <c r="C5440" s="16"/>
      <c r="D5440" s="16"/>
      <c r="E5440" s="16"/>
      <c r="F5440" s="16"/>
    </row>
    <row r="5441" spans="1:7">
      <c r="A5441" s="16"/>
      <c r="B5441" s="16" t="s">
        <v>15761</v>
      </c>
      <c r="C5441" s="16"/>
      <c r="D5441" s="16"/>
      <c r="E5441" s="16"/>
      <c r="F5441" s="16"/>
    </row>
    <row r="5442" spans="1:7">
      <c r="A5442" s="1" t="s">
        <v>15762</v>
      </c>
      <c r="B5442" s="1" t="s">
        <v>15763</v>
      </c>
      <c r="C5442">
        <f>(1-(B7/100))*381.02</f>
        <v>381.02</v>
      </c>
      <c r="D5442" s="1">
        <v>0</v>
      </c>
      <c r="E5442">
        <f>D5442*C5442</f>
        <v>0</v>
      </c>
      <c r="F5442" s="1" t="s">
        <v>15764</v>
      </c>
      <c r="G5442" s="17">
        <v>72770</v>
      </c>
    </row>
    <row r="5443" spans="1:7">
      <c r="A5443" s="1" t="s">
        <v>15765</v>
      </c>
      <c r="B5443" s="1" t="s">
        <v>15766</v>
      </c>
      <c r="C5443">
        <f>(1-(B7/100))*355.61</f>
        <v>355.61</v>
      </c>
      <c r="D5443" s="1">
        <v>0</v>
      </c>
      <c r="E5443">
        <f>D5443*C5443</f>
        <v>0</v>
      </c>
      <c r="F5443" s="1" t="s">
        <v>15767</v>
      </c>
      <c r="G5443" s="17">
        <v>72771</v>
      </c>
    </row>
    <row r="5444" spans="1:7">
      <c r="A5444" s="1" t="s">
        <v>15768</v>
      </c>
      <c r="B5444" s="1" t="s">
        <v>15769</v>
      </c>
      <c r="C5444">
        <f>(1-(B7/100))*347.15</f>
        <v>347.15</v>
      </c>
      <c r="D5444" s="1">
        <v>0</v>
      </c>
      <c r="E5444">
        <f>D5444*C5444</f>
        <v>0</v>
      </c>
      <c r="F5444" s="1" t="s">
        <v>15770</v>
      </c>
      <c r="G5444" s="17">
        <v>72772</v>
      </c>
    </row>
    <row r="5445" spans="1:7">
      <c r="A5445" s="1" t="s">
        <v>15771</v>
      </c>
      <c r="B5445" s="1" t="s">
        <v>15772</v>
      </c>
      <c r="C5445">
        <f>(1-(B7/100))*367.47</f>
        <v>367.47</v>
      </c>
      <c r="D5445" s="1">
        <v>0</v>
      </c>
      <c r="E5445">
        <f>D5445*C5445</f>
        <v>0</v>
      </c>
      <c r="F5445" s="1" t="s">
        <v>15773</v>
      </c>
      <c r="G5445" s="17">
        <v>72773</v>
      </c>
    </row>
    <row r="5446" spans="1:7">
      <c r="A5446" s="1" t="s">
        <v>15774</v>
      </c>
      <c r="B5446" s="1" t="s">
        <v>15775</v>
      </c>
      <c r="C5446">
        <f>(1-(B7/100))*301.43</f>
        <v>301.43</v>
      </c>
      <c r="D5446" s="1">
        <v>0</v>
      </c>
      <c r="E5446">
        <f>D5446*C5446</f>
        <v>0</v>
      </c>
      <c r="F5446" s="1" t="s">
        <v>15776</v>
      </c>
      <c r="G5446" s="17">
        <v>72774</v>
      </c>
    </row>
    <row r="5447" spans="1:7">
      <c r="A5447" s="1" t="s">
        <v>15777</v>
      </c>
      <c r="B5447" s="1" t="s">
        <v>15778</v>
      </c>
      <c r="C5447">
        <f>(1-(B7/100))*401.35</f>
        <v>401.35</v>
      </c>
      <c r="D5447" s="1">
        <v>0</v>
      </c>
      <c r="E5447">
        <f>D5447*C5447</f>
        <v>0</v>
      </c>
      <c r="F5447" s="1" t="s">
        <v>15779</v>
      </c>
      <c r="G5447" s="17">
        <v>72775</v>
      </c>
    </row>
    <row r="5448" spans="1:7">
      <c r="A5448" s="1" t="s">
        <v>15780</v>
      </c>
      <c r="B5448" s="1" t="s">
        <v>15781</v>
      </c>
      <c r="C5448">
        <f>(1-(B7/100))*404.73</f>
        <v>404.73</v>
      </c>
      <c r="D5448" s="1">
        <v>0</v>
      </c>
      <c r="E5448">
        <f>D5448*C5448</f>
        <v>0</v>
      </c>
      <c r="F5448" s="1" t="s">
        <v>15782</v>
      </c>
      <c r="G5448" s="17">
        <v>72776</v>
      </c>
    </row>
    <row r="5449" spans="1:7">
      <c r="A5449" s="1" t="s">
        <v>15783</v>
      </c>
      <c r="B5449" s="1" t="s">
        <v>15784</v>
      </c>
      <c r="C5449">
        <f>(1-(B7/100))*330.2</f>
        <v>330.2</v>
      </c>
      <c r="D5449" s="1">
        <v>0</v>
      </c>
      <c r="E5449">
        <f>D5449*C5449</f>
        <v>0</v>
      </c>
      <c r="F5449" s="1" t="s">
        <v>15785</v>
      </c>
      <c r="G5449" s="17">
        <v>72777</v>
      </c>
    </row>
    <row r="5450" spans="1:7">
      <c r="A5450" s="1" t="s">
        <v>15786</v>
      </c>
      <c r="B5450" s="1" t="s">
        <v>15787</v>
      </c>
      <c r="C5450">
        <f>(1-(B7/100))*228.63</f>
        <v>228.63</v>
      </c>
      <c r="D5450" s="1">
        <v>0</v>
      </c>
      <c r="E5450">
        <f>D5450*C5450</f>
        <v>0</v>
      </c>
      <c r="F5450" s="1" t="s">
        <v>15788</v>
      </c>
      <c r="G5450" s="17">
        <v>72778</v>
      </c>
    </row>
    <row r="5451" spans="1:7">
      <c r="A5451" s="1" t="s">
        <v>15789</v>
      </c>
      <c r="B5451" s="1" t="s">
        <v>15790</v>
      </c>
      <c r="C5451">
        <f>(1-(B7/100))*254.02</f>
        <v>254.02</v>
      </c>
      <c r="D5451" s="1">
        <v>0</v>
      </c>
      <c r="E5451">
        <f>D5451*C5451</f>
        <v>0</v>
      </c>
      <c r="F5451" s="1" t="s">
        <v>15791</v>
      </c>
      <c r="G5451" s="17">
        <v>72779</v>
      </c>
    </row>
    <row r="5452" spans="1:7">
      <c r="A5452" s="1" t="s">
        <v>15792</v>
      </c>
      <c r="B5452" s="1" t="s">
        <v>15793</v>
      </c>
      <c r="C5452">
        <f>(1-(B7/100))*353.95</f>
        <v>353.95</v>
      </c>
      <c r="D5452" s="1">
        <v>0</v>
      </c>
      <c r="E5452">
        <f>D5452*C5452</f>
        <v>0</v>
      </c>
      <c r="F5452" s="1" t="s">
        <v>15794</v>
      </c>
      <c r="G5452" s="17">
        <v>72780</v>
      </c>
    </row>
    <row r="5453" spans="1:7">
      <c r="A5453" s="16"/>
      <c r="B5453" s="16" t="s">
        <v>15754</v>
      </c>
      <c r="C5453" s="16"/>
      <c r="D5453" s="16"/>
      <c r="E5453" s="16"/>
      <c r="F5453" s="16"/>
    </row>
    <row r="5454" spans="1:7">
      <c r="A5454" s="1" t="s">
        <v>15795</v>
      </c>
      <c r="B5454" s="1" t="s">
        <v>15796</v>
      </c>
      <c r="C5454">
        <f>(1-(B7/100))*4166.18</f>
        <v>4166.18</v>
      </c>
      <c r="D5454" s="1">
        <v>0</v>
      </c>
      <c r="E5454">
        <f>D5454*C5454</f>
        <v>0</v>
      </c>
      <c r="F5454" s="1" t="s">
        <v>15797</v>
      </c>
      <c r="G5454" s="17">
        <v>72806</v>
      </c>
    </row>
    <row r="5455" spans="1:7">
      <c r="A5455" s="1" t="s">
        <v>15798</v>
      </c>
      <c r="B5455" s="1" t="s">
        <v>15799</v>
      </c>
      <c r="C5455">
        <f>(1-(B7/100))*4166.18</f>
        <v>4166.18</v>
      </c>
      <c r="D5455" s="1">
        <v>0</v>
      </c>
      <c r="E5455">
        <f>D5455*C5455</f>
        <v>0</v>
      </c>
      <c r="F5455" s="1" t="s">
        <v>15800</v>
      </c>
      <c r="G5455" s="17">
        <v>86128</v>
      </c>
    </row>
    <row r="5456" spans="1:7">
      <c r="A5456" s="16"/>
      <c r="B5456" s="16" t="s">
        <v>15713</v>
      </c>
      <c r="C5456" s="16"/>
      <c r="D5456" s="16"/>
      <c r="E5456" s="16"/>
      <c r="F5456" s="16"/>
    </row>
    <row r="5457" spans="1:7">
      <c r="A5457" s="16"/>
      <c r="B5457" s="16" t="s">
        <v>15714</v>
      </c>
      <c r="C5457" s="16"/>
      <c r="D5457" s="16"/>
      <c r="E5457" s="16"/>
      <c r="F5457" s="16"/>
    </row>
    <row r="5458" spans="1:7">
      <c r="A5458" s="16"/>
      <c r="B5458" s="16" t="s">
        <v>15716</v>
      </c>
      <c r="C5458" s="16"/>
      <c r="D5458" s="16"/>
      <c r="E5458" s="16"/>
      <c r="F5458" s="16"/>
    </row>
    <row r="5459" spans="1:7">
      <c r="A5459" s="1" t="s">
        <v>15801</v>
      </c>
      <c r="B5459" s="1" t="s">
        <v>15802</v>
      </c>
      <c r="C5459">
        <f>(1-(B7/100))*8446.08</f>
        <v>8446.08</v>
      </c>
      <c r="D5459" s="1">
        <v>0</v>
      </c>
      <c r="E5459">
        <f>D5459*C5459</f>
        <v>0</v>
      </c>
      <c r="F5459" s="1" t="s">
        <v>15803</v>
      </c>
      <c r="G5459" s="17">
        <v>62987</v>
      </c>
    </row>
    <row r="5460" spans="1:7">
      <c r="A5460" s="1" t="s">
        <v>15804</v>
      </c>
      <c r="B5460" s="1" t="s">
        <v>15805</v>
      </c>
      <c r="C5460">
        <f>(1-(B7/100))*5518.1</f>
        <v>5518.1</v>
      </c>
      <c r="D5460" s="1">
        <v>0</v>
      </c>
      <c r="E5460">
        <f>D5460*C5460</f>
        <v>0</v>
      </c>
      <c r="F5460" s="1" t="s">
        <v>15806</v>
      </c>
      <c r="G5460" s="17">
        <v>62988</v>
      </c>
    </row>
    <row r="5461" spans="1:7">
      <c r="A5461" s="1" t="s">
        <v>15807</v>
      </c>
      <c r="B5461" s="1" t="s">
        <v>15808</v>
      </c>
      <c r="C5461">
        <f>(1-(B7/100))*4361.56</f>
        <v>4361.56</v>
      </c>
      <c r="D5461" s="1">
        <v>0</v>
      </c>
      <c r="E5461">
        <f>D5461*C5461</f>
        <v>0</v>
      </c>
      <c r="F5461" s="1" t="s">
        <v>15809</v>
      </c>
      <c r="G5461" s="17">
        <v>72137</v>
      </c>
    </row>
    <row r="5462" spans="1:7">
      <c r="A5462" s="16"/>
      <c r="B5462" s="16" t="s">
        <v>15810</v>
      </c>
      <c r="C5462" s="16"/>
      <c r="D5462" s="16"/>
      <c r="E5462" s="16"/>
      <c r="F5462" s="16"/>
    </row>
    <row r="5463" spans="1:7">
      <c r="A5463" s="1" t="s">
        <v>15811</v>
      </c>
      <c r="B5463" s="1" t="s">
        <v>15812</v>
      </c>
      <c r="C5463">
        <f>(1-(B7/100))*553.26</f>
        <v>553.26</v>
      </c>
      <c r="D5463" s="1">
        <v>0</v>
      </c>
      <c r="E5463">
        <f>D5463*C5463</f>
        <v>0</v>
      </c>
      <c r="F5463" s="1" t="s">
        <v>15813</v>
      </c>
      <c r="G5463" s="17">
        <v>63171</v>
      </c>
    </row>
    <row r="5464" spans="1:7">
      <c r="A5464" s="1" t="s">
        <v>15814</v>
      </c>
      <c r="B5464" s="1" t="s">
        <v>15815</v>
      </c>
      <c r="C5464">
        <f>(1-(B7/100))*676.53</f>
        <v>676.53</v>
      </c>
      <c r="D5464" s="1">
        <v>0</v>
      </c>
      <c r="E5464">
        <f>D5464*C5464</f>
        <v>0</v>
      </c>
      <c r="F5464" s="1" t="s">
        <v>15816</v>
      </c>
      <c r="G5464" s="17">
        <v>71914</v>
      </c>
    </row>
    <row r="5465" spans="1:7">
      <c r="A5465" s="1" t="s">
        <v>15817</v>
      </c>
      <c r="B5465" s="1" t="s">
        <v>15818</v>
      </c>
      <c r="C5465">
        <f>(1-(B7/100))*675.68</f>
        <v>675.68</v>
      </c>
      <c r="D5465" s="1">
        <v>0</v>
      </c>
      <c r="E5465">
        <f>D5465*C5465</f>
        <v>0</v>
      </c>
      <c r="F5465" s="1" t="s">
        <v>15819</v>
      </c>
      <c r="G5465" s="17">
        <v>73220</v>
      </c>
    </row>
    <row r="5466" spans="1:7">
      <c r="A5466" s="1" t="s">
        <v>15820</v>
      </c>
      <c r="B5466" s="1" t="s">
        <v>15821</v>
      </c>
      <c r="C5466">
        <f>(1-(B7/100))*1276.56</f>
        <v>1276.56</v>
      </c>
      <c r="D5466" s="1">
        <v>0</v>
      </c>
      <c r="E5466">
        <f>D5466*C5466</f>
        <v>0</v>
      </c>
      <c r="F5466" s="1" t="s">
        <v>15822</v>
      </c>
      <c r="G5466" s="17">
        <v>73876</v>
      </c>
    </row>
    <row r="5467" spans="1:7">
      <c r="A5467" s="1" t="s">
        <v>15823</v>
      </c>
      <c r="B5467" s="1" t="s">
        <v>15824</v>
      </c>
      <c r="C5467">
        <f>(1-(B7/100))*1209.23</f>
        <v>1209.23</v>
      </c>
      <c r="D5467" s="1">
        <v>0</v>
      </c>
      <c r="E5467">
        <f>D5467*C5467</f>
        <v>0</v>
      </c>
      <c r="F5467" s="1" t="s">
        <v>15825</v>
      </c>
      <c r="G5467" s="17">
        <v>74059</v>
      </c>
    </row>
    <row r="5468" spans="1:7">
      <c r="A5468" s="1" t="s">
        <v>15826</v>
      </c>
      <c r="B5468" s="1" t="s">
        <v>15827</v>
      </c>
      <c r="C5468">
        <f>(1-(B7/100))*1036.88</f>
        <v>1036.88</v>
      </c>
      <c r="D5468" s="1">
        <v>0</v>
      </c>
      <c r="E5468">
        <f>D5468*C5468</f>
        <v>0</v>
      </c>
      <c r="F5468" s="1" t="s">
        <v>15828</v>
      </c>
      <c r="G5468" s="17">
        <v>86782</v>
      </c>
    </row>
    <row r="5469" spans="1:7">
      <c r="A5469" s="1" t="s">
        <v>15829</v>
      </c>
      <c r="B5469" s="1" t="s">
        <v>15830</v>
      </c>
      <c r="C5469">
        <f>(1-(B7/100))*1063.77</f>
        <v>1063.77</v>
      </c>
      <c r="D5469" s="1">
        <v>0</v>
      </c>
      <c r="E5469">
        <f>D5469*C5469</f>
        <v>0</v>
      </c>
      <c r="F5469" s="1" t="s">
        <v>15831</v>
      </c>
      <c r="G5469" s="17">
        <v>86783</v>
      </c>
    </row>
    <row r="5470" spans="1:7">
      <c r="A5470" s="16"/>
      <c r="B5470" s="16" t="s">
        <v>15832</v>
      </c>
      <c r="C5470" s="16"/>
      <c r="D5470" s="16"/>
      <c r="E5470" s="16"/>
      <c r="F5470" s="16"/>
    </row>
    <row r="5471" spans="1:7">
      <c r="A5471" s="1" t="s">
        <v>15833</v>
      </c>
      <c r="B5471" s="1" t="s">
        <v>15834</v>
      </c>
      <c r="C5471">
        <f>(1-(B7/100))*622.29</f>
        <v>622.29</v>
      </c>
      <c r="D5471" s="1">
        <v>0</v>
      </c>
      <c r="E5471">
        <f>D5471*C5471</f>
        <v>0</v>
      </c>
      <c r="F5471" s="1" t="s">
        <v>15835</v>
      </c>
      <c r="G5471" s="17">
        <v>62893</v>
      </c>
    </row>
    <row r="5472" spans="1:7">
      <c r="A5472" s="1" t="s">
        <v>15836</v>
      </c>
      <c r="B5472" s="1" t="s">
        <v>15837</v>
      </c>
      <c r="C5472">
        <f>(1-(B7/100))*409.37</f>
        <v>409.37</v>
      </c>
      <c r="D5472" s="1">
        <v>0</v>
      </c>
      <c r="E5472">
        <f>D5472*C5472</f>
        <v>0</v>
      </c>
      <c r="F5472" s="1" t="s">
        <v>15838</v>
      </c>
      <c r="G5472" s="17">
        <v>72833</v>
      </c>
    </row>
    <row r="5473" spans="1:7">
      <c r="A5473" s="1" t="s">
        <v>15839</v>
      </c>
      <c r="B5473" s="1" t="s">
        <v>15840</v>
      </c>
      <c r="C5473">
        <f>(1-(B7/100))*320.96</f>
        <v>320.96</v>
      </c>
      <c r="D5473" s="1">
        <v>0</v>
      </c>
      <c r="E5473">
        <f>D5473*C5473</f>
        <v>0</v>
      </c>
      <c r="F5473" s="1" t="s">
        <v>15841</v>
      </c>
      <c r="G5473" s="17">
        <v>72834</v>
      </c>
    </row>
    <row r="5474" spans="1:7">
      <c r="A5474" s="1" t="s">
        <v>15842</v>
      </c>
      <c r="B5474" s="1" t="s">
        <v>15843</v>
      </c>
      <c r="C5474">
        <f>(1-(B7/100))*242.15</f>
        <v>242.15</v>
      </c>
      <c r="D5474" s="1">
        <v>0</v>
      </c>
      <c r="E5474">
        <f>D5474*C5474</f>
        <v>0</v>
      </c>
      <c r="F5474" s="1" t="s">
        <v>15844</v>
      </c>
      <c r="G5474" s="17">
        <v>72835</v>
      </c>
    </row>
    <row r="5475" spans="1:7">
      <c r="A5475" s="1" t="s">
        <v>15845</v>
      </c>
      <c r="B5475" s="1" t="s">
        <v>15846</v>
      </c>
      <c r="C5475">
        <f>(1-(B7/100))*409.37</f>
        <v>409.37</v>
      </c>
      <c r="D5475" s="1">
        <v>0</v>
      </c>
      <c r="E5475">
        <f>D5475*C5475</f>
        <v>0</v>
      </c>
      <c r="F5475" s="1" t="s">
        <v>15847</v>
      </c>
      <c r="G5475" s="17">
        <v>72836</v>
      </c>
    </row>
    <row r="5476" spans="1:7">
      <c r="A5476" s="1" t="s">
        <v>15848</v>
      </c>
      <c r="B5476" s="1" t="s">
        <v>15849</v>
      </c>
      <c r="C5476">
        <f>(1-(B7/100))*320.96</f>
        <v>320.96</v>
      </c>
      <c r="D5476" s="1">
        <v>0</v>
      </c>
      <c r="E5476">
        <f>D5476*C5476</f>
        <v>0</v>
      </c>
      <c r="F5476" s="1" t="s">
        <v>15850</v>
      </c>
      <c r="G5476" s="17">
        <v>72837</v>
      </c>
    </row>
    <row r="5477" spans="1:7">
      <c r="A5477" s="1" t="s">
        <v>15851</v>
      </c>
      <c r="B5477" s="1" t="s">
        <v>15852</v>
      </c>
      <c r="C5477">
        <f>(1-(B7/100))*242.15</f>
        <v>242.15</v>
      </c>
      <c r="D5477" s="1">
        <v>0</v>
      </c>
      <c r="E5477">
        <f>D5477*C5477</f>
        <v>0</v>
      </c>
      <c r="F5477" s="1" t="s">
        <v>15853</v>
      </c>
      <c r="G5477" s="17">
        <v>72838</v>
      </c>
    </row>
    <row r="5478" spans="1:7">
      <c r="A5478" s="1" t="s">
        <v>15854</v>
      </c>
      <c r="B5478" s="1" t="s">
        <v>15855</v>
      </c>
      <c r="C5478">
        <f>(1-(B7/100))*5946.23</f>
        <v>5946.23</v>
      </c>
      <c r="D5478" s="1">
        <v>0</v>
      </c>
      <c r="E5478">
        <f>D5478*C5478</f>
        <v>0</v>
      </c>
      <c r="F5478" s="1" t="s">
        <v>15856</v>
      </c>
      <c r="G5478" s="17">
        <v>73881</v>
      </c>
    </row>
    <row r="5479" spans="1:7">
      <c r="A5479" s="1" t="s">
        <v>15857</v>
      </c>
      <c r="B5479" s="1" t="s">
        <v>15858</v>
      </c>
      <c r="C5479">
        <f>(1-(B7/100))*729.24</f>
        <v>729.24</v>
      </c>
      <c r="D5479" s="1">
        <v>0</v>
      </c>
      <c r="E5479">
        <f>D5479*C5479</f>
        <v>0</v>
      </c>
      <c r="F5479" s="1" t="s">
        <v>15859</v>
      </c>
      <c r="G5479" s="17">
        <v>74080</v>
      </c>
    </row>
    <row r="5480" spans="1:7">
      <c r="A5480" s="16"/>
      <c r="B5480" s="16" t="s">
        <v>15860</v>
      </c>
      <c r="C5480" s="16"/>
      <c r="D5480" s="16"/>
      <c r="E5480" s="16"/>
      <c r="F5480" s="16"/>
    </row>
    <row r="5481" spans="1:7">
      <c r="A5481" s="16"/>
      <c r="B5481" s="16" t="s">
        <v>15861</v>
      </c>
      <c r="C5481" s="16"/>
      <c r="D5481" s="16"/>
      <c r="E5481" s="16"/>
      <c r="F5481" s="16"/>
    </row>
    <row r="5482" spans="1:7">
      <c r="A5482" s="1" t="s">
        <v>15862</v>
      </c>
      <c r="B5482" s="1" t="s">
        <v>15863</v>
      </c>
      <c r="C5482">
        <f>(1-(B7/100))*1212.5</f>
        <v>1212.5</v>
      </c>
      <c r="D5482" s="1">
        <v>0</v>
      </c>
      <c r="E5482">
        <f>D5482*C5482</f>
        <v>0</v>
      </c>
      <c r="F5482" s="1" t="s">
        <v>15864</v>
      </c>
      <c r="G5482" s="17">
        <v>63556</v>
      </c>
    </row>
    <row r="5483" spans="1:7">
      <c r="A5483" s="1">
        <v>10010555</v>
      </c>
      <c r="B5483" s="1" t="s">
        <v>15865</v>
      </c>
      <c r="C5483">
        <f>(1-(B7/100))*507.39</f>
        <v>507.39</v>
      </c>
      <c r="D5483" s="1">
        <v>0</v>
      </c>
      <c r="E5483">
        <f>D5483*C5483</f>
        <v>0</v>
      </c>
      <c r="F5483" s="1" t="s">
        <v>15866</v>
      </c>
      <c r="G5483" s="17">
        <v>64195</v>
      </c>
    </row>
    <row r="5484" spans="1:7">
      <c r="A5484" s="1" t="s">
        <v>15867</v>
      </c>
      <c r="B5484" s="1" t="s">
        <v>15868</v>
      </c>
      <c r="C5484">
        <f>(1-(B7/100))*315.62</f>
        <v>315.62</v>
      </c>
      <c r="D5484" s="1">
        <v>0</v>
      </c>
      <c r="E5484">
        <f>D5484*C5484</f>
        <v>0</v>
      </c>
      <c r="F5484" s="1" t="s">
        <v>15869</v>
      </c>
      <c r="G5484" s="17">
        <v>68945</v>
      </c>
    </row>
    <row r="5485" spans="1:7">
      <c r="A5485" s="1" t="s">
        <v>15870</v>
      </c>
      <c r="B5485" s="1" t="s">
        <v>15871</v>
      </c>
      <c r="C5485">
        <f>(1-(B7/100))*1301.17</f>
        <v>1301.17</v>
      </c>
      <c r="D5485" s="1">
        <v>0</v>
      </c>
      <c r="E5485">
        <f>D5485*C5485</f>
        <v>0</v>
      </c>
      <c r="F5485" s="1" t="s">
        <v>15872</v>
      </c>
      <c r="G5485" s="17">
        <v>68947</v>
      </c>
    </row>
    <row r="5486" spans="1:7">
      <c r="A5486" s="1" t="s">
        <v>15873</v>
      </c>
      <c r="B5486" s="1" t="s">
        <v>15874</v>
      </c>
      <c r="C5486">
        <f>(1-(B7/100))*311.27</f>
        <v>311.27</v>
      </c>
      <c r="D5486" s="1">
        <v>0</v>
      </c>
      <c r="E5486">
        <f>D5486*C5486</f>
        <v>0</v>
      </c>
      <c r="F5486" s="1" t="s">
        <v>15875</v>
      </c>
      <c r="G5486" s="17">
        <v>72987</v>
      </c>
    </row>
    <row r="5487" spans="1:7">
      <c r="A5487" s="1" t="s">
        <v>15876</v>
      </c>
      <c r="B5487" s="1" t="s">
        <v>15877</v>
      </c>
      <c r="C5487">
        <f>(1-(B7/100))*240.28</f>
        <v>240.28</v>
      </c>
      <c r="D5487" s="1">
        <v>0</v>
      </c>
      <c r="E5487">
        <f>D5487*C5487</f>
        <v>0</v>
      </c>
      <c r="F5487" s="1" t="s">
        <v>15878</v>
      </c>
      <c r="G5487" s="17">
        <v>74093</v>
      </c>
    </row>
    <row r="5488" spans="1:7">
      <c r="A5488" s="1" t="s">
        <v>15879</v>
      </c>
      <c r="B5488" s="1" t="s">
        <v>15880</v>
      </c>
      <c r="C5488">
        <f>(1-(B7/100))*396.6</f>
        <v>396.6</v>
      </c>
      <c r="D5488" s="1">
        <v>0</v>
      </c>
      <c r="E5488">
        <f>D5488*C5488</f>
        <v>0</v>
      </c>
      <c r="F5488" s="1" t="s">
        <v>15881</v>
      </c>
      <c r="G5488" s="17">
        <v>85559</v>
      </c>
    </row>
    <row r="5489" spans="1:7">
      <c r="A5489" s="16"/>
      <c r="B5489" s="16" t="s">
        <v>15882</v>
      </c>
      <c r="C5489" s="16"/>
      <c r="D5489" s="16"/>
      <c r="E5489" s="16"/>
      <c r="F5489" s="16"/>
    </row>
    <row r="5490" spans="1:7">
      <c r="A5490" s="16"/>
      <c r="B5490" s="16" t="s">
        <v>15883</v>
      </c>
      <c r="C5490" s="16"/>
      <c r="D5490" s="16"/>
      <c r="E5490" s="16"/>
      <c r="F5490" s="16"/>
    </row>
    <row r="5491" spans="1:7">
      <c r="A5491" s="1" t="s">
        <v>15884</v>
      </c>
      <c r="B5491" s="1" t="s">
        <v>15885</v>
      </c>
      <c r="C5491">
        <f>(1-(B7/100))*496.63</f>
        <v>496.63</v>
      </c>
      <c r="D5491" s="1">
        <v>0</v>
      </c>
      <c r="E5491">
        <f>D5491*C5491</f>
        <v>0</v>
      </c>
      <c r="F5491" s="1" t="s">
        <v>15886</v>
      </c>
      <c r="G5491" s="17">
        <v>69691</v>
      </c>
    </row>
    <row r="5492" spans="1:7">
      <c r="A5492" s="1" t="s">
        <v>15887</v>
      </c>
      <c r="B5492" s="1" t="s">
        <v>15888</v>
      </c>
      <c r="C5492">
        <f>(1-(B7/100))*496.63</f>
        <v>496.63</v>
      </c>
      <c r="D5492" s="1">
        <v>0</v>
      </c>
      <c r="E5492">
        <f>D5492*C5492</f>
        <v>0</v>
      </c>
      <c r="F5492" s="1" t="s">
        <v>15889</v>
      </c>
      <c r="G5492" s="17">
        <v>69692</v>
      </c>
    </row>
    <row r="5493" spans="1:7">
      <c r="A5493" s="1" t="s">
        <v>15890</v>
      </c>
      <c r="B5493" s="1" t="s">
        <v>15891</v>
      </c>
      <c r="C5493">
        <f>(1-(B7/100))*496.63</f>
        <v>496.63</v>
      </c>
      <c r="D5493" s="1">
        <v>0</v>
      </c>
      <c r="E5493">
        <f>D5493*C5493</f>
        <v>0</v>
      </c>
      <c r="F5493" s="1" t="s">
        <v>15892</v>
      </c>
      <c r="G5493" s="17">
        <v>69998</v>
      </c>
    </row>
    <row r="5494" spans="1:7">
      <c r="A5494" s="1" t="s">
        <v>15893</v>
      </c>
      <c r="B5494" s="1" t="s">
        <v>15894</v>
      </c>
      <c r="C5494">
        <f>(1-(B7/100))*244.75</f>
        <v>244.75</v>
      </c>
      <c r="D5494" s="1">
        <v>0</v>
      </c>
      <c r="E5494">
        <f>D5494*C5494</f>
        <v>0</v>
      </c>
      <c r="F5494" s="1" t="s">
        <v>15895</v>
      </c>
      <c r="G5494" s="17">
        <v>71748</v>
      </c>
    </row>
    <row r="5495" spans="1:7">
      <c r="A5495" s="1" t="s">
        <v>15896</v>
      </c>
      <c r="B5495" s="1" t="s">
        <v>15897</v>
      </c>
      <c r="C5495">
        <f>(1-(B7/100))*281.11</f>
        <v>281.11</v>
      </c>
      <c r="D5495" s="1">
        <v>0</v>
      </c>
      <c r="E5495">
        <f>D5495*C5495</f>
        <v>0</v>
      </c>
      <c r="F5495" s="1" t="s">
        <v>15898</v>
      </c>
      <c r="G5495" s="17">
        <v>71783</v>
      </c>
    </row>
    <row r="5496" spans="1:7">
      <c r="A5496" s="1" t="s">
        <v>15899</v>
      </c>
      <c r="B5496" s="1" t="s">
        <v>15900</v>
      </c>
      <c r="C5496">
        <f>(1-(B7/100))*422.82</f>
        <v>422.82</v>
      </c>
      <c r="D5496" s="1">
        <v>0</v>
      </c>
      <c r="E5496">
        <f>D5496*C5496</f>
        <v>0</v>
      </c>
      <c r="F5496" s="1" t="s">
        <v>15901</v>
      </c>
      <c r="G5496" s="17">
        <v>71915</v>
      </c>
    </row>
    <row r="5497" spans="1:7">
      <c r="A5497" s="1" t="s">
        <v>15902</v>
      </c>
      <c r="B5497" s="1" t="s">
        <v>15903</v>
      </c>
      <c r="C5497">
        <f>(1-(B7/100))*28.19</f>
        <v>28.19</v>
      </c>
      <c r="D5497" s="1">
        <v>0</v>
      </c>
      <c r="E5497">
        <f>D5497*C5497</f>
        <v>0</v>
      </c>
      <c r="F5497" s="1" t="s">
        <v>15904</v>
      </c>
      <c r="G5497" s="17">
        <v>72519</v>
      </c>
    </row>
    <row r="5498" spans="1:7">
      <c r="A5498" s="1" t="s">
        <v>15905</v>
      </c>
      <c r="B5498" s="1" t="s">
        <v>15906</v>
      </c>
      <c r="C5498">
        <f>(1-(B7/100))*85.47</f>
        <v>85.47</v>
      </c>
      <c r="D5498" s="1">
        <v>0</v>
      </c>
      <c r="E5498">
        <f>D5498*C5498</f>
        <v>0</v>
      </c>
      <c r="F5498" s="1" t="s">
        <v>15907</v>
      </c>
      <c r="G5498" s="17">
        <v>75453</v>
      </c>
    </row>
    <row r="5499" spans="1:7">
      <c r="A5499" s="1" t="s">
        <v>15908</v>
      </c>
      <c r="B5499" s="1" t="s">
        <v>15909</v>
      </c>
      <c r="C5499">
        <f>(1-(B7/100))*77.9</f>
        <v>77.9</v>
      </c>
      <c r="D5499" s="1">
        <v>0</v>
      </c>
      <c r="E5499">
        <f>D5499*C5499</f>
        <v>0</v>
      </c>
      <c r="F5499" s="1" t="s">
        <v>15910</v>
      </c>
      <c r="G5499" s="17">
        <v>75454</v>
      </c>
    </row>
    <row r="5500" spans="1:7">
      <c r="A5500" s="1" t="s">
        <v>15911</v>
      </c>
      <c r="B5500" s="1" t="s">
        <v>15912</v>
      </c>
      <c r="C5500">
        <f>(1-(B7/100))*384.14</f>
        <v>384.14</v>
      </c>
      <c r="D5500" s="1">
        <v>0</v>
      </c>
      <c r="E5500">
        <f>D5500*C5500</f>
        <v>0</v>
      </c>
      <c r="F5500" s="1" t="s">
        <v>15913</v>
      </c>
      <c r="G5500" s="17">
        <v>75456</v>
      </c>
    </row>
    <row r="5501" spans="1:7">
      <c r="A5501" s="1" t="s">
        <v>15914</v>
      </c>
      <c r="B5501" s="1" t="s">
        <v>15915</v>
      </c>
      <c r="C5501">
        <f>(1-(B7/100))*179.09</f>
        <v>179.09</v>
      </c>
      <c r="D5501" s="1">
        <v>0</v>
      </c>
      <c r="E5501">
        <f>D5501*C5501</f>
        <v>0</v>
      </c>
      <c r="F5501" s="1" t="s">
        <v>15916</v>
      </c>
      <c r="G5501" s="17">
        <v>75458</v>
      </c>
    </row>
    <row r="5502" spans="1:7">
      <c r="A5502" s="1" t="s">
        <v>15917</v>
      </c>
      <c r="B5502" s="1" t="s">
        <v>15918</v>
      </c>
      <c r="C5502">
        <f>(1-(B7/100))*190.41</f>
        <v>190.41</v>
      </c>
      <c r="D5502" s="1">
        <v>0</v>
      </c>
      <c r="E5502">
        <f>D5502*C5502</f>
        <v>0</v>
      </c>
      <c r="F5502" s="1" t="s">
        <v>15919</v>
      </c>
      <c r="G5502" s="17">
        <v>75459</v>
      </c>
    </row>
    <row r="5503" spans="1:7">
      <c r="A5503" s="1" t="s">
        <v>15920</v>
      </c>
      <c r="B5503" s="1" t="s">
        <v>15921</v>
      </c>
      <c r="C5503">
        <f>(1-(B7/100))*81.37</f>
        <v>81.37</v>
      </c>
      <c r="D5503" s="1">
        <v>0</v>
      </c>
      <c r="E5503">
        <f>D5503*C5503</f>
        <v>0</v>
      </c>
      <c r="F5503" s="1" t="s">
        <v>15922</v>
      </c>
      <c r="G5503" s="17">
        <v>75462</v>
      </c>
    </row>
    <row r="5504" spans="1:7">
      <c r="A5504" s="1" t="s">
        <v>15923</v>
      </c>
      <c r="B5504" s="1" t="s">
        <v>15924</v>
      </c>
      <c r="C5504">
        <f>(1-(B7/100))*83.31</f>
        <v>83.31</v>
      </c>
      <c r="D5504" s="1">
        <v>0</v>
      </c>
      <c r="E5504">
        <f>D5504*C5504</f>
        <v>0</v>
      </c>
      <c r="F5504" s="1" t="s">
        <v>15925</v>
      </c>
      <c r="G5504" s="17">
        <v>75463</v>
      </c>
    </row>
    <row r="5505" spans="1:7">
      <c r="A5505" s="1" t="s">
        <v>15926</v>
      </c>
      <c r="B5505" s="1" t="s">
        <v>15927</v>
      </c>
      <c r="C5505">
        <f>(1-(B7/100))*85.47</f>
        <v>85.47</v>
      </c>
      <c r="D5505" s="1">
        <v>0</v>
      </c>
      <c r="E5505">
        <f>D5505*C5505</f>
        <v>0</v>
      </c>
      <c r="F5505" s="1" t="s">
        <v>15928</v>
      </c>
      <c r="G5505" s="17">
        <v>75465</v>
      </c>
    </row>
    <row r="5506" spans="1:7">
      <c r="A5506" s="1" t="s">
        <v>15929</v>
      </c>
      <c r="B5506" s="1" t="s">
        <v>15930</v>
      </c>
      <c r="C5506">
        <f>(1-(B7/100))*43</f>
        <v>43</v>
      </c>
      <c r="D5506" s="1">
        <v>0</v>
      </c>
      <c r="E5506">
        <f>D5506*C5506</f>
        <v>0</v>
      </c>
      <c r="F5506" s="1" t="s">
        <v>15931</v>
      </c>
      <c r="G5506" s="17">
        <v>75468</v>
      </c>
    </row>
    <row r="5507" spans="1:7">
      <c r="A5507" s="1" t="s">
        <v>15932</v>
      </c>
      <c r="B5507" s="1" t="s">
        <v>15933</v>
      </c>
      <c r="C5507">
        <f>(1-(B7/100))*53.98</f>
        <v>53.98</v>
      </c>
      <c r="D5507" s="1">
        <v>0</v>
      </c>
      <c r="E5507">
        <f>D5507*C5507</f>
        <v>0</v>
      </c>
      <c r="F5507" s="1" t="s">
        <v>15934</v>
      </c>
      <c r="G5507" s="17">
        <v>75469</v>
      </c>
    </row>
    <row r="5508" spans="1:7">
      <c r="A5508" s="1" t="s">
        <v>15935</v>
      </c>
      <c r="B5508" s="1" t="s">
        <v>15936</v>
      </c>
      <c r="C5508">
        <f>(1-(B7/100))*64.41</f>
        <v>64.41</v>
      </c>
      <c r="D5508" s="1">
        <v>0</v>
      </c>
      <c r="E5508">
        <f>D5508*C5508</f>
        <v>0</v>
      </c>
      <c r="F5508" s="1" t="s">
        <v>15937</v>
      </c>
      <c r="G5508" s="17">
        <v>75470</v>
      </c>
    </row>
    <row r="5509" spans="1:7">
      <c r="A5509" s="1" t="s">
        <v>15938</v>
      </c>
      <c r="B5509" s="1" t="s">
        <v>15939</v>
      </c>
      <c r="C5509">
        <f>(1-(B7/100))*74.21</f>
        <v>74.21</v>
      </c>
      <c r="D5509" s="1">
        <v>0</v>
      </c>
      <c r="E5509">
        <f>D5509*C5509</f>
        <v>0</v>
      </c>
      <c r="F5509" s="1" t="s">
        <v>15940</v>
      </c>
      <c r="G5509" s="17">
        <v>75471</v>
      </c>
    </row>
    <row r="5510" spans="1:7">
      <c r="A5510" s="16"/>
      <c r="B5510" s="16" t="s">
        <v>15941</v>
      </c>
      <c r="C5510" s="16"/>
      <c r="D5510" s="16"/>
      <c r="E5510" s="16"/>
      <c r="F5510" s="16"/>
    </row>
    <row r="5511" spans="1:7">
      <c r="A5511" s="1" t="s">
        <v>15942</v>
      </c>
      <c r="B5511" s="1" t="s">
        <v>15943</v>
      </c>
      <c r="C5511">
        <f>(1-(B7/100))*6766.06</f>
        <v>6766.06</v>
      </c>
      <c r="D5511" s="1">
        <v>0</v>
      </c>
      <c r="E5511">
        <f>D5511*C5511</f>
        <v>0</v>
      </c>
      <c r="F5511" s="1" t="s">
        <v>15944</v>
      </c>
      <c r="G5511" s="17">
        <v>64483</v>
      </c>
    </row>
    <row r="5512" spans="1:7">
      <c r="A5512" s="1" t="s">
        <v>15945</v>
      </c>
      <c r="B5512" s="1" t="s">
        <v>15946</v>
      </c>
      <c r="C5512">
        <f>(1-(B7/100))*394.62</f>
        <v>394.62</v>
      </c>
      <c r="D5512" s="1">
        <v>0</v>
      </c>
      <c r="E5512">
        <f>D5512*C5512</f>
        <v>0</v>
      </c>
      <c r="F5512" s="1" t="s">
        <v>15947</v>
      </c>
      <c r="G5512" s="17">
        <v>69824</v>
      </c>
    </row>
    <row r="5513" spans="1:7">
      <c r="A5513" s="1" t="s">
        <v>15948</v>
      </c>
      <c r="B5513" s="1" t="s">
        <v>15949</v>
      </c>
      <c r="C5513">
        <f>(1-(B7/100))*176.44</f>
        <v>176.44</v>
      </c>
      <c r="D5513" s="1">
        <v>0</v>
      </c>
      <c r="E5513">
        <f>D5513*C5513</f>
        <v>0</v>
      </c>
      <c r="F5513" s="1" t="s">
        <v>15950</v>
      </c>
      <c r="G5513" s="17">
        <v>69827</v>
      </c>
    </row>
    <row r="5514" spans="1:7">
      <c r="A5514" s="1" t="s">
        <v>15951</v>
      </c>
      <c r="B5514" s="1" t="s">
        <v>15952</v>
      </c>
      <c r="C5514">
        <f>(1-(B7/100))*428.62</f>
        <v>428.62</v>
      </c>
      <c r="D5514" s="1">
        <v>0</v>
      </c>
      <c r="E5514">
        <f>D5514*C5514</f>
        <v>0</v>
      </c>
      <c r="F5514" s="1" t="s">
        <v>15953</v>
      </c>
      <c r="G5514" s="17">
        <v>73420</v>
      </c>
    </row>
    <row r="5515" spans="1:7">
      <c r="A5515" s="1" t="s">
        <v>15954</v>
      </c>
      <c r="B5515" s="1" t="s">
        <v>15955</v>
      </c>
      <c r="C5515">
        <f>(1-(B7/100))*176.44</f>
        <v>176.44</v>
      </c>
      <c r="D5515" s="1">
        <v>0</v>
      </c>
      <c r="E5515">
        <f>D5515*C5515</f>
        <v>0</v>
      </c>
      <c r="F5515" s="1" t="s">
        <v>15956</v>
      </c>
      <c r="G5515" s="17">
        <v>73470</v>
      </c>
    </row>
    <row r="5516" spans="1:7">
      <c r="A5516" s="1" t="s">
        <v>15957</v>
      </c>
      <c r="B5516" s="1" t="s">
        <v>15958</v>
      </c>
      <c r="C5516">
        <f>(1-(B7/100))*45.6</f>
        <v>45.6</v>
      </c>
      <c r="D5516" s="1">
        <v>0</v>
      </c>
      <c r="E5516">
        <f>D5516*C5516</f>
        <v>0</v>
      </c>
      <c r="F5516" s="1" t="s">
        <v>15959</v>
      </c>
      <c r="G5516" s="17">
        <v>75486</v>
      </c>
    </row>
    <row r="5517" spans="1:7">
      <c r="A5517" s="16"/>
      <c r="B5517" s="16" t="s">
        <v>15960</v>
      </c>
      <c r="C5517" s="16"/>
      <c r="D5517" s="16"/>
      <c r="E5517" s="16"/>
      <c r="F5517" s="16"/>
    </row>
    <row r="5518" spans="1:7">
      <c r="A5518" s="1" t="s">
        <v>15961</v>
      </c>
      <c r="B5518" s="1" t="s">
        <v>15962</v>
      </c>
      <c r="C5518">
        <f>(1-(B7/100))*491.15</f>
        <v>491.15</v>
      </c>
      <c r="D5518" s="1">
        <v>0</v>
      </c>
      <c r="E5518">
        <f>D5518*C5518</f>
        <v>0</v>
      </c>
      <c r="F5518" s="1" t="s">
        <v>15963</v>
      </c>
      <c r="G5518" s="17">
        <v>64157</v>
      </c>
    </row>
    <row r="5519" spans="1:7">
      <c r="A5519" s="1" t="s">
        <v>15964</v>
      </c>
      <c r="B5519" s="1" t="s">
        <v>15965</v>
      </c>
      <c r="C5519">
        <f>(1-(B7/100))*513.1</f>
        <v>513.1</v>
      </c>
      <c r="D5519" s="1">
        <v>0</v>
      </c>
      <c r="E5519">
        <f>D5519*C5519</f>
        <v>0</v>
      </c>
      <c r="F5519" s="1" t="s">
        <v>15966</v>
      </c>
      <c r="G5519" s="17">
        <v>64158</v>
      </c>
    </row>
    <row r="5520" spans="1:7">
      <c r="A5520" s="1" t="s">
        <v>15967</v>
      </c>
      <c r="B5520" s="1" t="s">
        <v>15968</v>
      </c>
      <c r="C5520">
        <f>(1-(B7/100))*76.23</f>
        <v>76.23</v>
      </c>
      <c r="D5520" s="1">
        <v>0</v>
      </c>
      <c r="E5520">
        <f>D5520*C5520</f>
        <v>0</v>
      </c>
      <c r="F5520" s="1" t="s">
        <v>15969</v>
      </c>
      <c r="G5520" s="17">
        <v>69894</v>
      </c>
    </row>
    <row r="5521" spans="1:7">
      <c r="A5521" s="1" t="s">
        <v>15970</v>
      </c>
      <c r="B5521" s="1" t="s">
        <v>15971</v>
      </c>
      <c r="C5521">
        <f>(1-(B7/100))*52.92</f>
        <v>52.92</v>
      </c>
      <c r="D5521" s="1">
        <v>0</v>
      </c>
      <c r="E5521">
        <f>D5521*C5521</f>
        <v>0</v>
      </c>
      <c r="F5521" s="1" t="s">
        <v>15972</v>
      </c>
      <c r="G5521" s="17">
        <v>72759</v>
      </c>
    </row>
    <row r="5522" spans="1:7">
      <c r="A5522" s="1" t="s">
        <v>15973</v>
      </c>
      <c r="B5522" s="1" t="s">
        <v>15974</v>
      </c>
      <c r="C5522">
        <f>(1-(B7/100))*687.96</f>
        <v>687.96</v>
      </c>
      <c r="D5522" s="1">
        <v>0</v>
      </c>
      <c r="E5522">
        <f>D5522*C5522</f>
        <v>0</v>
      </c>
      <c r="F5522" s="1" t="s">
        <v>15975</v>
      </c>
      <c r="G5522" s="17">
        <v>72764</v>
      </c>
    </row>
    <row r="5523" spans="1:7">
      <c r="A5523" s="1" t="s">
        <v>15976</v>
      </c>
      <c r="B5523" s="1" t="s">
        <v>15977</v>
      </c>
      <c r="C5523">
        <f>(1-(B7/100))*864.3</f>
        <v>864.3</v>
      </c>
      <c r="D5523" s="1">
        <v>0</v>
      </c>
      <c r="E5523">
        <f>D5523*C5523</f>
        <v>0</v>
      </c>
      <c r="F5523" s="1" t="s">
        <v>15978</v>
      </c>
      <c r="G5523" s="17">
        <v>74062</v>
      </c>
    </row>
    <row r="5524" spans="1:7">
      <c r="A5524" s="1" t="s">
        <v>15979</v>
      </c>
      <c r="B5524" s="1" t="s">
        <v>15980</v>
      </c>
      <c r="C5524">
        <f>(1-(B7/100))*365.1</f>
        <v>365.1</v>
      </c>
      <c r="D5524" s="1">
        <v>0</v>
      </c>
      <c r="E5524">
        <f>D5524*C5524</f>
        <v>0</v>
      </c>
      <c r="F5524" s="1" t="s">
        <v>15981</v>
      </c>
      <c r="G5524" s="17">
        <v>74088</v>
      </c>
    </row>
    <row r="5525" spans="1:7">
      <c r="A5525" s="1" t="s">
        <v>15982</v>
      </c>
      <c r="B5525" s="1" t="s">
        <v>15983</v>
      </c>
      <c r="C5525">
        <f>(1-(B7/100))*32.55</f>
        <v>32.55</v>
      </c>
      <c r="D5525" s="1">
        <v>0</v>
      </c>
      <c r="E5525">
        <f>D5525*C5525</f>
        <v>0</v>
      </c>
      <c r="F5525" s="1" t="s">
        <v>15984</v>
      </c>
      <c r="G5525" s="17">
        <v>76260</v>
      </c>
    </row>
    <row r="5526" spans="1:7">
      <c r="A5526" s="1" t="s">
        <v>15985</v>
      </c>
      <c r="B5526" s="1" t="s">
        <v>15986</v>
      </c>
      <c r="C5526">
        <f>(1-(B7/100))*37.19</f>
        <v>37.19</v>
      </c>
      <c r="D5526" s="1">
        <v>0</v>
      </c>
      <c r="E5526">
        <f>D5526*C5526</f>
        <v>0</v>
      </c>
      <c r="F5526" s="1" t="s">
        <v>15987</v>
      </c>
      <c r="G5526" s="17">
        <v>76261</v>
      </c>
    </row>
    <row r="5527" spans="1:7">
      <c r="A5527" s="16"/>
      <c r="B5527" s="16" t="s">
        <v>15988</v>
      </c>
      <c r="C5527" s="16"/>
      <c r="D5527" s="16"/>
      <c r="E5527" s="16"/>
      <c r="F5527" s="16"/>
    </row>
    <row r="5528" spans="1:7">
      <c r="A5528" s="1" t="s">
        <v>15989</v>
      </c>
      <c r="B5528" s="1" t="s">
        <v>15990</v>
      </c>
      <c r="C5528">
        <f>(1-(B7/100))*343.32</f>
        <v>343.32</v>
      </c>
      <c r="D5528" s="1">
        <v>0</v>
      </c>
      <c r="E5528">
        <f>D5528*C5528</f>
        <v>0</v>
      </c>
      <c r="F5528" s="1" t="s">
        <v>15991</v>
      </c>
      <c r="G5528" s="17">
        <v>76587</v>
      </c>
    </row>
    <row r="5529" spans="1:7">
      <c r="A5529" s="16"/>
      <c r="B5529" s="16" t="s">
        <v>15992</v>
      </c>
      <c r="C5529" s="16"/>
      <c r="D5529" s="16"/>
      <c r="E5529" s="16"/>
      <c r="F5529" s="16"/>
    </row>
    <row r="5530" spans="1:7">
      <c r="A5530" s="1" t="s">
        <v>15993</v>
      </c>
      <c r="B5530" s="1" t="s">
        <v>15994</v>
      </c>
      <c r="C5530">
        <f>(1-(B7/100))*157.66</f>
        <v>157.66</v>
      </c>
      <c r="D5530" s="1">
        <v>0</v>
      </c>
      <c r="E5530">
        <f>D5530*C5530</f>
        <v>0</v>
      </c>
      <c r="F5530" s="1" t="s">
        <v>15995</v>
      </c>
      <c r="G5530" s="17">
        <v>63623</v>
      </c>
    </row>
    <row r="5531" spans="1:7">
      <c r="A5531" s="1" t="s">
        <v>15996</v>
      </c>
      <c r="B5531" s="1" t="s">
        <v>15997</v>
      </c>
      <c r="C5531">
        <f>(1-(B7/100))*152.23</f>
        <v>152.23</v>
      </c>
      <c r="D5531" s="1">
        <v>0</v>
      </c>
      <c r="E5531">
        <f>D5531*C5531</f>
        <v>0</v>
      </c>
      <c r="F5531" s="1" t="s">
        <v>15998</v>
      </c>
      <c r="G5531" s="17">
        <v>63624</v>
      </c>
    </row>
    <row r="5532" spans="1:7">
      <c r="A5532" s="1" t="s">
        <v>15999</v>
      </c>
      <c r="B5532" s="1" t="s">
        <v>16000</v>
      </c>
      <c r="C5532">
        <f>(1-(B7/100))*536.44</f>
        <v>536.44</v>
      </c>
      <c r="D5532" s="1">
        <v>0</v>
      </c>
      <c r="E5532">
        <f>D5532*C5532</f>
        <v>0</v>
      </c>
      <c r="F5532" s="1" t="s">
        <v>16001</v>
      </c>
      <c r="G5532" s="17">
        <v>64924</v>
      </c>
    </row>
    <row r="5533" spans="1:7">
      <c r="A5533" s="1" t="s">
        <v>16002</v>
      </c>
      <c r="B5533" s="1" t="s">
        <v>16003</v>
      </c>
      <c r="C5533">
        <f>(1-(B7/100))*145.45</f>
        <v>145.45</v>
      </c>
      <c r="D5533" s="1">
        <v>0</v>
      </c>
      <c r="E5533">
        <f>D5533*C5533</f>
        <v>0</v>
      </c>
      <c r="F5533" s="1" t="s">
        <v>16004</v>
      </c>
      <c r="G5533" s="17">
        <v>72626</v>
      </c>
    </row>
    <row r="5534" spans="1:7">
      <c r="A5534" s="1" t="s">
        <v>16005</v>
      </c>
      <c r="B5534" s="1" t="s">
        <v>16006</v>
      </c>
      <c r="C5534">
        <f>(1-(B7/100))*232.84</f>
        <v>232.84</v>
      </c>
      <c r="D5534" s="1">
        <v>0</v>
      </c>
      <c r="E5534">
        <f>D5534*C5534</f>
        <v>0</v>
      </c>
      <c r="F5534" s="1" t="s">
        <v>16007</v>
      </c>
      <c r="G5534" s="17">
        <v>72758</v>
      </c>
    </row>
    <row r="5535" spans="1:7">
      <c r="A5535" s="1" t="s">
        <v>16008</v>
      </c>
      <c r="B5535" s="1" t="s">
        <v>16009</v>
      </c>
      <c r="C5535">
        <f>(1-(B7/100))*207.44</f>
        <v>207.44</v>
      </c>
      <c r="D5535" s="1">
        <v>0</v>
      </c>
      <c r="E5535">
        <f>D5535*C5535</f>
        <v>0</v>
      </c>
      <c r="F5535" s="1" t="s">
        <v>16010</v>
      </c>
      <c r="G5535" s="17">
        <v>72768</v>
      </c>
    </row>
    <row r="5536" spans="1:7">
      <c r="A5536" s="1" t="s">
        <v>16011</v>
      </c>
      <c r="B5536" s="1" t="s">
        <v>16012</v>
      </c>
      <c r="C5536">
        <f>(1-(B7/100))*63.42</f>
        <v>63.42</v>
      </c>
      <c r="D5536" s="1">
        <v>0</v>
      </c>
      <c r="E5536">
        <f>D5536*C5536</f>
        <v>0</v>
      </c>
      <c r="F5536" s="1" t="s">
        <v>16013</v>
      </c>
      <c r="G5536" s="17">
        <v>72840</v>
      </c>
    </row>
    <row r="5537" spans="1:7">
      <c r="A5537" s="1" t="s">
        <v>16014</v>
      </c>
      <c r="B5537" s="1" t="s">
        <v>16015</v>
      </c>
      <c r="C5537">
        <f>(1-(B7/100))*99.95</f>
        <v>99.95</v>
      </c>
      <c r="D5537" s="1">
        <v>0</v>
      </c>
      <c r="E5537">
        <f>D5537*C5537</f>
        <v>0</v>
      </c>
      <c r="F5537" s="1" t="s">
        <v>16016</v>
      </c>
      <c r="G5537" s="17">
        <v>72841</v>
      </c>
    </row>
    <row r="5538" spans="1:7">
      <c r="A5538" s="1" t="s">
        <v>16017</v>
      </c>
      <c r="B5538" s="1" t="s">
        <v>16018</v>
      </c>
      <c r="C5538">
        <f>(1-(B7/100))*99.95</f>
        <v>99.95</v>
      </c>
      <c r="D5538" s="1">
        <v>0</v>
      </c>
      <c r="E5538">
        <f>D5538*C5538</f>
        <v>0</v>
      </c>
      <c r="F5538" s="1" t="s">
        <v>16019</v>
      </c>
      <c r="G5538" s="17">
        <v>72842</v>
      </c>
    </row>
    <row r="5539" spans="1:7">
      <c r="A5539" s="1" t="s">
        <v>16020</v>
      </c>
      <c r="B5539" s="1" t="s">
        <v>16021</v>
      </c>
      <c r="C5539">
        <f>(1-(B7/100))*866.09</f>
        <v>866.09</v>
      </c>
      <c r="D5539" s="1">
        <v>0</v>
      </c>
      <c r="E5539">
        <f>D5539*C5539</f>
        <v>0</v>
      </c>
      <c r="F5539" s="1" t="s">
        <v>16022</v>
      </c>
      <c r="G5539" s="17">
        <v>76611</v>
      </c>
    </row>
    <row r="5540" spans="1:7">
      <c r="A5540" s="1" t="s">
        <v>16023</v>
      </c>
      <c r="B5540" s="1" t="s">
        <v>16024</v>
      </c>
      <c r="C5540">
        <f>(1-(B7/100))*327.41</f>
        <v>327.41</v>
      </c>
      <c r="D5540" s="1">
        <v>0</v>
      </c>
      <c r="E5540">
        <f>D5540*C5540</f>
        <v>0</v>
      </c>
      <c r="F5540" s="1" t="s">
        <v>16025</v>
      </c>
      <c r="G5540" s="17">
        <v>76613</v>
      </c>
    </row>
    <row r="5541" spans="1:7">
      <c r="A5541" s="1" t="s">
        <v>16026</v>
      </c>
      <c r="B5541" s="1" t="s">
        <v>16027</v>
      </c>
      <c r="C5541">
        <f>(1-(B7/100))*379.17</f>
        <v>379.17</v>
      </c>
      <c r="D5541" s="1">
        <v>0</v>
      </c>
      <c r="E5541">
        <f>D5541*C5541</f>
        <v>0</v>
      </c>
      <c r="F5541" s="1" t="s">
        <v>16028</v>
      </c>
      <c r="G5541" s="17">
        <v>76617</v>
      </c>
    </row>
    <row r="5542" spans="1:7">
      <c r="A5542" s="1" t="s">
        <v>16029</v>
      </c>
      <c r="B5542" s="1" t="s">
        <v>16030</v>
      </c>
      <c r="C5542">
        <f>(1-(B7/100))*22.64</f>
        <v>22.64</v>
      </c>
      <c r="D5542" s="1">
        <v>0</v>
      </c>
      <c r="E5542">
        <f>D5542*C5542</f>
        <v>0</v>
      </c>
      <c r="F5542" s="1" t="s">
        <v>16031</v>
      </c>
      <c r="G5542" s="17">
        <v>76618</v>
      </c>
    </row>
    <row r="5543" spans="1:7">
      <c r="A5543" s="1" t="s">
        <v>16032</v>
      </c>
      <c r="B5543" s="1" t="s">
        <v>16033</v>
      </c>
      <c r="C5543">
        <f>(1-(B7/100))*236.79</f>
        <v>236.79</v>
      </c>
      <c r="D5543" s="1">
        <v>0</v>
      </c>
      <c r="E5543">
        <f>D5543*C5543</f>
        <v>0</v>
      </c>
      <c r="F5543" s="1" t="s">
        <v>16034</v>
      </c>
      <c r="G5543" s="17">
        <v>76619</v>
      </c>
    </row>
    <row r="5544" spans="1:7">
      <c r="A5544" s="1" t="s">
        <v>16035</v>
      </c>
      <c r="B5544" s="1" t="s">
        <v>16036</v>
      </c>
      <c r="C5544">
        <f>(1-(B7/100))*159.57</f>
        <v>159.57</v>
      </c>
      <c r="D5544" s="1">
        <v>0</v>
      </c>
      <c r="E5544">
        <f>D5544*C5544</f>
        <v>0</v>
      </c>
      <c r="F5544" s="1" t="s">
        <v>16037</v>
      </c>
      <c r="G5544" s="17">
        <v>76625</v>
      </c>
    </row>
    <row r="5545" spans="1:7">
      <c r="A5545" s="1" t="s">
        <v>16038</v>
      </c>
      <c r="B5545" s="1" t="s">
        <v>16039</v>
      </c>
      <c r="C5545">
        <f>(1-(B7/100))*377.1</f>
        <v>377.1</v>
      </c>
      <c r="D5545" s="1">
        <v>0</v>
      </c>
      <c r="E5545">
        <f>D5545*C5545</f>
        <v>0</v>
      </c>
      <c r="F5545" s="1" t="s">
        <v>16040</v>
      </c>
      <c r="G5545" s="17">
        <v>76627</v>
      </c>
    </row>
    <row r="5546" spans="1:7">
      <c r="A5546" s="1" t="s">
        <v>16041</v>
      </c>
      <c r="B5546" s="1" t="s">
        <v>16042</v>
      </c>
      <c r="C5546">
        <f>(1-(B7/100))*312.78</f>
        <v>312.78</v>
      </c>
      <c r="D5546" s="1">
        <v>0</v>
      </c>
      <c r="E5546">
        <f>D5546*C5546</f>
        <v>0</v>
      </c>
      <c r="F5546" s="1" t="s">
        <v>16043</v>
      </c>
      <c r="G5546" s="17">
        <v>76632</v>
      </c>
    </row>
    <row r="5547" spans="1:7">
      <c r="A5547" s="1" t="s">
        <v>16044</v>
      </c>
      <c r="B5547" s="1" t="s">
        <v>16045</v>
      </c>
      <c r="C5547">
        <f>(1-(B7/100))*407.1</f>
        <v>407.1</v>
      </c>
      <c r="D5547" s="1">
        <v>0</v>
      </c>
      <c r="E5547">
        <f>D5547*C5547</f>
        <v>0</v>
      </c>
      <c r="F5547" s="1" t="s">
        <v>16046</v>
      </c>
      <c r="G5547" s="17">
        <v>76633</v>
      </c>
    </row>
    <row r="5548" spans="1:7">
      <c r="A5548" s="1" t="s">
        <v>16047</v>
      </c>
      <c r="B5548" s="1" t="s">
        <v>16048</v>
      </c>
      <c r="C5548">
        <f>(1-(B7/100))*31.23</f>
        <v>31.23</v>
      </c>
      <c r="D5548" s="1">
        <v>0</v>
      </c>
      <c r="E5548">
        <f>D5548*C5548</f>
        <v>0</v>
      </c>
      <c r="F5548" s="1" t="s">
        <v>16049</v>
      </c>
      <c r="G5548" s="17">
        <v>76635</v>
      </c>
    </row>
    <row r="5549" spans="1:7">
      <c r="A5549" s="1" t="s">
        <v>16050</v>
      </c>
      <c r="B5549" s="1" t="s">
        <v>16051</v>
      </c>
      <c r="C5549">
        <f>(1-(B7/100))*212.78</f>
        <v>212.78</v>
      </c>
      <c r="D5549" s="1">
        <v>0</v>
      </c>
      <c r="E5549">
        <f>D5549*C5549</f>
        <v>0</v>
      </c>
      <c r="F5549" s="1" t="s">
        <v>16052</v>
      </c>
      <c r="G5549" s="17">
        <v>76636</v>
      </c>
    </row>
    <row r="5550" spans="1:7">
      <c r="A5550" s="16"/>
      <c r="B5550" s="16" t="s">
        <v>16053</v>
      </c>
      <c r="C5550" s="16"/>
      <c r="D5550" s="16"/>
      <c r="E5550" s="16"/>
      <c r="F5550" s="16"/>
    </row>
    <row r="5551" spans="1:7">
      <c r="A5551" s="1" t="s">
        <v>16054</v>
      </c>
      <c r="B5551" s="1" t="s">
        <v>16055</v>
      </c>
      <c r="C5551">
        <f>(1-(B7/100))*3851.45</f>
        <v>3851.45</v>
      </c>
      <c r="D5551" s="1">
        <v>0</v>
      </c>
      <c r="E5551">
        <f>D5551*C5551</f>
        <v>0</v>
      </c>
      <c r="F5551" s="1" t="s">
        <v>16056</v>
      </c>
      <c r="G5551" s="17">
        <v>63481</v>
      </c>
    </row>
    <row r="5552" spans="1:7">
      <c r="A5552" s="1" t="s">
        <v>16057</v>
      </c>
      <c r="B5552" s="1" t="s">
        <v>16058</v>
      </c>
      <c r="C5552">
        <f>(1-(B7/100))*8446.08</f>
        <v>8446.08</v>
      </c>
      <c r="D5552" s="1">
        <v>0</v>
      </c>
      <c r="E5552">
        <f>D5552*C5552</f>
        <v>0</v>
      </c>
      <c r="F5552" s="1" t="s">
        <v>16059</v>
      </c>
      <c r="G5552" s="17">
        <v>64551</v>
      </c>
    </row>
    <row r="5553" spans="1:7">
      <c r="A5553" s="1" t="s">
        <v>16060</v>
      </c>
      <c r="B5553" s="1" t="s">
        <v>16061</v>
      </c>
      <c r="C5553">
        <f>(1-(B7/100))*936.84</f>
        <v>936.84</v>
      </c>
      <c r="D5553" s="1">
        <v>0</v>
      </c>
      <c r="E5553">
        <f>D5553*C5553</f>
        <v>0</v>
      </c>
      <c r="F5553" s="1" t="s">
        <v>16062</v>
      </c>
      <c r="G5553" s="17">
        <v>64981</v>
      </c>
    </row>
    <row r="5554" spans="1:7">
      <c r="A5554" s="1" t="s">
        <v>16063</v>
      </c>
      <c r="B5554" s="1" t="s">
        <v>16064</v>
      </c>
      <c r="C5554">
        <f>(1-(B7/100))*198.6</f>
        <v>198.6</v>
      </c>
      <c r="D5554" s="1">
        <v>0</v>
      </c>
      <c r="E5554">
        <f>D5554*C5554</f>
        <v>0</v>
      </c>
      <c r="F5554" s="1" t="s">
        <v>16065</v>
      </c>
      <c r="G5554" s="17">
        <v>72587</v>
      </c>
    </row>
    <row r="5555" spans="1:7">
      <c r="A5555" s="1" t="s">
        <v>16066</v>
      </c>
      <c r="B5555" s="1" t="s">
        <v>16067</v>
      </c>
      <c r="C5555">
        <f>(1-(B7/100))*365.52</f>
        <v>365.52</v>
      </c>
      <c r="D5555" s="1">
        <v>0</v>
      </c>
      <c r="E5555">
        <f>D5555*C5555</f>
        <v>0</v>
      </c>
      <c r="F5555" s="1" t="s">
        <v>16068</v>
      </c>
      <c r="G5555" s="17">
        <v>72760</v>
      </c>
    </row>
    <row r="5556" spans="1:7">
      <c r="A5556" s="1" t="s">
        <v>16069</v>
      </c>
      <c r="B5556" s="1" t="s">
        <v>16070</v>
      </c>
      <c r="C5556">
        <f>(1-(B7/100))*239.12</f>
        <v>239.12</v>
      </c>
      <c r="D5556" s="1">
        <v>0</v>
      </c>
      <c r="E5556">
        <f>D5556*C5556</f>
        <v>0</v>
      </c>
      <c r="F5556" s="1" t="s">
        <v>16071</v>
      </c>
      <c r="G5556" s="17">
        <v>72761</v>
      </c>
    </row>
    <row r="5557" spans="1:7">
      <c r="A5557" s="1" t="s">
        <v>16072</v>
      </c>
      <c r="B5557" s="1" t="s">
        <v>16073</v>
      </c>
      <c r="C5557">
        <f>(1-(B7/100))*163.04</f>
        <v>163.04</v>
      </c>
      <c r="D5557" s="1">
        <v>0</v>
      </c>
      <c r="E5557">
        <f>D5557*C5557</f>
        <v>0</v>
      </c>
      <c r="F5557" s="1" t="s">
        <v>16074</v>
      </c>
      <c r="G5557" s="17">
        <v>72762</v>
      </c>
    </row>
    <row r="5558" spans="1:7">
      <c r="A5558" s="16"/>
      <c r="B5558" s="16" t="s">
        <v>16075</v>
      </c>
      <c r="C5558" s="16"/>
      <c r="D5558" s="16"/>
      <c r="E5558" s="16"/>
      <c r="F5558" s="16"/>
    </row>
    <row r="5559" spans="1:7">
      <c r="A5559" s="16"/>
      <c r="B5559" s="16" t="s">
        <v>16076</v>
      </c>
      <c r="C5559" s="16"/>
      <c r="D5559" s="16"/>
      <c r="E5559" s="16"/>
      <c r="F5559" s="16"/>
    </row>
    <row r="5560" spans="1:7">
      <c r="A5560" s="1" t="s">
        <v>16077</v>
      </c>
      <c r="B5560" s="1" t="s">
        <v>16078</v>
      </c>
      <c r="C5560">
        <f>(1-(B7/100))*303.2</f>
        <v>303.2</v>
      </c>
      <c r="D5560" s="1">
        <v>0</v>
      </c>
      <c r="E5560">
        <f>D5560*C5560</f>
        <v>0</v>
      </c>
      <c r="F5560" s="1" t="s">
        <v>16079</v>
      </c>
      <c r="G5560" s="17">
        <v>63476</v>
      </c>
    </row>
    <row r="5561" spans="1:7">
      <c r="A5561" s="1" t="s">
        <v>16080</v>
      </c>
      <c r="B5561" s="1" t="s">
        <v>16081</v>
      </c>
      <c r="C5561">
        <f>(1-(B7/100))*379.54</f>
        <v>379.54</v>
      </c>
      <c r="D5561" s="1">
        <v>0</v>
      </c>
      <c r="E5561">
        <f>D5561*C5561</f>
        <v>0</v>
      </c>
      <c r="F5561" s="1" t="s">
        <v>16082</v>
      </c>
      <c r="G5561" s="17">
        <v>64948</v>
      </c>
    </row>
    <row r="5562" spans="1:7">
      <c r="A5562" s="1" t="s">
        <v>16083</v>
      </c>
      <c r="B5562" s="1" t="s">
        <v>16084</v>
      </c>
      <c r="C5562">
        <f>(1-(B7/100))*187.93</f>
        <v>187.93</v>
      </c>
      <c r="D5562" s="1">
        <v>0</v>
      </c>
      <c r="E5562">
        <f>D5562*C5562</f>
        <v>0</v>
      </c>
      <c r="F5562" s="1" t="s">
        <v>16085</v>
      </c>
      <c r="G5562" s="17">
        <v>70170</v>
      </c>
    </row>
    <row r="5563" spans="1:7">
      <c r="A5563" s="1" t="s">
        <v>16086</v>
      </c>
      <c r="B5563" s="1" t="s">
        <v>16087</v>
      </c>
      <c r="C5563">
        <f>(1-(B7/100))*293.77</f>
        <v>293.77</v>
      </c>
      <c r="D5563" s="1">
        <v>0</v>
      </c>
      <c r="E5563">
        <f>D5563*C5563</f>
        <v>0</v>
      </c>
      <c r="F5563" s="1" t="s">
        <v>16088</v>
      </c>
      <c r="G5563" s="17">
        <v>70177</v>
      </c>
    </row>
    <row r="5564" spans="1:7">
      <c r="A5564" s="1" t="s">
        <v>16089</v>
      </c>
      <c r="B5564" s="1" t="s">
        <v>16090</v>
      </c>
      <c r="C5564">
        <f>(1-(B7/100))*270.41</f>
        <v>270.41</v>
      </c>
      <c r="D5564" s="1">
        <v>0</v>
      </c>
      <c r="E5564">
        <f>D5564*C5564</f>
        <v>0</v>
      </c>
      <c r="F5564" s="1" t="s">
        <v>16091</v>
      </c>
      <c r="G5564" s="17">
        <v>70180</v>
      </c>
    </row>
    <row r="5565" spans="1:7">
      <c r="A5565" s="1" t="s">
        <v>16092</v>
      </c>
      <c r="B5565" s="1" t="s">
        <v>16093</v>
      </c>
      <c r="C5565">
        <f>(1-(B7/100))*494.34</f>
        <v>494.34</v>
      </c>
      <c r="D5565" s="1">
        <v>0</v>
      </c>
      <c r="E5565">
        <f>D5565*C5565</f>
        <v>0</v>
      </c>
      <c r="F5565" s="1" t="s">
        <v>16094</v>
      </c>
      <c r="G5565" s="17">
        <v>70188</v>
      </c>
    </row>
    <row r="5566" spans="1:7">
      <c r="A5566" s="1" t="s">
        <v>16095</v>
      </c>
      <c r="B5566" s="1" t="s">
        <v>16096</v>
      </c>
      <c r="C5566">
        <f>(1-(B7/100))*106.37</f>
        <v>106.37</v>
      </c>
      <c r="D5566" s="1">
        <v>0</v>
      </c>
      <c r="E5566">
        <f>D5566*C5566</f>
        <v>0</v>
      </c>
      <c r="F5566" s="1" t="s">
        <v>16097</v>
      </c>
      <c r="G5566" s="17">
        <v>76730</v>
      </c>
    </row>
    <row r="5567" spans="1:7">
      <c r="A5567" s="1" t="s">
        <v>16098</v>
      </c>
      <c r="B5567" s="1" t="s">
        <v>16099</v>
      </c>
      <c r="C5567">
        <f>(1-(B7/100))*425.51</f>
        <v>425.51</v>
      </c>
      <c r="D5567" s="1">
        <v>0</v>
      </c>
      <c r="E5567">
        <f>D5567*C5567</f>
        <v>0</v>
      </c>
      <c r="F5567" s="1" t="s">
        <v>16100</v>
      </c>
      <c r="G5567" s="17">
        <v>76732</v>
      </c>
    </row>
    <row r="5568" spans="1:7">
      <c r="A5568" s="1" t="s">
        <v>16101</v>
      </c>
      <c r="B5568" s="1" t="s">
        <v>16102</v>
      </c>
      <c r="C5568">
        <f>(1-(B7/100))*1859.93</f>
        <v>1859.93</v>
      </c>
      <c r="D5568" s="1">
        <v>0</v>
      </c>
      <c r="E5568">
        <f>D5568*C5568</f>
        <v>0</v>
      </c>
      <c r="F5568" s="1" t="s">
        <v>16103</v>
      </c>
      <c r="G5568" s="17">
        <v>76741</v>
      </c>
    </row>
    <row r="5569" spans="1:7">
      <c r="A5569" s="1" t="s">
        <v>16104</v>
      </c>
      <c r="B5569" s="1" t="s">
        <v>16105</v>
      </c>
      <c r="C5569">
        <f>(1-(B7/100))*106.37</f>
        <v>106.37</v>
      </c>
      <c r="D5569" s="1">
        <v>0</v>
      </c>
      <c r="E5569">
        <f>D5569*C5569</f>
        <v>0</v>
      </c>
      <c r="F5569" s="1" t="s">
        <v>16106</v>
      </c>
      <c r="G5569" s="17">
        <v>76743</v>
      </c>
    </row>
    <row r="5570" spans="1:7">
      <c r="A5570" s="1" t="s">
        <v>16107</v>
      </c>
      <c r="B5570" s="1" t="s">
        <v>16108</v>
      </c>
      <c r="C5570">
        <f>(1-(B7/100))*721.14</f>
        <v>721.14</v>
      </c>
      <c r="D5570" s="1">
        <v>0</v>
      </c>
      <c r="E5570">
        <f>D5570*C5570</f>
        <v>0</v>
      </c>
      <c r="F5570" s="1" t="s">
        <v>16109</v>
      </c>
      <c r="G5570" s="17">
        <v>76745</v>
      </c>
    </row>
    <row r="5571" spans="1:7">
      <c r="A5571" s="1" t="s">
        <v>16110</v>
      </c>
      <c r="B5571" s="1" t="s">
        <v>16111</v>
      </c>
      <c r="C5571">
        <f>(1-(B7/100))*1092.07</f>
        <v>1092.07</v>
      </c>
      <c r="D5571" s="1">
        <v>0</v>
      </c>
      <c r="E5571">
        <f>D5571*C5571</f>
        <v>0</v>
      </c>
      <c r="F5571" s="1" t="s">
        <v>16112</v>
      </c>
      <c r="G5571" s="17">
        <v>76746</v>
      </c>
    </row>
    <row r="5572" spans="1:7">
      <c r="A5572" s="1" t="s">
        <v>16113</v>
      </c>
      <c r="B5572" s="1" t="s">
        <v>16114</v>
      </c>
      <c r="C5572">
        <f>(1-(B7/100))*336.5</f>
        <v>336.5</v>
      </c>
      <c r="D5572" s="1">
        <v>0</v>
      </c>
      <c r="E5572">
        <f>D5572*C5572</f>
        <v>0</v>
      </c>
      <c r="F5572" s="1" t="s">
        <v>16115</v>
      </c>
      <c r="G5572" s="17">
        <v>76747</v>
      </c>
    </row>
    <row r="5573" spans="1:7">
      <c r="A5573" s="1" t="s">
        <v>16116</v>
      </c>
      <c r="B5573" s="1" t="s">
        <v>16117</v>
      </c>
      <c r="C5573">
        <f>(1-(B7/100))*575.6</f>
        <v>575.6</v>
      </c>
      <c r="D5573" s="1">
        <v>0</v>
      </c>
      <c r="E5573">
        <f>D5573*C5573</f>
        <v>0</v>
      </c>
      <c r="F5573" s="1" t="s">
        <v>16118</v>
      </c>
      <c r="G5573" s="17">
        <v>87308</v>
      </c>
    </row>
    <row r="5574" spans="1:7">
      <c r="A5574" s="16"/>
      <c r="B5574" s="16" t="s">
        <v>16119</v>
      </c>
      <c r="C5574" s="16"/>
      <c r="D5574" s="16"/>
      <c r="E5574" s="16"/>
      <c r="F5574" s="16"/>
    </row>
    <row r="5575" spans="1:7">
      <c r="A5575" s="16"/>
      <c r="B5575" s="16" t="s">
        <v>16120</v>
      </c>
      <c r="C5575" s="16"/>
      <c r="D5575" s="16"/>
      <c r="E5575" s="16"/>
      <c r="F5575" s="16"/>
    </row>
    <row r="5576" spans="1:7">
      <c r="A5576" s="1" t="s">
        <v>16121</v>
      </c>
      <c r="B5576" s="1" t="s">
        <v>16122</v>
      </c>
      <c r="C5576">
        <f>(1-(B7/100))*6974.25</f>
        <v>6974.25</v>
      </c>
      <c r="D5576" s="1">
        <v>0</v>
      </c>
      <c r="E5576">
        <f>D5576*C5576</f>
        <v>0</v>
      </c>
      <c r="F5576" s="1" t="s">
        <v>16</v>
      </c>
      <c r="G5576" s="17">
        <v>87888</v>
      </c>
    </row>
    <row r="5577" spans="1:7">
      <c r="A5577" s="16"/>
      <c r="B5577" s="16" t="s">
        <v>16123</v>
      </c>
      <c r="C5577" s="16"/>
      <c r="D5577" s="16"/>
      <c r="E5577" s="16"/>
      <c r="F5577" s="16"/>
    </row>
    <row r="5578" spans="1:7">
      <c r="A5578" s="16"/>
      <c r="B5578" s="16" t="s">
        <v>16124</v>
      </c>
      <c r="C5578" s="16"/>
      <c r="D5578" s="16"/>
      <c r="E5578" s="16"/>
      <c r="F5578" s="16"/>
    </row>
    <row r="5579" spans="1:7">
      <c r="A5579" s="16"/>
      <c r="B5579" s="16" t="s">
        <v>16125</v>
      </c>
      <c r="C5579" s="16"/>
      <c r="D5579" s="16"/>
      <c r="E5579" s="16"/>
      <c r="F5579" s="16"/>
    </row>
    <row r="5580" spans="1:7">
      <c r="A5580" s="16"/>
      <c r="B5580" s="16" t="s">
        <v>16126</v>
      </c>
      <c r="C5580" s="16"/>
      <c r="D5580" s="16"/>
      <c r="E5580" s="16"/>
      <c r="F5580" s="16"/>
    </row>
    <row r="5581" spans="1:7">
      <c r="A5581" s="16"/>
      <c r="B5581" s="16" t="s">
        <v>16127</v>
      </c>
      <c r="C5581" s="16"/>
      <c r="D5581" s="16"/>
      <c r="E5581" s="16"/>
      <c r="F5581" s="16"/>
    </row>
    <row r="5582" spans="1:7">
      <c r="A5582" s="16"/>
      <c r="B5582" s="16" t="s">
        <v>16128</v>
      </c>
      <c r="C5582" s="16"/>
      <c r="D5582" s="16"/>
      <c r="E5582" s="16"/>
      <c r="F5582" s="16"/>
    </row>
    <row r="5583" spans="1:7">
      <c r="A5583" s="1" t="s">
        <v>16129</v>
      </c>
      <c r="B5583" s="1" t="s">
        <v>16130</v>
      </c>
      <c r="C5583">
        <f>(1-(B7/100))*175.54</f>
        <v>175.54</v>
      </c>
      <c r="D5583" s="1">
        <v>0</v>
      </c>
      <c r="E5583">
        <f>D5583*C5583</f>
        <v>0</v>
      </c>
      <c r="F5583" s="1" t="s">
        <v>16131</v>
      </c>
      <c r="G5583" s="17">
        <v>73147</v>
      </c>
    </row>
    <row r="5584" spans="1:7">
      <c r="A5584" s="16"/>
      <c r="B5584" s="16" t="s">
        <v>16132</v>
      </c>
      <c r="C5584" s="16"/>
      <c r="D5584" s="16"/>
      <c r="E5584" s="16"/>
      <c r="F5584" s="16"/>
    </row>
    <row r="5585" spans="1:7">
      <c r="A5585" s="16"/>
      <c r="B5585" s="16" t="s">
        <v>16133</v>
      </c>
      <c r="C5585" s="16"/>
      <c r="D5585" s="16"/>
      <c r="E5585" s="16"/>
      <c r="F5585" s="16"/>
    </row>
    <row r="5586" spans="1:7">
      <c r="A5586" s="16"/>
      <c r="B5586" s="16" t="s">
        <v>16134</v>
      </c>
      <c r="C5586" s="16"/>
      <c r="D5586" s="16"/>
      <c r="E5586" s="16"/>
      <c r="F5586" s="16"/>
    </row>
    <row r="5587" spans="1:7">
      <c r="A5587" s="16"/>
      <c r="B5587" s="16" t="s">
        <v>16135</v>
      </c>
      <c r="C5587" s="16"/>
      <c r="D5587" s="16"/>
      <c r="E5587" s="16"/>
      <c r="F5587" s="16"/>
    </row>
    <row r="5588" spans="1:7">
      <c r="A5588" s="16"/>
      <c r="B5588" s="16" t="s">
        <v>16136</v>
      </c>
      <c r="C5588" s="16"/>
      <c r="D5588" s="16"/>
      <c r="E5588" s="16"/>
      <c r="F5588" s="16"/>
    </row>
    <row r="5589" spans="1:7">
      <c r="A5589" s="16"/>
      <c r="B5589" s="16" t="s">
        <v>16137</v>
      </c>
      <c r="C5589" s="16"/>
      <c r="D5589" s="16"/>
      <c r="E5589" s="16"/>
      <c r="F5589" s="16"/>
    </row>
    <row r="5590" spans="1:7">
      <c r="A5590" s="16"/>
      <c r="B5590" s="16" t="s">
        <v>16138</v>
      </c>
      <c r="C5590" s="16"/>
      <c r="D5590" s="16"/>
      <c r="E5590" s="16"/>
      <c r="F5590" s="16"/>
    </row>
    <row r="5591" spans="1:7">
      <c r="A5591" s="16"/>
      <c r="B5591" s="16" t="s">
        <v>16139</v>
      </c>
      <c r="C5591" s="16"/>
      <c r="D5591" s="16"/>
      <c r="E5591" s="16"/>
      <c r="F5591" s="16"/>
    </row>
    <row r="5592" spans="1:7">
      <c r="A5592" s="16"/>
      <c r="B5592" s="16" t="s">
        <v>16140</v>
      </c>
      <c r="C5592" s="16"/>
      <c r="D5592" s="16"/>
      <c r="E5592" s="16"/>
      <c r="F5592" s="16"/>
    </row>
    <row r="5593" spans="1:7">
      <c r="A5593" s="1" t="s">
        <v>16141</v>
      </c>
      <c r="B5593" s="1" t="s">
        <v>16142</v>
      </c>
      <c r="C5593">
        <f>(1-(B7/100))*100.31</f>
        <v>100.31</v>
      </c>
      <c r="D5593" s="1">
        <v>0</v>
      </c>
      <c r="E5593">
        <f>D5593*C5593</f>
        <v>0</v>
      </c>
      <c r="F5593" s="1" t="s">
        <v>16143</v>
      </c>
      <c r="G5593" s="17">
        <v>76749</v>
      </c>
    </row>
    <row r="5594" spans="1:7">
      <c r="A5594" s="1" t="s">
        <v>16144</v>
      </c>
      <c r="B5594" s="1" t="s">
        <v>16145</v>
      </c>
      <c r="C5594">
        <f>(1-(B7/100))*153.72</f>
        <v>153.72</v>
      </c>
      <c r="D5594" s="1">
        <v>0</v>
      </c>
      <c r="E5594">
        <f>D5594*C5594</f>
        <v>0</v>
      </c>
      <c r="F5594" s="1" t="s">
        <v>16</v>
      </c>
      <c r="G5594" s="17">
        <v>76751</v>
      </c>
    </row>
    <row r="5595" spans="1:7">
      <c r="A5595" s="1" t="s">
        <v>16146</v>
      </c>
      <c r="B5595" s="1" t="s">
        <v>16147</v>
      </c>
      <c r="C5595">
        <f>(1-(B7/100))*232.28</f>
        <v>232.28</v>
      </c>
      <c r="D5595" s="1">
        <v>0</v>
      </c>
      <c r="E5595">
        <f>D5595*C5595</f>
        <v>0</v>
      </c>
      <c r="F5595" s="1" t="s">
        <v>16148</v>
      </c>
      <c r="G5595" s="17">
        <v>76755</v>
      </c>
    </row>
    <row r="5596" spans="1:7">
      <c r="A5596" s="1" t="s">
        <v>16149</v>
      </c>
      <c r="B5596" s="1" t="s">
        <v>16150</v>
      </c>
      <c r="C5596">
        <f>(1-(B7/100))*275.29</f>
        <v>275.29</v>
      </c>
      <c r="D5596" s="1">
        <v>0</v>
      </c>
      <c r="E5596">
        <f>D5596*C5596</f>
        <v>0</v>
      </c>
      <c r="F5596" s="1" t="s">
        <v>16151</v>
      </c>
      <c r="G5596" s="17">
        <v>76756</v>
      </c>
    </row>
    <row r="5597" spans="1:7">
      <c r="A5597" s="16"/>
      <c r="B5597" s="16" t="s">
        <v>16152</v>
      </c>
      <c r="C5597" s="16"/>
      <c r="D5597" s="16"/>
      <c r="E5597" s="16"/>
      <c r="F5597" s="16"/>
    </row>
    <row r="5598" spans="1:7">
      <c r="A5598" s="16"/>
      <c r="B5598" s="16" t="s">
        <v>16153</v>
      </c>
      <c r="C5598" s="16"/>
      <c r="D5598" s="16"/>
      <c r="E5598" s="16"/>
      <c r="F5598" s="16"/>
    </row>
    <row r="5599" spans="1:7">
      <c r="A5599" s="16"/>
      <c r="B5599" s="16" t="s">
        <v>16154</v>
      </c>
      <c r="C5599" s="16"/>
      <c r="D5599" s="16"/>
      <c r="E5599" s="16"/>
      <c r="F5599" s="16"/>
    </row>
    <row r="5600" spans="1:7">
      <c r="A5600" s="16"/>
      <c r="B5600" s="16" t="s">
        <v>16155</v>
      </c>
      <c r="C5600" s="16"/>
      <c r="D5600" s="16"/>
      <c r="E5600" s="16"/>
      <c r="F5600" s="16"/>
    </row>
    <row r="5601" spans="1:7">
      <c r="A5601" s="1" t="s">
        <v>16156</v>
      </c>
      <c r="B5601" s="1" t="s">
        <v>16157</v>
      </c>
      <c r="C5601">
        <f>(1-(B7/100))*98.98</f>
        <v>98.98</v>
      </c>
      <c r="D5601" s="1">
        <v>0</v>
      </c>
      <c r="E5601">
        <f>D5601*C5601</f>
        <v>0</v>
      </c>
      <c r="F5601" s="1" t="s">
        <v>16158</v>
      </c>
      <c r="G5601" s="17">
        <v>63005</v>
      </c>
    </row>
    <row r="5602" spans="1:7">
      <c r="A5602" s="1" t="s">
        <v>16159</v>
      </c>
      <c r="B5602" s="1" t="s">
        <v>16160</v>
      </c>
      <c r="C5602">
        <f>(1-(B7/100))*61.58</f>
        <v>61.58</v>
      </c>
      <c r="D5602" s="1">
        <v>0</v>
      </c>
      <c r="E5602">
        <f>D5602*C5602</f>
        <v>0</v>
      </c>
      <c r="F5602" s="1" t="s">
        <v>16161</v>
      </c>
      <c r="G5602" s="17">
        <v>63121</v>
      </c>
    </row>
    <row r="5603" spans="1:7">
      <c r="A5603" s="1" t="s">
        <v>16162</v>
      </c>
      <c r="B5603" s="1" t="s">
        <v>16163</v>
      </c>
      <c r="C5603">
        <f>(1-(B7/100))*34.05</f>
        <v>34.05</v>
      </c>
      <c r="D5603" s="1">
        <v>0</v>
      </c>
      <c r="E5603">
        <f>D5603*C5603</f>
        <v>0</v>
      </c>
      <c r="F5603" s="1" t="s">
        <v>16164</v>
      </c>
      <c r="G5603" s="17">
        <v>63167</v>
      </c>
    </row>
    <row r="5604" spans="1:7">
      <c r="A5604" s="1" t="s">
        <v>16165</v>
      </c>
      <c r="B5604" s="1" t="s">
        <v>16166</v>
      </c>
      <c r="C5604">
        <f>(1-(B7/100))*34.05</f>
        <v>34.05</v>
      </c>
      <c r="D5604" s="1">
        <v>0</v>
      </c>
      <c r="E5604">
        <f>D5604*C5604</f>
        <v>0</v>
      </c>
      <c r="F5604" s="1" t="s">
        <v>16167</v>
      </c>
      <c r="G5604" s="17">
        <v>63168</v>
      </c>
    </row>
    <row r="5605" spans="1:7">
      <c r="A5605" s="1" t="s">
        <v>16168</v>
      </c>
      <c r="B5605" s="1" t="s">
        <v>16169</v>
      </c>
      <c r="C5605">
        <f>(1-(B7/100))*80.18</f>
        <v>80.18</v>
      </c>
      <c r="D5605" s="1">
        <v>0</v>
      </c>
      <c r="E5605">
        <f>D5605*C5605</f>
        <v>0</v>
      </c>
      <c r="F5605" s="1" t="s">
        <v>16170</v>
      </c>
      <c r="G5605" s="17">
        <v>63227</v>
      </c>
    </row>
    <row r="5606" spans="1:7">
      <c r="A5606" s="1" t="s">
        <v>16171</v>
      </c>
      <c r="B5606" s="1" t="s">
        <v>16172</v>
      </c>
      <c r="C5606">
        <f>(1-(B7/100))*153.39</f>
        <v>153.39</v>
      </c>
      <c r="D5606" s="1">
        <v>0</v>
      </c>
      <c r="E5606">
        <f>D5606*C5606</f>
        <v>0</v>
      </c>
      <c r="F5606" s="1" t="s">
        <v>16173</v>
      </c>
      <c r="G5606" s="17">
        <v>69718</v>
      </c>
    </row>
    <row r="5607" spans="1:7">
      <c r="A5607" s="1" t="s">
        <v>16174</v>
      </c>
      <c r="B5607" s="1" t="s">
        <v>16175</v>
      </c>
      <c r="C5607">
        <f>(1-(B7/100))*163.72</f>
        <v>163.72</v>
      </c>
      <c r="D5607" s="1">
        <v>0</v>
      </c>
      <c r="E5607">
        <f>D5607*C5607</f>
        <v>0</v>
      </c>
      <c r="F5607" s="1" t="s">
        <v>16176</v>
      </c>
      <c r="G5607" s="17">
        <v>69719</v>
      </c>
    </row>
    <row r="5608" spans="1:7">
      <c r="A5608" s="1" t="s">
        <v>16177</v>
      </c>
      <c r="B5608" s="1" t="s">
        <v>16178</v>
      </c>
      <c r="C5608">
        <f>(1-(B7/100))*556.85</f>
        <v>556.85</v>
      </c>
      <c r="D5608" s="1">
        <v>0</v>
      </c>
      <c r="E5608">
        <f>D5608*C5608</f>
        <v>0</v>
      </c>
      <c r="F5608" s="1" t="s">
        <v>16179</v>
      </c>
      <c r="G5608" s="17">
        <v>69722</v>
      </c>
    </row>
    <row r="5609" spans="1:7">
      <c r="A5609" s="1" t="s">
        <v>16180</v>
      </c>
      <c r="B5609" s="1" t="s">
        <v>16181</v>
      </c>
      <c r="C5609">
        <f>(1-(B7/100))*165.72</f>
        <v>165.72</v>
      </c>
      <c r="D5609" s="1">
        <v>0</v>
      </c>
      <c r="E5609">
        <f>D5609*C5609</f>
        <v>0</v>
      </c>
      <c r="F5609" s="1" t="s">
        <v>16182</v>
      </c>
      <c r="G5609" s="17">
        <v>69723</v>
      </c>
    </row>
    <row r="5610" spans="1:7">
      <c r="A5610" s="1" t="s">
        <v>16183</v>
      </c>
      <c r="B5610" s="1" t="s">
        <v>16184</v>
      </c>
      <c r="C5610">
        <f>(1-(B7/100))*165.72</f>
        <v>165.72</v>
      </c>
      <c r="D5610" s="1">
        <v>0</v>
      </c>
      <c r="E5610">
        <f>D5610*C5610</f>
        <v>0</v>
      </c>
      <c r="F5610" s="1" t="s">
        <v>16185</v>
      </c>
      <c r="G5610" s="17">
        <v>69724</v>
      </c>
    </row>
    <row r="5611" spans="1:7">
      <c r="A5611" s="1" t="s">
        <v>16186</v>
      </c>
      <c r="B5611" s="1" t="s">
        <v>16187</v>
      </c>
      <c r="C5611">
        <f>(1-(B7/100))*53.13</f>
        <v>53.13</v>
      </c>
      <c r="D5611" s="1">
        <v>0</v>
      </c>
      <c r="E5611">
        <f>D5611*C5611</f>
        <v>0</v>
      </c>
      <c r="F5611" s="1" t="s">
        <v>16188</v>
      </c>
      <c r="G5611" s="17">
        <v>69725</v>
      </c>
    </row>
    <row r="5612" spans="1:7">
      <c r="A5612" s="1" t="s">
        <v>16189</v>
      </c>
      <c r="B5612" s="1" t="s">
        <v>16190</v>
      </c>
      <c r="C5612">
        <f>(1-(B7/100))*53.13</f>
        <v>53.13</v>
      </c>
      <c r="D5612" s="1">
        <v>0</v>
      </c>
      <c r="E5612">
        <f>D5612*C5612</f>
        <v>0</v>
      </c>
      <c r="F5612" s="1" t="s">
        <v>16191</v>
      </c>
      <c r="G5612" s="17">
        <v>69726</v>
      </c>
    </row>
    <row r="5613" spans="1:7">
      <c r="A5613" s="1" t="s">
        <v>16192</v>
      </c>
      <c r="B5613" s="1" t="s">
        <v>16193</v>
      </c>
      <c r="C5613">
        <f>(1-(B7/100))*211.6</f>
        <v>211.6</v>
      </c>
      <c r="D5613" s="1">
        <v>0</v>
      </c>
      <c r="E5613">
        <f>D5613*C5613</f>
        <v>0</v>
      </c>
      <c r="F5613" s="1" t="s">
        <v>16194</v>
      </c>
      <c r="G5613" s="17">
        <v>69727</v>
      </c>
    </row>
    <row r="5614" spans="1:7">
      <c r="A5614" s="1" t="s">
        <v>16195</v>
      </c>
      <c r="B5614" s="1" t="s">
        <v>16196</v>
      </c>
      <c r="C5614">
        <f>(1-(B7/100))*52.37</f>
        <v>52.37</v>
      </c>
      <c r="D5614" s="1">
        <v>0</v>
      </c>
      <c r="E5614">
        <f>D5614*C5614</f>
        <v>0</v>
      </c>
      <c r="F5614" s="1" t="s">
        <v>16197</v>
      </c>
      <c r="G5614" s="17">
        <v>69731</v>
      </c>
    </row>
    <row r="5615" spans="1:7">
      <c r="A5615" s="1" t="s">
        <v>16198</v>
      </c>
      <c r="B5615" s="1" t="s">
        <v>16199</v>
      </c>
      <c r="C5615">
        <f>(1-(B7/100))*129.3</f>
        <v>129.3</v>
      </c>
      <c r="D5615" s="1">
        <v>0</v>
      </c>
      <c r="E5615">
        <f>D5615*C5615</f>
        <v>0</v>
      </c>
      <c r="F5615" s="1" t="s">
        <v>16200</v>
      </c>
      <c r="G5615" s="17">
        <v>69733</v>
      </c>
    </row>
    <row r="5616" spans="1:7">
      <c r="A5616" s="1" t="s">
        <v>16201</v>
      </c>
      <c r="B5616" s="1" t="s">
        <v>16202</v>
      </c>
      <c r="C5616">
        <f>(1-(B7/100))*81.88</f>
        <v>81.88</v>
      </c>
      <c r="D5616" s="1">
        <v>0</v>
      </c>
      <c r="E5616">
        <f>D5616*C5616</f>
        <v>0</v>
      </c>
      <c r="F5616" s="1" t="s">
        <v>16203</v>
      </c>
      <c r="G5616" s="17">
        <v>69736</v>
      </c>
    </row>
    <row r="5617" spans="1:7">
      <c r="A5617" s="1" t="s">
        <v>16204</v>
      </c>
      <c r="B5617" s="1" t="s">
        <v>16205</v>
      </c>
      <c r="C5617">
        <f>(1-(B7/100))*53.13</f>
        <v>53.13</v>
      </c>
      <c r="D5617" s="1">
        <v>0</v>
      </c>
      <c r="E5617">
        <f>D5617*C5617</f>
        <v>0</v>
      </c>
      <c r="F5617" s="1" t="s">
        <v>16206</v>
      </c>
      <c r="G5617" s="17">
        <v>69737</v>
      </c>
    </row>
    <row r="5618" spans="1:7">
      <c r="A5618" s="1" t="s">
        <v>16207</v>
      </c>
      <c r="B5618" s="1" t="s">
        <v>16208</v>
      </c>
      <c r="C5618">
        <f>(1-(B7/100))*76.47</f>
        <v>76.47</v>
      </c>
      <c r="D5618" s="1">
        <v>0</v>
      </c>
      <c r="E5618">
        <f>D5618*C5618</f>
        <v>0</v>
      </c>
      <c r="F5618" s="1" t="s">
        <v>16209</v>
      </c>
      <c r="G5618" s="17">
        <v>69738</v>
      </c>
    </row>
    <row r="5619" spans="1:7">
      <c r="A5619" s="1" t="s">
        <v>16210</v>
      </c>
      <c r="B5619" s="1" t="s">
        <v>16211</v>
      </c>
      <c r="C5619">
        <f>(1-(B7/100))*57.82</f>
        <v>57.82</v>
      </c>
      <c r="D5619" s="1">
        <v>0</v>
      </c>
      <c r="E5619">
        <f>D5619*C5619</f>
        <v>0</v>
      </c>
      <c r="F5619" s="1" t="s">
        <v>16212</v>
      </c>
      <c r="G5619" s="17">
        <v>69745</v>
      </c>
    </row>
    <row r="5620" spans="1:7">
      <c r="A5620" s="1" t="s">
        <v>16213</v>
      </c>
      <c r="B5620" s="1" t="s">
        <v>16214</v>
      </c>
      <c r="C5620">
        <f>(1-(B7/100))*57.82</f>
        <v>57.82</v>
      </c>
      <c r="D5620" s="1">
        <v>0</v>
      </c>
      <c r="E5620">
        <f>D5620*C5620</f>
        <v>0</v>
      </c>
      <c r="F5620" s="1" t="s">
        <v>16215</v>
      </c>
      <c r="G5620" s="17">
        <v>69746</v>
      </c>
    </row>
    <row r="5621" spans="1:7">
      <c r="A5621" s="1" t="s">
        <v>16216</v>
      </c>
      <c r="B5621" s="1" t="s">
        <v>16217</v>
      </c>
      <c r="C5621">
        <f>(1-(B7/100))*57.82</f>
        <v>57.82</v>
      </c>
      <c r="D5621" s="1">
        <v>0</v>
      </c>
      <c r="E5621">
        <f>D5621*C5621</f>
        <v>0</v>
      </c>
      <c r="F5621" s="1" t="s">
        <v>16218</v>
      </c>
      <c r="G5621" s="17">
        <v>69747</v>
      </c>
    </row>
    <row r="5622" spans="1:7">
      <c r="A5622" s="1" t="s">
        <v>16219</v>
      </c>
      <c r="B5622" s="1" t="s">
        <v>16220</v>
      </c>
      <c r="C5622">
        <f>(1-(B7/100))*1007.72</f>
        <v>1007.72</v>
      </c>
      <c r="D5622" s="1">
        <v>0</v>
      </c>
      <c r="E5622">
        <f>D5622*C5622</f>
        <v>0</v>
      </c>
      <c r="F5622" s="1" t="s">
        <v>16221</v>
      </c>
      <c r="G5622" s="17">
        <v>69749</v>
      </c>
    </row>
    <row r="5623" spans="1:7">
      <c r="A5623" s="1" t="s">
        <v>16222</v>
      </c>
      <c r="B5623" s="1" t="s">
        <v>16223</v>
      </c>
      <c r="C5623">
        <f>(1-(B7/100))*1007.72</f>
        <v>1007.72</v>
      </c>
      <c r="D5623" s="1">
        <v>0</v>
      </c>
      <c r="E5623">
        <f>D5623*C5623</f>
        <v>0</v>
      </c>
      <c r="F5623" s="1" t="s">
        <v>16224</v>
      </c>
      <c r="G5623" s="17">
        <v>69750</v>
      </c>
    </row>
    <row r="5624" spans="1:7">
      <c r="A5624" s="1" t="s">
        <v>16225</v>
      </c>
      <c r="B5624" s="1" t="s">
        <v>16226</v>
      </c>
      <c r="C5624">
        <f>(1-(B7/100))*93.57</f>
        <v>93.57</v>
      </c>
      <c r="D5624" s="1">
        <v>0</v>
      </c>
      <c r="E5624">
        <f>D5624*C5624</f>
        <v>0</v>
      </c>
      <c r="F5624" s="1" t="s">
        <v>16227</v>
      </c>
      <c r="G5624" s="17">
        <v>69751</v>
      </c>
    </row>
    <row r="5625" spans="1:7">
      <c r="A5625" s="1" t="s">
        <v>16228</v>
      </c>
      <c r="B5625" s="1" t="s">
        <v>16229</v>
      </c>
      <c r="C5625">
        <f>(1-(B7/100))*53.13</f>
        <v>53.13</v>
      </c>
      <c r="D5625" s="1">
        <v>0</v>
      </c>
      <c r="E5625">
        <f>D5625*C5625</f>
        <v>0</v>
      </c>
      <c r="F5625" s="1" t="s">
        <v>16230</v>
      </c>
      <c r="G5625" s="17">
        <v>69753</v>
      </c>
    </row>
    <row r="5626" spans="1:7">
      <c r="A5626" s="1" t="s">
        <v>16231</v>
      </c>
      <c r="B5626" s="1" t="s">
        <v>16232</v>
      </c>
      <c r="C5626">
        <f>(1-(B7/100))*53.13</f>
        <v>53.13</v>
      </c>
      <c r="D5626" s="1">
        <v>0</v>
      </c>
      <c r="E5626">
        <f>D5626*C5626</f>
        <v>0</v>
      </c>
      <c r="F5626" s="1" t="s">
        <v>16233</v>
      </c>
      <c r="G5626" s="17">
        <v>69755</v>
      </c>
    </row>
    <row r="5627" spans="1:7">
      <c r="A5627" s="1" t="s">
        <v>16234</v>
      </c>
      <c r="B5627" s="1" t="s">
        <v>16235</v>
      </c>
      <c r="C5627">
        <f>(1-(B7/100))*20.5</f>
        <v>20.5</v>
      </c>
      <c r="D5627" s="1">
        <v>0</v>
      </c>
      <c r="E5627">
        <f>D5627*C5627</f>
        <v>0</v>
      </c>
      <c r="F5627" s="1" t="s">
        <v>16236</v>
      </c>
      <c r="G5627" s="17">
        <v>69757</v>
      </c>
    </row>
    <row r="5628" spans="1:7">
      <c r="A5628" s="1" t="s">
        <v>16237</v>
      </c>
      <c r="B5628" s="1" t="s">
        <v>16238</v>
      </c>
      <c r="C5628">
        <f>(1-(B7/100))*29.04</f>
        <v>29.04</v>
      </c>
      <c r="D5628" s="1">
        <v>0</v>
      </c>
      <c r="E5628">
        <f>D5628*C5628</f>
        <v>0</v>
      </c>
      <c r="F5628" s="1" t="s">
        <v>16239</v>
      </c>
      <c r="G5628" s="17">
        <v>69758</v>
      </c>
    </row>
    <row r="5629" spans="1:7">
      <c r="A5629" s="1" t="s">
        <v>16240</v>
      </c>
      <c r="B5629" s="1" t="s">
        <v>16241</v>
      </c>
      <c r="C5629">
        <f>(1-(B7/100))*29.8</f>
        <v>29.8</v>
      </c>
      <c r="D5629" s="1">
        <v>0</v>
      </c>
      <c r="E5629">
        <f>D5629*C5629</f>
        <v>0</v>
      </c>
      <c r="F5629" s="1" t="s">
        <v>16242</v>
      </c>
      <c r="G5629" s="17">
        <v>69759</v>
      </c>
    </row>
    <row r="5630" spans="1:7">
      <c r="A5630" s="1" t="s">
        <v>16243</v>
      </c>
      <c r="B5630" s="1" t="s">
        <v>16244</v>
      </c>
      <c r="C5630">
        <f>(1-(B7/100))*35.81</f>
        <v>35.81</v>
      </c>
      <c r="D5630" s="1">
        <v>0</v>
      </c>
      <c r="E5630">
        <f>D5630*C5630</f>
        <v>0</v>
      </c>
      <c r="F5630" s="1" t="s">
        <v>16245</v>
      </c>
      <c r="G5630" s="17">
        <v>69760</v>
      </c>
    </row>
    <row r="5631" spans="1:7">
      <c r="A5631" s="1" t="s">
        <v>16246</v>
      </c>
      <c r="B5631" s="1" t="s">
        <v>16247</v>
      </c>
      <c r="C5631">
        <f>(1-(B7/100))*216.38</f>
        <v>216.38</v>
      </c>
      <c r="D5631" s="1">
        <v>0</v>
      </c>
      <c r="E5631">
        <f>D5631*C5631</f>
        <v>0</v>
      </c>
      <c r="F5631" s="1" t="s">
        <v>16248</v>
      </c>
      <c r="G5631" s="17">
        <v>69761</v>
      </c>
    </row>
    <row r="5632" spans="1:7">
      <c r="A5632" s="1" t="s">
        <v>16249</v>
      </c>
      <c r="B5632" s="1" t="s">
        <v>16250</v>
      </c>
      <c r="C5632">
        <f>(1-(B7/100))*203.93</f>
        <v>203.93</v>
      </c>
      <c r="D5632" s="1">
        <v>0</v>
      </c>
      <c r="E5632">
        <f>D5632*C5632</f>
        <v>0</v>
      </c>
      <c r="F5632" s="1" t="s">
        <v>16251</v>
      </c>
      <c r="G5632" s="17">
        <v>69763</v>
      </c>
    </row>
    <row r="5633" spans="1:7">
      <c r="A5633" s="1" t="s">
        <v>16252</v>
      </c>
      <c r="B5633" s="1" t="s">
        <v>16253</v>
      </c>
      <c r="C5633">
        <f>(1-(B7/100))*123.09</f>
        <v>123.09</v>
      </c>
      <c r="D5633" s="1">
        <v>0</v>
      </c>
      <c r="E5633">
        <f>D5633*C5633</f>
        <v>0</v>
      </c>
      <c r="F5633" s="1" t="s">
        <v>16254</v>
      </c>
      <c r="G5633" s="17">
        <v>69764</v>
      </c>
    </row>
    <row r="5634" spans="1:7">
      <c r="A5634" s="1" t="s">
        <v>16255</v>
      </c>
      <c r="B5634" s="1" t="s">
        <v>16256</v>
      </c>
      <c r="C5634">
        <f>(1-(B7/100))*32.72</f>
        <v>32.72</v>
      </c>
      <c r="D5634" s="1">
        <v>0</v>
      </c>
      <c r="E5634">
        <f>D5634*C5634</f>
        <v>0</v>
      </c>
      <c r="F5634" s="1" t="s">
        <v>16257</v>
      </c>
      <c r="G5634" s="17">
        <v>69772</v>
      </c>
    </row>
    <row r="5635" spans="1:7">
      <c r="A5635" s="1" t="s">
        <v>16258</v>
      </c>
      <c r="B5635" s="1" t="s">
        <v>16259</v>
      </c>
      <c r="C5635">
        <f>(1-(B7/100))*53.13</f>
        <v>53.13</v>
      </c>
      <c r="D5635" s="1">
        <v>0</v>
      </c>
      <c r="E5635">
        <f>D5635*C5635</f>
        <v>0</v>
      </c>
      <c r="F5635" s="1" t="s">
        <v>16260</v>
      </c>
      <c r="G5635" s="17">
        <v>69773</v>
      </c>
    </row>
    <row r="5636" spans="1:7">
      <c r="A5636" s="1" t="s">
        <v>16261</v>
      </c>
      <c r="B5636" s="1" t="s">
        <v>16262</v>
      </c>
      <c r="C5636">
        <f>(1-(B7/100))*28.68</f>
        <v>28.68</v>
      </c>
      <c r="D5636" s="1">
        <v>0</v>
      </c>
      <c r="E5636">
        <f>D5636*C5636</f>
        <v>0</v>
      </c>
      <c r="F5636" s="1" t="s">
        <v>16263</v>
      </c>
      <c r="G5636" s="17">
        <v>69774</v>
      </c>
    </row>
    <row r="5637" spans="1:7">
      <c r="A5637" s="1" t="s">
        <v>16264</v>
      </c>
      <c r="B5637" s="1" t="s">
        <v>16265</v>
      </c>
      <c r="C5637">
        <f>(1-(B7/100))*430.95</f>
        <v>430.95</v>
      </c>
      <c r="D5637" s="1">
        <v>0</v>
      </c>
      <c r="E5637">
        <f>D5637*C5637</f>
        <v>0</v>
      </c>
      <c r="F5637" s="1" t="s">
        <v>16266</v>
      </c>
      <c r="G5637" s="17">
        <v>69775</v>
      </c>
    </row>
    <row r="5638" spans="1:7">
      <c r="A5638" s="1" t="s">
        <v>16267</v>
      </c>
      <c r="B5638" s="1" t="s">
        <v>16268</v>
      </c>
      <c r="C5638">
        <f>(1-(B7/100))*81.88</f>
        <v>81.88</v>
      </c>
      <c r="D5638" s="1">
        <v>0</v>
      </c>
      <c r="E5638">
        <f>D5638*C5638</f>
        <v>0</v>
      </c>
      <c r="F5638" s="1" t="s">
        <v>16269</v>
      </c>
      <c r="G5638" s="17">
        <v>69776</v>
      </c>
    </row>
    <row r="5639" spans="1:7">
      <c r="A5639" s="1" t="s">
        <v>16270</v>
      </c>
      <c r="B5639" s="1" t="s">
        <v>16271</v>
      </c>
      <c r="C5639">
        <f>(1-(B7/100))*24.31</f>
        <v>24.31</v>
      </c>
      <c r="D5639" s="1">
        <v>0</v>
      </c>
      <c r="E5639">
        <f>D5639*C5639</f>
        <v>0</v>
      </c>
      <c r="F5639" s="1" t="s">
        <v>16272</v>
      </c>
      <c r="G5639" s="17">
        <v>69777</v>
      </c>
    </row>
    <row r="5640" spans="1:7">
      <c r="A5640" s="1" t="s">
        <v>16273</v>
      </c>
      <c r="B5640" s="1" t="s">
        <v>16274</v>
      </c>
      <c r="C5640">
        <f>(1-(B7/100))*128.38</f>
        <v>128.38</v>
      </c>
      <c r="D5640" s="1">
        <v>0</v>
      </c>
      <c r="E5640">
        <f>D5640*C5640</f>
        <v>0</v>
      </c>
      <c r="F5640" s="1" t="s">
        <v>16275</v>
      </c>
      <c r="G5640" s="17">
        <v>69782</v>
      </c>
    </row>
    <row r="5641" spans="1:7">
      <c r="A5641" s="1" t="s">
        <v>16276</v>
      </c>
      <c r="B5641" s="1" t="s">
        <v>16277</v>
      </c>
      <c r="C5641">
        <f>(1-(B7/100))*29.98</f>
        <v>29.98</v>
      </c>
      <c r="D5641" s="1">
        <v>0</v>
      </c>
      <c r="E5641">
        <f>D5641*C5641</f>
        <v>0</v>
      </c>
      <c r="F5641" s="1" t="s">
        <v>16278</v>
      </c>
      <c r="G5641" s="17">
        <v>69784</v>
      </c>
    </row>
    <row r="5642" spans="1:7">
      <c r="A5642" s="1" t="s">
        <v>16279</v>
      </c>
      <c r="B5642" s="1" t="s">
        <v>16280</v>
      </c>
      <c r="C5642">
        <f>(1-(B7/100))*32.72</f>
        <v>32.72</v>
      </c>
      <c r="D5642" s="1">
        <v>0</v>
      </c>
      <c r="E5642">
        <f>D5642*C5642</f>
        <v>0</v>
      </c>
      <c r="F5642" s="1" t="s">
        <v>16281</v>
      </c>
      <c r="G5642" s="17">
        <v>69785</v>
      </c>
    </row>
    <row r="5643" spans="1:7">
      <c r="A5643" s="1" t="s">
        <v>16282</v>
      </c>
      <c r="B5643" s="1" t="s">
        <v>16283</v>
      </c>
      <c r="C5643">
        <f>(1-(B7/100))*29.04</f>
        <v>29.04</v>
      </c>
      <c r="D5643" s="1">
        <v>0</v>
      </c>
      <c r="E5643">
        <f>D5643*C5643</f>
        <v>0</v>
      </c>
      <c r="F5643" s="1" t="s">
        <v>16284</v>
      </c>
      <c r="G5643" s="17">
        <v>69788</v>
      </c>
    </row>
    <row r="5644" spans="1:7">
      <c r="A5644" s="1" t="s">
        <v>16285</v>
      </c>
      <c r="B5644" s="1" t="s">
        <v>16286</v>
      </c>
      <c r="C5644">
        <f>(1-(B7/100))*174.38</f>
        <v>174.38</v>
      </c>
      <c r="D5644" s="1">
        <v>0</v>
      </c>
      <c r="E5644">
        <f>D5644*C5644</f>
        <v>0</v>
      </c>
      <c r="F5644" s="1" t="s">
        <v>16287</v>
      </c>
      <c r="G5644" s="17">
        <v>69797</v>
      </c>
    </row>
    <row r="5645" spans="1:7">
      <c r="A5645" s="1" t="s">
        <v>16288</v>
      </c>
      <c r="B5645" s="1" t="s">
        <v>16289</v>
      </c>
      <c r="C5645">
        <f>(1-(B7/100))*169.77</f>
        <v>169.77</v>
      </c>
      <c r="D5645" s="1">
        <v>0</v>
      </c>
      <c r="E5645">
        <f>D5645*C5645</f>
        <v>0</v>
      </c>
      <c r="F5645" s="1" t="s">
        <v>16290</v>
      </c>
      <c r="G5645" s="17">
        <v>69799</v>
      </c>
    </row>
    <row r="5646" spans="1:7">
      <c r="A5646" s="1" t="s">
        <v>16291</v>
      </c>
      <c r="B5646" s="1" t="s">
        <v>16292</v>
      </c>
      <c r="C5646">
        <f>(1-(B7/100))*169.77</f>
        <v>169.77</v>
      </c>
      <c r="D5646" s="1">
        <v>0</v>
      </c>
      <c r="E5646">
        <f>D5646*C5646</f>
        <v>0</v>
      </c>
      <c r="F5646" s="1" t="s">
        <v>16293</v>
      </c>
      <c r="G5646" s="17">
        <v>69800</v>
      </c>
    </row>
    <row r="5647" spans="1:7">
      <c r="A5647" s="1" t="s">
        <v>16294</v>
      </c>
      <c r="B5647" s="1" t="s">
        <v>16295</v>
      </c>
      <c r="C5647">
        <f>(1-(B7/100))*35.27</f>
        <v>35.27</v>
      </c>
      <c r="D5647" s="1">
        <v>0</v>
      </c>
      <c r="E5647">
        <f>D5647*C5647</f>
        <v>0</v>
      </c>
      <c r="F5647" s="1" t="s">
        <v>16296</v>
      </c>
      <c r="G5647" s="17">
        <v>69801</v>
      </c>
    </row>
    <row r="5648" spans="1:7">
      <c r="A5648" s="1" t="s">
        <v>16297</v>
      </c>
      <c r="B5648" s="1" t="s">
        <v>16298</v>
      </c>
      <c r="C5648">
        <f>(1-(B7/100))*33.67</f>
        <v>33.67</v>
      </c>
      <c r="D5648" s="1">
        <v>0</v>
      </c>
      <c r="E5648">
        <f>D5648*C5648</f>
        <v>0</v>
      </c>
      <c r="F5648" s="1" t="s">
        <v>16299</v>
      </c>
      <c r="G5648" s="17">
        <v>69802</v>
      </c>
    </row>
    <row r="5649" spans="1:7">
      <c r="A5649" s="1" t="s">
        <v>16300</v>
      </c>
      <c r="B5649" s="1" t="s">
        <v>16301</v>
      </c>
      <c r="C5649">
        <f>(1-(B7/100))*174.38</f>
        <v>174.38</v>
      </c>
      <c r="D5649" s="1">
        <v>0</v>
      </c>
      <c r="E5649">
        <f>D5649*C5649</f>
        <v>0</v>
      </c>
      <c r="F5649" s="1" t="s">
        <v>16302</v>
      </c>
      <c r="G5649" s="17">
        <v>69803</v>
      </c>
    </row>
    <row r="5650" spans="1:7">
      <c r="A5650" s="1" t="s">
        <v>16303</v>
      </c>
      <c r="B5650" s="1" t="s">
        <v>16304</v>
      </c>
      <c r="C5650">
        <f>(1-(B7/100))*45.84</f>
        <v>45.84</v>
      </c>
      <c r="D5650" s="1">
        <v>0</v>
      </c>
      <c r="E5650">
        <f>D5650*C5650</f>
        <v>0</v>
      </c>
      <c r="F5650" s="1" t="s">
        <v>16305</v>
      </c>
      <c r="G5650" s="17">
        <v>69807</v>
      </c>
    </row>
    <row r="5651" spans="1:7">
      <c r="A5651" s="1" t="s">
        <v>16306</v>
      </c>
      <c r="B5651" s="1" t="s">
        <v>16307</v>
      </c>
      <c r="C5651">
        <f>(1-(B7/100))*29.04</f>
        <v>29.04</v>
      </c>
      <c r="D5651" s="1">
        <v>0</v>
      </c>
      <c r="E5651">
        <f>D5651*C5651</f>
        <v>0</v>
      </c>
      <c r="F5651" s="1" t="s">
        <v>16308</v>
      </c>
      <c r="G5651" s="17">
        <v>69809</v>
      </c>
    </row>
    <row r="5652" spans="1:7">
      <c r="A5652" s="1" t="s">
        <v>16309</v>
      </c>
      <c r="B5652" s="1" t="s">
        <v>16310</v>
      </c>
      <c r="C5652">
        <f>(1-(B7/100))*1007.72</f>
        <v>1007.72</v>
      </c>
      <c r="D5652" s="1">
        <v>0</v>
      </c>
      <c r="E5652">
        <f>D5652*C5652</f>
        <v>0</v>
      </c>
      <c r="F5652" s="1" t="s">
        <v>16311</v>
      </c>
      <c r="G5652" s="17">
        <v>69816</v>
      </c>
    </row>
    <row r="5653" spans="1:7">
      <c r="A5653" s="1" t="s">
        <v>16312</v>
      </c>
      <c r="B5653" s="1" t="s">
        <v>16313</v>
      </c>
      <c r="C5653">
        <f>(1-(B7/100))*151.05</f>
        <v>151.05</v>
      </c>
      <c r="D5653" s="1">
        <v>0</v>
      </c>
      <c r="E5653">
        <f>D5653*C5653</f>
        <v>0</v>
      </c>
      <c r="F5653" s="1" t="s">
        <v>16314</v>
      </c>
      <c r="G5653" s="17">
        <v>69817</v>
      </c>
    </row>
    <row r="5654" spans="1:7">
      <c r="A5654" s="1" t="s">
        <v>16315</v>
      </c>
      <c r="B5654" s="1" t="s">
        <v>16316</v>
      </c>
      <c r="C5654">
        <f>(1-(B7/100))*35.37</f>
        <v>35.37</v>
      </c>
      <c r="D5654" s="1">
        <v>0</v>
      </c>
      <c r="E5654">
        <f>D5654*C5654</f>
        <v>0</v>
      </c>
      <c r="F5654" s="1" t="s">
        <v>16317</v>
      </c>
      <c r="G5654" s="17">
        <v>71125</v>
      </c>
    </row>
    <row r="5655" spans="1:7">
      <c r="A5655" s="1" t="s">
        <v>16318</v>
      </c>
      <c r="B5655" s="1" t="s">
        <v>16319</v>
      </c>
      <c r="C5655">
        <f>(1-(B7/100))*15</f>
        <v>15</v>
      </c>
      <c r="D5655" s="1">
        <v>0</v>
      </c>
      <c r="E5655">
        <f>D5655*C5655</f>
        <v>0</v>
      </c>
      <c r="F5655" s="1" t="s">
        <v>16320</v>
      </c>
      <c r="G5655" s="17">
        <v>72149</v>
      </c>
    </row>
    <row r="5656" spans="1:7">
      <c r="A5656" s="1" t="s">
        <v>16321</v>
      </c>
      <c r="B5656" s="1" t="s">
        <v>16322</v>
      </c>
      <c r="C5656">
        <f>(1-(B7/100))*44.21</f>
        <v>44.21</v>
      </c>
      <c r="D5656" s="1">
        <v>0</v>
      </c>
      <c r="E5656">
        <f>D5656*C5656</f>
        <v>0</v>
      </c>
      <c r="F5656" s="1" t="s">
        <v>16323</v>
      </c>
      <c r="G5656" s="17">
        <v>72243</v>
      </c>
    </row>
    <row r="5657" spans="1:7">
      <c r="A5657" s="1" t="s">
        <v>16324</v>
      </c>
      <c r="B5657" s="1" t="s">
        <v>16325</v>
      </c>
      <c r="C5657">
        <f>(1-(B7/100))*35.81</f>
        <v>35.81</v>
      </c>
      <c r="D5657" s="1">
        <v>0</v>
      </c>
      <c r="E5657">
        <f>D5657*C5657</f>
        <v>0</v>
      </c>
      <c r="F5657" s="1" t="s">
        <v>16326</v>
      </c>
      <c r="G5657" s="17">
        <v>72264</v>
      </c>
    </row>
    <row r="5658" spans="1:7">
      <c r="A5658" s="1" t="s">
        <v>16327</v>
      </c>
      <c r="B5658" s="1" t="s">
        <v>16328</v>
      </c>
      <c r="C5658">
        <f>(1-(B7/100))*83.76</f>
        <v>83.76</v>
      </c>
      <c r="D5658" s="1">
        <v>0</v>
      </c>
      <c r="E5658">
        <f>D5658*C5658</f>
        <v>0</v>
      </c>
      <c r="F5658" s="1" t="s">
        <v>16329</v>
      </c>
      <c r="G5658" s="17">
        <v>72265</v>
      </c>
    </row>
    <row r="5659" spans="1:7">
      <c r="A5659" s="1" t="s">
        <v>16330</v>
      </c>
      <c r="B5659" s="1" t="s">
        <v>16331</v>
      </c>
      <c r="C5659">
        <f>(1-(B7/100))*41.18</f>
        <v>41.18</v>
      </c>
      <c r="D5659" s="1">
        <v>0</v>
      </c>
      <c r="E5659">
        <f>D5659*C5659</f>
        <v>0</v>
      </c>
      <c r="F5659" s="1" t="s">
        <v>16332</v>
      </c>
      <c r="G5659" s="17">
        <v>73422</v>
      </c>
    </row>
    <row r="5660" spans="1:7">
      <c r="A5660" s="1" t="s">
        <v>16333</v>
      </c>
      <c r="B5660" s="1" t="s">
        <v>16334</v>
      </c>
      <c r="C5660">
        <f>(1-(B7/100))*44.21</f>
        <v>44.21</v>
      </c>
      <c r="D5660" s="1">
        <v>0</v>
      </c>
      <c r="E5660">
        <f>D5660*C5660</f>
        <v>0</v>
      </c>
      <c r="F5660" s="1" t="s">
        <v>16335</v>
      </c>
      <c r="G5660" s="17">
        <v>73455</v>
      </c>
    </row>
    <row r="5661" spans="1:7">
      <c r="A5661" s="1" t="s">
        <v>16336</v>
      </c>
      <c r="B5661" s="1" t="s">
        <v>16337</v>
      </c>
      <c r="C5661">
        <f>(1-(B7/100))*35.81</f>
        <v>35.81</v>
      </c>
      <c r="D5661" s="1">
        <v>0</v>
      </c>
      <c r="E5661">
        <f>D5661*C5661</f>
        <v>0</v>
      </c>
      <c r="F5661" s="1" t="s">
        <v>16338</v>
      </c>
      <c r="G5661" s="17">
        <v>73456</v>
      </c>
    </row>
    <row r="5662" spans="1:7">
      <c r="A5662" s="1" t="s">
        <v>16339</v>
      </c>
      <c r="B5662" s="1" t="s">
        <v>16340</v>
      </c>
      <c r="C5662">
        <f>(1-(B7/100))*44.78</f>
        <v>44.78</v>
      </c>
      <c r="D5662" s="1">
        <v>0</v>
      </c>
      <c r="E5662">
        <f>D5662*C5662</f>
        <v>0</v>
      </c>
      <c r="F5662" s="1" t="s">
        <v>16341</v>
      </c>
      <c r="G5662" s="17">
        <v>73457</v>
      </c>
    </row>
    <row r="5663" spans="1:7">
      <c r="A5663" s="1" t="s">
        <v>16342</v>
      </c>
      <c r="B5663" s="1" t="s">
        <v>16343</v>
      </c>
      <c r="C5663">
        <f>(1-(B7/100))*44.78</f>
        <v>44.78</v>
      </c>
      <c r="D5663" s="1">
        <v>0</v>
      </c>
      <c r="E5663">
        <f>D5663*C5663</f>
        <v>0</v>
      </c>
      <c r="F5663" s="1" t="s">
        <v>16344</v>
      </c>
      <c r="G5663" s="17">
        <v>73458</v>
      </c>
    </row>
    <row r="5664" spans="1:7">
      <c r="A5664" s="1" t="s">
        <v>16345</v>
      </c>
      <c r="B5664" s="1" t="s">
        <v>16346</v>
      </c>
      <c r="C5664">
        <f>(1-(B7/100))*83.76</f>
        <v>83.76</v>
      </c>
      <c r="D5664" s="1">
        <v>0</v>
      </c>
      <c r="E5664">
        <f>D5664*C5664</f>
        <v>0</v>
      </c>
      <c r="F5664" s="1" t="s">
        <v>16347</v>
      </c>
      <c r="G5664" s="17">
        <v>73460</v>
      </c>
    </row>
    <row r="5665" spans="1:7">
      <c r="A5665" s="1" t="s">
        <v>16348</v>
      </c>
      <c r="B5665" s="1" t="s">
        <v>16349</v>
      </c>
      <c r="C5665">
        <f>(1-(B7/100))*30.58</f>
        <v>30.58</v>
      </c>
      <c r="D5665" s="1">
        <v>0</v>
      </c>
      <c r="E5665">
        <f>D5665*C5665</f>
        <v>0</v>
      </c>
      <c r="F5665" s="1" t="s">
        <v>16350</v>
      </c>
      <c r="G5665" s="17">
        <v>75495</v>
      </c>
    </row>
    <row r="5666" spans="1:7">
      <c r="A5666" s="1" t="s">
        <v>16351</v>
      </c>
      <c r="B5666" s="1" t="s">
        <v>16352</v>
      </c>
      <c r="C5666">
        <f>(1-(B7/100))*28.91</f>
        <v>28.91</v>
      </c>
      <c r="D5666" s="1">
        <v>0</v>
      </c>
      <c r="E5666">
        <f>D5666*C5666</f>
        <v>0</v>
      </c>
      <c r="F5666" s="1" t="s">
        <v>16353</v>
      </c>
      <c r="G5666" s="17">
        <v>75496</v>
      </c>
    </row>
    <row r="5667" spans="1:7">
      <c r="A5667" s="1" t="s">
        <v>16354</v>
      </c>
      <c r="B5667" s="1" t="s">
        <v>16355</v>
      </c>
      <c r="C5667">
        <f>(1-(B7/100))*18.02</f>
        <v>18.02</v>
      </c>
      <c r="D5667" s="1">
        <v>0</v>
      </c>
      <c r="E5667">
        <f>D5667*C5667</f>
        <v>0</v>
      </c>
      <c r="F5667" s="1" t="s">
        <v>16356</v>
      </c>
      <c r="G5667" s="17">
        <v>75500</v>
      </c>
    </row>
    <row r="5668" spans="1:7">
      <c r="A5668" s="1" t="s">
        <v>16357</v>
      </c>
      <c r="B5668" s="1" t="s">
        <v>16358</v>
      </c>
      <c r="C5668">
        <f>(1-(B7/100))*23.87</f>
        <v>23.87</v>
      </c>
      <c r="D5668" s="1">
        <v>0</v>
      </c>
      <c r="E5668">
        <f>D5668*C5668</f>
        <v>0</v>
      </c>
      <c r="F5668" s="1" t="s">
        <v>16359</v>
      </c>
      <c r="G5668" s="17">
        <v>75501</v>
      </c>
    </row>
    <row r="5669" spans="1:7">
      <c r="A5669" s="1" t="s">
        <v>16360</v>
      </c>
      <c r="B5669" s="1" t="s">
        <v>16361</v>
      </c>
      <c r="C5669">
        <f>(1-(B7/100))*28.15</f>
        <v>28.15</v>
      </c>
      <c r="D5669" s="1">
        <v>0</v>
      </c>
      <c r="E5669">
        <f>D5669*C5669</f>
        <v>0</v>
      </c>
      <c r="F5669" s="1" t="s">
        <v>16362</v>
      </c>
      <c r="G5669" s="17">
        <v>75502</v>
      </c>
    </row>
    <row r="5670" spans="1:7">
      <c r="A5670" s="1" t="s">
        <v>16363</v>
      </c>
      <c r="B5670" s="1" t="s">
        <v>16364</v>
      </c>
      <c r="C5670">
        <f>(1-(B7/100))*107.46</f>
        <v>107.46</v>
      </c>
      <c r="D5670" s="1">
        <v>0</v>
      </c>
      <c r="E5670">
        <f>D5670*C5670</f>
        <v>0</v>
      </c>
      <c r="F5670" s="1" t="s">
        <v>16365</v>
      </c>
      <c r="G5670" s="17">
        <v>75504</v>
      </c>
    </row>
    <row r="5671" spans="1:7">
      <c r="A5671" s="1" t="s">
        <v>16366</v>
      </c>
      <c r="B5671" s="1" t="s">
        <v>16367</v>
      </c>
      <c r="C5671">
        <f>(1-(B7/100))*12.56</f>
        <v>12.56</v>
      </c>
      <c r="D5671" s="1">
        <v>0</v>
      </c>
      <c r="E5671">
        <f>D5671*C5671</f>
        <v>0</v>
      </c>
      <c r="F5671" s="1" t="s">
        <v>16368</v>
      </c>
      <c r="G5671" s="17">
        <v>75505</v>
      </c>
    </row>
    <row r="5672" spans="1:7">
      <c r="A5672" s="1" t="s">
        <v>16369</v>
      </c>
      <c r="B5672" s="1" t="s">
        <v>16370</v>
      </c>
      <c r="C5672">
        <f>(1-(B7/100))*12.56</f>
        <v>12.56</v>
      </c>
      <c r="D5672" s="1">
        <v>0</v>
      </c>
      <c r="E5672">
        <f>D5672*C5672</f>
        <v>0</v>
      </c>
      <c r="F5672" s="1" t="s">
        <v>16371</v>
      </c>
      <c r="G5672" s="17">
        <v>75506</v>
      </c>
    </row>
    <row r="5673" spans="1:7">
      <c r="A5673" s="1" t="s">
        <v>16372</v>
      </c>
      <c r="B5673" s="1" t="s">
        <v>16373</v>
      </c>
      <c r="C5673">
        <f>(1-(B7/100))*18.96</f>
        <v>18.96</v>
      </c>
      <c r="D5673" s="1">
        <v>0</v>
      </c>
      <c r="E5673">
        <f>D5673*C5673</f>
        <v>0</v>
      </c>
      <c r="F5673" s="1" t="s">
        <v>16374</v>
      </c>
      <c r="G5673" s="17">
        <v>75507</v>
      </c>
    </row>
    <row r="5674" spans="1:7">
      <c r="A5674" s="1" t="s">
        <v>16375</v>
      </c>
      <c r="B5674" s="1" t="s">
        <v>16376</v>
      </c>
      <c r="C5674">
        <f>(1-(B7/100))*45.84</f>
        <v>45.84</v>
      </c>
      <c r="D5674" s="1">
        <v>0</v>
      </c>
      <c r="E5674">
        <f>D5674*C5674</f>
        <v>0</v>
      </c>
      <c r="F5674" s="1" t="s">
        <v>16377</v>
      </c>
      <c r="G5674" s="17">
        <v>75509</v>
      </c>
    </row>
    <row r="5675" spans="1:7">
      <c r="A5675" s="1" t="s">
        <v>16378</v>
      </c>
      <c r="B5675" s="1" t="s">
        <v>16379</v>
      </c>
      <c r="C5675">
        <f>(1-(B7/100))*26.71</f>
        <v>26.71</v>
      </c>
      <c r="D5675" s="1">
        <v>0</v>
      </c>
      <c r="E5675">
        <f>D5675*C5675</f>
        <v>0</v>
      </c>
      <c r="F5675" s="1" t="s">
        <v>16380</v>
      </c>
      <c r="G5675" s="17">
        <v>75510</v>
      </c>
    </row>
    <row r="5676" spans="1:7">
      <c r="A5676" s="1" t="s">
        <v>16381</v>
      </c>
      <c r="B5676" s="1" t="s">
        <v>16382</v>
      </c>
      <c r="C5676">
        <f>(1-(B7/100))*34.43</f>
        <v>34.43</v>
      </c>
      <c r="D5676" s="1">
        <v>0</v>
      </c>
      <c r="E5676">
        <f>D5676*C5676</f>
        <v>0</v>
      </c>
      <c r="F5676" s="1" t="s">
        <v>16383</v>
      </c>
      <c r="G5676" s="17">
        <v>75512</v>
      </c>
    </row>
    <row r="5677" spans="1:7">
      <c r="A5677" s="1" t="s">
        <v>16384</v>
      </c>
      <c r="B5677" s="1" t="s">
        <v>16385</v>
      </c>
      <c r="C5677">
        <f>(1-(B7/100))*99</f>
        <v>99</v>
      </c>
      <c r="D5677" s="1">
        <v>0</v>
      </c>
      <c r="E5677">
        <f>D5677*C5677</f>
        <v>0</v>
      </c>
      <c r="F5677" s="1" t="s">
        <v>16386</v>
      </c>
      <c r="G5677" s="17">
        <v>75513</v>
      </c>
    </row>
    <row r="5678" spans="1:7">
      <c r="A5678" s="1" t="s">
        <v>16387</v>
      </c>
      <c r="B5678" s="1" t="s">
        <v>16388</v>
      </c>
      <c r="C5678">
        <f>(1-(B7/100))*11.79</f>
        <v>11.79</v>
      </c>
      <c r="D5678" s="1">
        <v>0</v>
      </c>
      <c r="E5678">
        <f>D5678*C5678</f>
        <v>0</v>
      </c>
      <c r="F5678" s="1" t="s">
        <v>16389</v>
      </c>
      <c r="G5678" s="17">
        <v>75514</v>
      </c>
    </row>
    <row r="5679" spans="1:7">
      <c r="A5679" s="1" t="s">
        <v>16390</v>
      </c>
      <c r="B5679" s="1" t="s">
        <v>16391</v>
      </c>
      <c r="C5679">
        <f>(1-(B7/100))*14.9</f>
        <v>14.9</v>
      </c>
      <c r="D5679" s="1">
        <v>0</v>
      </c>
      <c r="E5679">
        <f>D5679*C5679</f>
        <v>0</v>
      </c>
      <c r="F5679" s="1" t="s">
        <v>16392</v>
      </c>
      <c r="G5679" s="17">
        <v>75515</v>
      </c>
    </row>
    <row r="5680" spans="1:7">
      <c r="A5680" s="1" t="s">
        <v>16393</v>
      </c>
      <c r="B5680" s="1" t="s">
        <v>16394</v>
      </c>
      <c r="C5680">
        <f>(1-(B7/100))*18.16</f>
        <v>18.16</v>
      </c>
      <c r="D5680" s="1">
        <v>0</v>
      </c>
      <c r="E5680">
        <f>D5680*C5680</f>
        <v>0</v>
      </c>
      <c r="F5680" s="1" t="s">
        <v>16395</v>
      </c>
      <c r="G5680" s="17">
        <v>75517</v>
      </c>
    </row>
    <row r="5681" spans="1:7">
      <c r="A5681" s="1" t="s">
        <v>16396</v>
      </c>
      <c r="B5681" s="1" t="s">
        <v>16397</v>
      </c>
      <c r="C5681">
        <f>(1-(B7/100))*13.48</f>
        <v>13.48</v>
      </c>
      <c r="D5681" s="1">
        <v>0</v>
      </c>
      <c r="E5681">
        <f>D5681*C5681</f>
        <v>0</v>
      </c>
      <c r="F5681" s="1" t="s">
        <v>16398</v>
      </c>
      <c r="G5681" s="17">
        <v>75518</v>
      </c>
    </row>
    <row r="5682" spans="1:7">
      <c r="A5682" s="1" t="s">
        <v>16399</v>
      </c>
      <c r="B5682" s="1" t="s">
        <v>16400</v>
      </c>
      <c r="C5682">
        <f>(1-(B7/100))*14.27</f>
        <v>14.27</v>
      </c>
      <c r="D5682" s="1">
        <v>0</v>
      </c>
      <c r="E5682">
        <f>D5682*C5682</f>
        <v>0</v>
      </c>
      <c r="F5682" s="1" t="s">
        <v>16401</v>
      </c>
      <c r="G5682" s="17">
        <v>75519</v>
      </c>
    </row>
    <row r="5683" spans="1:7">
      <c r="A5683" s="1" t="s">
        <v>16402</v>
      </c>
      <c r="B5683" s="1" t="s">
        <v>16403</v>
      </c>
      <c r="C5683">
        <f>(1-(B7/100))*64.78</f>
        <v>64.78</v>
      </c>
      <c r="D5683" s="1">
        <v>0</v>
      </c>
      <c r="E5683">
        <f>D5683*C5683</f>
        <v>0</v>
      </c>
      <c r="F5683" s="1" t="s">
        <v>16404</v>
      </c>
      <c r="G5683" s="17">
        <v>75521</v>
      </c>
    </row>
    <row r="5684" spans="1:7">
      <c r="A5684" s="1" t="s">
        <v>16405</v>
      </c>
      <c r="B5684" s="1" t="s">
        <v>16406</v>
      </c>
      <c r="C5684">
        <f>(1-(B7/100))*18.16</f>
        <v>18.16</v>
      </c>
      <c r="D5684" s="1">
        <v>0</v>
      </c>
      <c r="E5684">
        <f>D5684*C5684</f>
        <v>0</v>
      </c>
      <c r="F5684" s="1" t="s">
        <v>16407</v>
      </c>
      <c r="G5684" s="17">
        <v>75522</v>
      </c>
    </row>
    <row r="5685" spans="1:7">
      <c r="A5685" s="1" t="s">
        <v>16408</v>
      </c>
      <c r="B5685" s="1" t="s">
        <v>16409</v>
      </c>
      <c r="C5685">
        <f>(1-(B7/100))*114.55</f>
        <v>114.55</v>
      </c>
      <c r="D5685" s="1">
        <v>0</v>
      </c>
      <c r="E5685">
        <f>D5685*C5685</f>
        <v>0</v>
      </c>
      <c r="F5685" s="1" t="s">
        <v>16410</v>
      </c>
      <c r="G5685" s="17">
        <v>75528</v>
      </c>
    </row>
    <row r="5686" spans="1:7">
      <c r="A5686" s="1" t="s">
        <v>16411</v>
      </c>
      <c r="B5686" s="1" t="s">
        <v>16412</v>
      </c>
      <c r="C5686">
        <f>(1-(B7/100))*74.88</f>
        <v>74.88</v>
      </c>
      <c r="D5686" s="1">
        <v>0</v>
      </c>
      <c r="E5686">
        <f>D5686*C5686</f>
        <v>0</v>
      </c>
      <c r="F5686" s="1" t="s">
        <v>16413</v>
      </c>
      <c r="G5686" s="17">
        <v>75529</v>
      </c>
    </row>
    <row r="5687" spans="1:7">
      <c r="A5687" s="1" t="s">
        <v>16414</v>
      </c>
      <c r="B5687" s="1" t="s">
        <v>16415</v>
      </c>
      <c r="C5687">
        <f>(1-(B7/100))*249.81</f>
        <v>249.81</v>
      </c>
      <c r="D5687" s="1">
        <v>0</v>
      </c>
      <c r="E5687">
        <f>D5687*C5687</f>
        <v>0</v>
      </c>
      <c r="F5687" s="1" t="s">
        <v>16416</v>
      </c>
      <c r="G5687" s="17">
        <v>75532</v>
      </c>
    </row>
    <row r="5688" spans="1:7">
      <c r="A5688" s="1" t="s">
        <v>16417</v>
      </c>
      <c r="B5688" s="1" t="s">
        <v>16418</v>
      </c>
      <c r="C5688">
        <f>(1-(B7/100))*29.04</f>
        <v>29.04</v>
      </c>
      <c r="D5688" s="1">
        <v>0</v>
      </c>
      <c r="E5688">
        <f>D5688*C5688</f>
        <v>0</v>
      </c>
      <c r="F5688" s="1" t="s">
        <v>16419</v>
      </c>
      <c r="G5688" s="17">
        <v>75535</v>
      </c>
    </row>
    <row r="5689" spans="1:7">
      <c r="A5689" s="1" t="s">
        <v>16420</v>
      </c>
      <c r="B5689" s="1" t="s">
        <v>16421</v>
      </c>
      <c r="C5689">
        <f>(1-(B7/100))*102.91</f>
        <v>102.91</v>
      </c>
      <c r="D5689" s="1">
        <v>0</v>
      </c>
      <c r="E5689">
        <f>D5689*C5689</f>
        <v>0</v>
      </c>
      <c r="F5689" s="1" t="s">
        <v>16422</v>
      </c>
      <c r="G5689" s="17">
        <v>75536</v>
      </c>
    </row>
    <row r="5690" spans="1:7">
      <c r="A5690" s="1" t="s">
        <v>16423</v>
      </c>
      <c r="B5690" s="1" t="s">
        <v>16424</v>
      </c>
      <c r="C5690">
        <f>(1-(B7/100))*174.38</f>
        <v>174.38</v>
      </c>
      <c r="D5690" s="1">
        <v>0</v>
      </c>
      <c r="E5690">
        <f>D5690*C5690</f>
        <v>0</v>
      </c>
      <c r="F5690" s="1" t="s">
        <v>16425</v>
      </c>
      <c r="G5690" s="17">
        <v>75537</v>
      </c>
    </row>
    <row r="5691" spans="1:7">
      <c r="A5691" s="1" t="s">
        <v>16426</v>
      </c>
      <c r="B5691" s="1" t="s">
        <v>16427</v>
      </c>
      <c r="C5691">
        <f>(1-(B7/100))*258.36</f>
        <v>258.36</v>
      </c>
      <c r="D5691" s="1">
        <v>0</v>
      </c>
      <c r="E5691">
        <f>D5691*C5691</f>
        <v>0</v>
      </c>
      <c r="F5691" s="1" t="s">
        <v>16428</v>
      </c>
      <c r="G5691" s="17">
        <v>75540</v>
      </c>
    </row>
    <row r="5692" spans="1:7">
      <c r="A5692" s="1" t="s">
        <v>16429</v>
      </c>
      <c r="B5692" s="1" t="s">
        <v>16430</v>
      </c>
      <c r="C5692">
        <f>(1-(B7/100))*102.91</f>
        <v>102.91</v>
      </c>
      <c r="D5692" s="1">
        <v>0</v>
      </c>
      <c r="E5692">
        <f>D5692*C5692</f>
        <v>0</v>
      </c>
      <c r="F5692" s="1" t="s">
        <v>16431</v>
      </c>
      <c r="G5692" s="17">
        <v>75541</v>
      </c>
    </row>
    <row r="5693" spans="1:7">
      <c r="A5693" s="1" t="s">
        <v>16432</v>
      </c>
      <c r="B5693" s="1" t="s">
        <v>16433</v>
      </c>
      <c r="C5693">
        <f>(1-(B7/100))*161.09</f>
        <v>161.09</v>
      </c>
      <c r="D5693" s="1">
        <v>0</v>
      </c>
      <c r="E5693">
        <f>D5693*C5693</f>
        <v>0</v>
      </c>
      <c r="F5693" s="1" t="s">
        <v>16434</v>
      </c>
      <c r="G5693" s="17">
        <v>75543</v>
      </c>
    </row>
    <row r="5694" spans="1:7">
      <c r="A5694" s="1" t="s">
        <v>16435</v>
      </c>
      <c r="B5694" s="1" t="s">
        <v>16436</v>
      </c>
      <c r="C5694">
        <f>(1-(B7/100))*28.15</f>
        <v>28.15</v>
      </c>
      <c r="D5694" s="1">
        <v>0</v>
      </c>
      <c r="E5694">
        <f>D5694*C5694</f>
        <v>0</v>
      </c>
      <c r="F5694" s="1" t="s">
        <v>16437</v>
      </c>
      <c r="G5694" s="17">
        <v>75544</v>
      </c>
    </row>
    <row r="5695" spans="1:7">
      <c r="A5695" s="1" t="s">
        <v>16438</v>
      </c>
      <c r="B5695" s="1" t="s">
        <v>16439</v>
      </c>
      <c r="C5695">
        <f>(1-(B7/100))*33.67</f>
        <v>33.67</v>
      </c>
      <c r="D5695" s="1">
        <v>0</v>
      </c>
      <c r="E5695">
        <f>D5695*C5695</f>
        <v>0</v>
      </c>
      <c r="F5695" s="1" t="s">
        <v>16440</v>
      </c>
      <c r="G5695" s="17">
        <v>75545</v>
      </c>
    </row>
    <row r="5696" spans="1:7">
      <c r="A5696" s="1" t="s">
        <v>16441</v>
      </c>
      <c r="B5696" s="1" t="s">
        <v>16442</v>
      </c>
      <c r="C5696">
        <f>(1-(B7/100))*43.81</f>
        <v>43.81</v>
      </c>
      <c r="D5696" s="1">
        <v>0</v>
      </c>
      <c r="E5696">
        <f>D5696*C5696</f>
        <v>0</v>
      </c>
      <c r="F5696" s="1" t="s">
        <v>16443</v>
      </c>
      <c r="G5696" s="17">
        <v>75546</v>
      </c>
    </row>
    <row r="5697" spans="1:7">
      <c r="A5697" s="1" t="s">
        <v>16444</v>
      </c>
      <c r="B5697" s="1" t="s">
        <v>16445</v>
      </c>
      <c r="C5697">
        <f>(1-(B7/100))*33.55</f>
        <v>33.55</v>
      </c>
      <c r="D5697" s="1">
        <v>0</v>
      </c>
      <c r="E5697">
        <f>D5697*C5697</f>
        <v>0</v>
      </c>
      <c r="F5697" s="1" t="s">
        <v>16446</v>
      </c>
      <c r="G5697" s="17">
        <v>75547</v>
      </c>
    </row>
    <row r="5698" spans="1:7">
      <c r="A5698" s="1" t="s">
        <v>16447</v>
      </c>
      <c r="B5698" s="1" t="s">
        <v>16448</v>
      </c>
      <c r="C5698">
        <f>(1-(B7/100))*66.72</f>
        <v>66.72</v>
      </c>
      <c r="D5698" s="1">
        <v>0</v>
      </c>
      <c r="E5698">
        <f>D5698*C5698</f>
        <v>0</v>
      </c>
      <c r="F5698" s="1" t="s">
        <v>16449</v>
      </c>
      <c r="G5698" s="17">
        <v>75548</v>
      </c>
    </row>
    <row r="5699" spans="1:7">
      <c r="A5699" s="1" t="s">
        <v>16450</v>
      </c>
      <c r="B5699" s="1" t="s">
        <v>16451</v>
      </c>
      <c r="C5699">
        <f>(1-(B7/100))*29.8</f>
        <v>29.8</v>
      </c>
      <c r="D5699" s="1">
        <v>0</v>
      </c>
      <c r="E5699">
        <f>D5699*C5699</f>
        <v>0</v>
      </c>
      <c r="F5699" s="1" t="s">
        <v>16452</v>
      </c>
      <c r="G5699" s="17">
        <v>75552</v>
      </c>
    </row>
    <row r="5700" spans="1:7">
      <c r="A5700" s="1" t="s">
        <v>16453</v>
      </c>
      <c r="B5700" s="1" t="s">
        <v>16454</v>
      </c>
      <c r="C5700">
        <f>(1-(B7/100))*53.13</f>
        <v>53.13</v>
      </c>
      <c r="D5700" s="1">
        <v>0</v>
      </c>
      <c r="E5700">
        <f>D5700*C5700</f>
        <v>0</v>
      </c>
      <c r="F5700" s="1" t="s">
        <v>16455</v>
      </c>
      <c r="G5700" s="17">
        <v>75553</v>
      </c>
    </row>
    <row r="5701" spans="1:7">
      <c r="A5701" s="1" t="s">
        <v>16456</v>
      </c>
      <c r="B5701" s="1" t="s">
        <v>16457</v>
      </c>
      <c r="C5701">
        <f>(1-(B7/100))*745.75</f>
        <v>745.75</v>
      </c>
      <c r="D5701" s="1">
        <v>0</v>
      </c>
      <c r="E5701">
        <f>D5701*C5701</f>
        <v>0</v>
      </c>
      <c r="F5701" s="1" t="s">
        <v>16458</v>
      </c>
      <c r="G5701" s="17">
        <v>75554</v>
      </c>
    </row>
    <row r="5702" spans="1:7">
      <c r="A5702" s="1" t="s">
        <v>16459</v>
      </c>
      <c r="B5702" s="1" t="s">
        <v>16460</v>
      </c>
      <c r="C5702">
        <f>(1-(B7/100))*83.76</f>
        <v>83.76</v>
      </c>
      <c r="D5702" s="1">
        <v>0</v>
      </c>
      <c r="E5702">
        <f>D5702*C5702</f>
        <v>0</v>
      </c>
      <c r="F5702" s="1" t="s">
        <v>16461</v>
      </c>
      <c r="G5702" s="17">
        <v>75556</v>
      </c>
    </row>
    <row r="5703" spans="1:7">
      <c r="A5703" s="1" t="s">
        <v>16462</v>
      </c>
      <c r="B5703" s="1" t="s">
        <v>16463</v>
      </c>
      <c r="C5703">
        <f>(1-(B7/100))*42.12</f>
        <v>42.12</v>
      </c>
      <c r="D5703" s="1">
        <v>0</v>
      </c>
      <c r="E5703">
        <f>D5703*C5703</f>
        <v>0</v>
      </c>
      <c r="F5703" s="1" t="s">
        <v>16464</v>
      </c>
      <c r="G5703" s="17">
        <v>75564</v>
      </c>
    </row>
    <row r="5704" spans="1:7">
      <c r="A5704" s="1" t="s">
        <v>16465</v>
      </c>
      <c r="B5704" s="1" t="s">
        <v>16466</v>
      </c>
      <c r="C5704">
        <f>(1-(B7/100))*83.76</f>
        <v>83.76</v>
      </c>
      <c r="D5704" s="1">
        <v>0</v>
      </c>
      <c r="E5704">
        <f>D5704*C5704</f>
        <v>0</v>
      </c>
      <c r="F5704" s="1" t="s">
        <v>16467</v>
      </c>
      <c r="G5704" s="17">
        <v>75566</v>
      </c>
    </row>
    <row r="5705" spans="1:7">
      <c r="A5705" s="1" t="s">
        <v>16468</v>
      </c>
      <c r="B5705" s="1" t="s">
        <v>16469</v>
      </c>
      <c r="C5705">
        <f>(1-(B7/100))*83.76</f>
        <v>83.76</v>
      </c>
      <c r="D5705" s="1">
        <v>0</v>
      </c>
      <c r="E5705">
        <f>D5705*C5705</f>
        <v>0</v>
      </c>
      <c r="F5705" s="1" t="s">
        <v>16470</v>
      </c>
      <c r="G5705" s="17">
        <v>75569</v>
      </c>
    </row>
    <row r="5706" spans="1:7">
      <c r="A5706" s="1" t="s">
        <v>16471</v>
      </c>
      <c r="B5706" s="1" t="s">
        <v>16472</v>
      </c>
      <c r="C5706">
        <f>(1-(B7/100))*28.15</f>
        <v>28.15</v>
      </c>
      <c r="D5706" s="1">
        <v>0</v>
      </c>
      <c r="E5706">
        <f>D5706*C5706</f>
        <v>0</v>
      </c>
      <c r="F5706" s="1" t="s">
        <v>16473</v>
      </c>
      <c r="G5706" s="17">
        <v>75570</v>
      </c>
    </row>
    <row r="5707" spans="1:7">
      <c r="A5707" s="1" t="s">
        <v>16474</v>
      </c>
      <c r="B5707" s="1" t="s">
        <v>16475</v>
      </c>
      <c r="C5707">
        <f>(1-(B7/100))*33.67</f>
        <v>33.67</v>
      </c>
      <c r="D5707" s="1">
        <v>0</v>
      </c>
      <c r="E5707">
        <f>D5707*C5707</f>
        <v>0</v>
      </c>
      <c r="F5707" s="1" t="s">
        <v>16476</v>
      </c>
      <c r="G5707" s="17">
        <v>75571</v>
      </c>
    </row>
    <row r="5708" spans="1:7">
      <c r="A5708" s="1" t="s">
        <v>16477</v>
      </c>
      <c r="B5708" s="1" t="s">
        <v>16478</v>
      </c>
      <c r="C5708">
        <f>(1-(B7/100))*52.37</f>
        <v>52.37</v>
      </c>
      <c r="D5708" s="1">
        <v>0</v>
      </c>
      <c r="E5708">
        <f>D5708*C5708</f>
        <v>0</v>
      </c>
      <c r="F5708" s="1" t="s">
        <v>16479</v>
      </c>
      <c r="G5708" s="17">
        <v>75576</v>
      </c>
    </row>
    <row r="5709" spans="1:7">
      <c r="A5709" s="1" t="s">
        <v>16480</v>
      </c>
      <c r="B5709" s="1" t="s">
        <v>16481</v>
      </c>
      <c r="C5709">
        <f>(1-(B7/100))*43.01</f>
        <v>43.01</v>
      </c>
      <c r="D5709" s="1">
        <v>0</v>
      </c>
      <c r="E5709">
        <f>D5709*C5709</f>
        <v>0</v>
      </c>
      <c r="F5709" s="1" t="s">
        <v>16482</v>
      </c>
      <c r="G5709" s="17">
        <v>75577</v>
      </c>
    </row>
    <row r="5710" spans="1:7">
      <c r="A5710" s="1" t="s">
        <v>16483</v>
      </c>
      <c r="B5710" s="1" t="s">
        <v>16484</v>
      </c>
      <c r="C5710">
        <f>(1-(B7/100))*29.04</f>
        <v>29.04</v>
      </c>
      <c r="D5710" s="1">
        <v>0</v>
      </c>
      <c r="E5710">
        <f>D5710*C5710</f>
        <v>0</v>
      </c>
      <c r="F5710" s="1" t="s">
        <v>16485</v>
      </c>
      <c r="G5710" s="17">
        <v>75578</v>
      </c>
    </row>
    <row r="5711" spans="1:7">
      <c r="A5711" s="1" t="s">
        <v>16486</v>
      </c>
      <c r="B5711" s="1" t="s">
        <v>16487</v>
      </c>
      <c r="C5711">
        <f>(1-(B7/100))*29.04</f>
        <v>29.04</v>
      </c>
      <c r="D5711" s="1">
        <v>0</v>
      </c>
      <c r="E5711">
        <f>D5711*C5711</f>
        <v>0</v>
      </c>
      <c r="F5711" s="1" t="s">
        <v>16488</v>
      </c>
      <c r="G5711" s="17">
        <v>75579</v>
      </c>
    </row>
    <row r="5712" spans="1:7">
      <c r="A5712" s="1" t="s">
        <v>16489</v>
      </c>
      <c r="B5712" s="1" t="s">
        <v>16490</v>
      </c>
      <c r="C5712">
        <f>(1-(B7/100))*42.91</f>
        <v>42.91</v>
      </c>
      <c r="D5712" s="1">
        <v>0</v>
      </c>
      <c r="E5712">
        <f>D5712*C5712</f>
        <v>0</v>
      </c>
      <c r="F5712" s="1" t="s">
        <v>16491</v>
      </c>
      <c r="G5712" s="17">
        <v>75580</v>
      </c>
    </row>
    <row r="5713" spans="1:7">
      <c r="A5713" s="1" t="s">
        <v>16492</v>
      </c>
      <c r="B5713" s="1" t="s">
        <v>16493</v>
      </c>
      <c r="C5713">
        <f>(1-(B7/100))*52.23</f>
        <v>52.23</v>
      </c>
      <c r="D5713" s="1">
        <v>0</v>
      </c>
      <c r="E5713">
        <f>D5713*C5713</f>
        <v>0</v>
      </c>
      <c r="F5713" s="1" t="s">
        <v>16494</v>
      </c>
      <c r="G5713" s="17">
        <v>75581</v>
      </c>
    </row>
    <row r="5714" spans="1:7">
      <c r="A5714" s="1" t="s">
        <v>16495</v>
      </c>
      <c r="B5714" s="1" t="s">
        <v>16496</v>
      </c>
      <c r="C5714">
        <f>(1-(B7/100))*15.81</f>
        <v>15.81</v>
      </c>
      <c r="D5714" s="1">
        <v>0</v>
      </c>
      <c r="E5714">
        <f>D5714*C5714</f>
        <v>0</v>
      </c>
      <c r="F5714" s="1" t="s">
        <v>16497</v>
      </c>
      <c r="G5714" s="17">
        <v>75582</v>
      </c>
    </row>
    <row r="5715" spans="1:7">
      <c r="A5715" s="1" t="s">
        <v>16498</v>
      </c>
      <c r="B5715" s="1" t="s">
        <v>16499</v>
      </c>
      <c r="C5715">
        <f>(1-(B7/100))*33.67</f>
        <v>33.67</v>
      </c>
      <c r="D5715" s="1">
        <v>0</v>
      </c>
      <c r="E5715">
        <f>D5715*C5715</f>
        <v>0</v>
      </c>
      <c r="F5715" s="1" t="s">
        <v>16500</v>
      </c>
      <c r="G5715" s="17">
        <v>75587</v>
      </c>
    </row>
    <row r="5716" spans="1:7">
      <c r="A5716" s="1" t="s">
        <v>16501</v>
      </c>
      <c r="B5716" s="1" t="s">
        <v>16502</v>
      </c>
      <c r="C5716">
        <f>(1-(B7/100))*29.04</f>
        <v>29.04</v>
      </c>
      <c r="D5716" s="1">
        <v>0</v>
      </c>
      <c r="E5716">
        <f>D5716*C5716</f>
        <v>0</v>
      </c>
      <c r="F5716" s="1" t="s">
        <v>16503</v>
      </c>
      <c r="G5716" s="17">
        <v>75589</v>
      </c>
    </row>
    <row r="5717" spans="1:7">
      <c r="A5717" s="1" t="s">
        <v>16504</v>
      </c>
      <c r="B5717" s="1" t="s">
        <v>16505</v>
      </c>
      <c r="C5717">
        <f>(1-(B7/100))*35.81</f>
        <v>35.81</v>
      </c>
      <c r="D5717" s="1">
        <v>0</v>
      </c>
      <c r="E5717">
        <f>D5717*C5717</f>
        <v>0</v>
      </c>
      <c r="F5717" s="1" t="s">
        <v>16506</v>
      </c>
      <c r="G5717" s="17">
        <v>75591</v>
      </c>
    </row>
    <row r="5718" spans="1:7">
      <c r="A5718" s="1" t="s">
        <v>16507</v>
      </c>
      <c r="B5718" s="1" t="s">
        <v>16508</v>
      </c>
      <c r="C5718">
        <f>(1-(B7/100))*28.25</f>
        <v>28.25</v>
      </c>
      <c r="D5718" s="1">
        <v>0</v>
      </c>
      <c r="E5718">
        <f>D5718*C5718</f>
        <v>0</v>
      </c>
      <c r="F5718" s="1" t="s">
        <v>16509</v>
      </c>
      <c r="G5718" s="17">
        <v>75594</v>
      </c>
    </row>
    <row r="5719" spans="1:7">
      <c r="A5719" s="1" t="s">
        <v>16510</v>
      </c>
      <c r="B5719" s="1" t="s">
        <v>16511</v>
      </c>
      <c r="C5719">
        <f>(1-(B7/100))*41.5</f>
        <v>41.5</v>
      </c>
      <c r="D5719" s="1">
        <v>0</v>
      </c>
      <c r="E5719">
        <f>D5719*C5719</f>
        <v>0</v>
      </c>
      <c r="F5719" s="1" t="s">
        <v>16512</v>
      </c>
      <c r="G5719" s="17">
        <v>75595</v>
      </c>
    </row>
    <row r="5720" spans="1:7">
      <c r="A5720" s="1" t="s">
        <v>16513</v>
      </c>
      <c r="B5720" s="1" t="s">
        <v>16514</v>
      </c>
      <c r="C5720">
        <f>(1-(B7/100))*28.15</f>
        <v>28.15</v>
      </c>
      <c r="D5720" s="1">
        <v>0</v>
      </c>
      <c r="E5720">
        <f>D5720*C5720</f>
        <v>0</v>
      </c>
      <c r="F5720" s="1" t="s">
        <v>16515</v>
      </c>
      <c r="G5720" s="17">
        <v>75596</v>
      </c>
    </row>
    <row r="5721" spans="1:7">
      <c r="A5721" s="1" t="s">
        <v>16516</v>
      </c>
      <c r="B5721" s="1" t="s">
        <v>16517</v>
      </c>
      <c r="C5721">
        <f>(1-(B7/100))*92.01</f>
        <v>92.01</v>
      </c>
      <c r="D5721" s="1">
        <v>0</v>
      </c>
      <c r="E5721">
        <f>D5721*C5721</f>
        <v>0</v>
      </c>
      <c r="F5721" s="1" t="s">
        <v>16518</v>
      </c>
      <c r="G5721" s="17">
        <v>75597</v>
      </c>
    </row>
    <row r="5722" spans="1:7">
      <c r="A5722" s="1" t="s">
        <v>16519</v>
      </c>
      <c r="B5722" s="1" t="s">
        <v>16520</v>
      </c>
      <c r="C5722">
        <f>(1-(B7/100))*23.43</f>
        <v>23.43</v>
      </c>
      <c r="D5722" s="1">
        <v>0</v>
      </c>
      <c r="E5722">
        <f>D5722*C5722</f>
        <v>0</v>
      </c>
      <c r="F5722" s="1" t="s">
        <v>16521</v>
      </c>
      <c r="G5722" s="17">
        <v>75598</v>
      </c>
    </row>
    <row r="5723" spans="1:7">
      <c r="A5723" s="1" t="s">
        <v>16522</v>
      </c>
      <c r="B5723" s="1" t="s">
        <v>16523</v>
      </c>
      <c r="C5723">
        <f>(1-(B7/100))*38.45</f>
        <v>38.45</v>
      </c>
      <c r="D5723" s="1">
        <v>0</v>
      </c>
      <c r="E5723">
        <f>D5723*C5723</f>
        <v>0</v>
      </c>
      <c r="F5723" s="1" t="s">
        <v>16524</v>
      </c>
      <c r="G5723" s="17">
        <v>75600</v>
      </c>
    </row>
    <row r="5724" spans="1:7">
      <c r="A5724" s="1" t="s">
        <v>16525</v>
      </c>
      <c r="B5724" s="1" t="s">
        <v>16526</v>
      </c>
      <c r="C5724">
        <f>(1-(B7/100))*29.04</f>
        <v>29.04</v>
      </c>
      <c r="D5724" s="1">
        <v>0</v>
      </c>
      <c r="E5724">
        <f>D5724*C5724</f>
        <v>0</v>
      </c>
      <c r="F5724" s="1" t="s">
        <v>16527</v>
      </c>
      <c r="G5724" s="17">
        <v>75601</v>
      </c>
    </row>
    <row r="5725" spans="1:7">
      <c r="A5725" s="1" t="s">
        <v>16528</v>
      </c>
      <c r="B5725" s="1" t="s">
        <v>16529</v>
      </c>
      <c r="C5725">
        <f>(1-(B7/100))*34.43</f>
        <v>34.43</v>
      </c>
      <c r="D5725" s="1">
        <v>0</v>
      </c>
      <c r="E5725">
        <f>D5725*C5725</f>
        <v>0</v>
      </c>
      <c r="F5725" s="1" t="s">
        <v>16530</v>
      </c>
      <c r="G5725" s="17">
        <v>75603</v>
      </c>
    </row>
    <row r="5726" spans="1:7">
      <c r="A5726" s="1" t="s">
        <v>16531</v>
      </c>
      <c r="B5726" s="1" t="s">
        <v>16532</v>
      </c>
      <c r="C5726">
        <f>(1-(B7/100))*19.58</f>
        <v>19.58</v>
      </c>
      <c r="D5726" s="1">
        <v>0</v>
      </c>
      <c r="E5726">
        <f>D5726*C5726</f>
        <v>0</v>
      </c>
      <c r="F5726" s="1" t="s">
        <v>16533</v>
      </c>
      <c r="G5726" s="17">
        <v>75606</v>
      </c>
    </row>
    <row r="5727" spans="1:7">
      <c r="A5727" s="1" t="s">
        <v>16534</v>
      </c>
      <c r="B5727" s="1" t="s">
        <v>16535</v>
      </c>
      <c r="C5727">
        <f>(1-(B7/100))*35.81</f>
        <v>35.81</v>
      </c>
      <c r="D5727" s="1">
        <v>0</v>
      </c>
      <c r="E5727">
        <f>D5727*C5727</f>
        <v>0</v>
      </c>
      <c r="F5727" s="1" t="s">
        <v>16536</v>
      </c>
      <c r="G5727" s="17">
        <v>75609</v>
      </c>
    </row>
    <row r="5728" spans="1:7">
      <c r="A5728" s="1" t="s">
        <v>16537</v>
      </c>
      <c r="B5728" s="1" t="s">
        <v>16538</v>
      </c>
      <c r="C5728">
        <f>(1-(B7/100))*45.84</f>
        <v>45.84</v>
      </c>
      <c r="D5728" s="1">
        <v>0</v>
      </c>
      <c r="E5728">
        <f>D5728*C5728</f>
        <v>0</v>
      </c>
      <c r="F5728" s="1" t="s">
        <v>16539</v>
      </c>
      <c r="G5728" s="17">
        <v>75610</v>
      </c>
    </row>
    <row r="5729" spans="1:7">
      <c r="A5729" s="1" t="s">
        <v>16540</v>
      </c>
      <c r="B5729" s="1" t="s">
        <v>16541</v>
      </c>
      <c r="C5729">
        <f>(1-(B7/100))*30.58</f>
        <v>30.58</v>
      </c>
      <c r="D5729" s="1">
        <v>0</v>
      </c>
      <c r="E5729">
        <f>D5729*C5729</f>
        <v>0</v>
      </c>
      <c r="F5729" s="1" t="s">
        <v>16542</v>
      </c>
      <c r="G5729" s="17">
        <v>75611</v>
      </c>
    </row>
    <row r="5730" spans="1:7">
      <c r="A5730" s="1" t="s">
        <v>16543</v>
      </c>
      <c r="B5730" s="1" t="s">
        <v>16544</v>
      </c>
      <c r="C5730">
        <f>(1-(B7/100))*32.81</f>
        <v>32.81</v>
      </c>
      <c r="D5730" s="1">
        <v>0</v>
      </c>
      <c r="E5730">
        <f>D5730*C5730</f>
        <v>0</v>
      </c>
      <c r="F5730" s="1" t="s">
        <v>16545</v>
      </c>
      <c r="G5730" s="17">
        <v>75613</v>
      </c>
    </row>
    <row r="5731" spans="1:7">
      <c r="A5731" s="1" t="s">
        <v>16546</v>
      </c>
      <c r="B5731" s="1" t="s">
        <v>16547</v>
      </c>
      <c r="C5731">
        <f>(1-(B7/100))*33.67</f>
        <v>33.67</v>
      </c>
      <c r="D5731" s="1">
        <v>0</v>
      </c>
      <c r="E5731">
        <f>D5731*C5731</f>
        <v>0</v>
      </c>
      <c r="F5731" s="1" t="s">
        <v>16548</v>
      </c>
      <c r="G5731" s="17">
        <v>75616</v>
      </c>
    </row>
    <row r="5732" spans="1:7">
      <c r="A5732" s="1" t="s">
        <v>16549</v>
      </c>
      <c r="B5732" s="1" t="s">
        <v>16550</v>
      </c>
      <c r="C5732">
        <f>(1-(B7/100))*37.72</f>
        <v>37.72</v>
      </c>
      <c r="D5732" s="1">
        <v>0</v>
      </c>
      <c r="E5732">
        <f>D5732*C5732</f>
        <v>0</v>
      </c>
      <c r="F5732" s="1" t="s">
        <v>16551</v>
      </c>
      <c r="G5732" s="17">
        <v>75619</v>
      </c>
    </row>
    <row r="5733" spans="1:7">
      <c r="A5733" s="1" t="s">
        <v>16552</v>
      </c>
      <c r="B5733" s="1" t="s">
        <v>16553</v>
      </c>
      <c r="C5733">
        <f>(1-(B7/100))*44.21</f>
        <v>44.21</v>
      </c>
      <c r="D5733" s="1">
        <v>0</v>
      </c>
      <c r="E5733">
        <f>D5733*C5733</f>
        <v>0</v>
      </c>
      <c r="F5733" s="1" t="s">
        <v>16554</v>
      </c>
      <c r="G5733" s="17">
        <v>75620</v>
      </c>
    </row>
    <row r="5734" spans="1:7">
      <c r="A5734" s="1" t="s">
        <v>16555</v>
      </c>
      <c r="B5734" s="1" t="s">
        <v>16556</v>
      </c>
      <c r="C5734">
        <f>(1-(B7/100))*25.16</f>
        <v>25.16</v>
      </c>
      <c r="D5734" s="1">
        <v>0</v>
      </c>
      <c r="E5734">
        <f>D5734*C5734</f>
        <v>0</v>
      </c>
      <c r="F5734" s="1" t="s">
        <v>16557</v>
      </c>
      <c r="G5734" s="17">
        <v>75621</v>
      </c>
    </row>
    <row r="5735" spans="1:7">
      <c r="A5735" s="1" t="s">
        <v>16558</v>
      </c>
      <c r="B5735" s="1" t="s">
        <v>16559</v>
      </c>
      <c r="C5735">
        <f>(1-(B7/100))*33.67</f>
        <v>33.67</v>
      </c>
      <c r="D5735" s="1">
        <v>0</v>
      </c>
      <c r="E5735">
        <f>D5735*C5735</f>
        <v>0</v>
      </c>
      <c r="F5735" s="1" t="s">
        <v>16560</v>
      </c>
      <c r="G5735" s="17">
        <v>75623</v>
      </c>
    </row>
    <row r="5736" spans="1:7">
      <c r="A5736" s="1" t="s">
        <v>16561</v>
      </c>
      <c r="B5736" s="1" t="s">
        <v>16562</v>
      </c>
      <c r="C5736">
        <f>(1-(B7/100))*76.47</f>
        <v>76.47</v>
      </c>
      <c r="D5736" s="1">
        <v>0</v>
      </c>
      <c r="E5736">
        <f>D5736*C5736</f>
        <v>0</v>
      </c>
      <c r="F5736" s="1" t="s">
        <v>16563</v>
      </c>
      <c r="G5736" s="17">
        <v>75627</v>
      </c>
    </row>
    <row r="5737" spans="1:7">
      <c r="A5737" s="1" t="s">
        <v>16564</v>
      </c>
      <c r="B5737" s="1" t="s">
        <v>16565</v>
      </c>
      <c r="C5737">
        <f>(1-(B7/100))*74.16</f>
        <v>74.16</v>
      </c>
      <c r="D5737" s="1">
        <v>0</v>
      </c>
      <c r="E5737">
        <f>D5737*C5737</f>
        <v>0</v>
      </c>
      <c r="F5737" s="1" t="s">
        <v>16566</v>
      </c>
      <c r="G5737" s="17">
        <v>75628</v>
      </c>
    </row>
    <row r="5738" spans="1:7">
      <c r="A5738" s="1" t="s">
        <v>16567</v>
      </c>
      <c r="B5738" s="1" t="s">
        <v>16568</v>
      </c>
      <c r="C5738">
        <f>(1-(B7/100))*745.75</f>
        <v>745.75</v>
      </c>
      <c r="D5738" s="1">
        <v>0</v>
      </c>
      <c r="E5738">
        <f>D5738*C5738</f>
        <v>0</v>
      </c>
      <c r="F5738" s="1" t="s">
        <v>16569</v>
      </c>
      <c r="G5738" s="17">
        <v>75630</v>
      </c>
    </row>
    <row r="5739" spans="1:7">
      <c r="A5739" s="1" t="s">
        <v>16570</v>
      </c>
      <c r="B5739" s="1" t="s">
        <v>16571</v>
      </c>
      <c r="C5739">
        <f>(1-(B7/100))*430.95</f>
        <v>430.95</v>
      </c>
      <c r="D5739" s="1">
        <v>0</v>
      </c>
      <c r="E5739">
        <f>D5739*C5739</f>
        <v>0</v>
      </c>
      <c r="F5739" s="1" t="s">
        <v>16572</v>
      </c>
      <c r="G5739" s="17">
        <v>75631</v>
      </c>
    </row>
    <row r="5740" spans="1:7">
      <c r="A5740" s="1" t="s">
        <v>16573</v>
      </c>
      <c r="B5740" s="1" t="s">
        <v>16574</v>
      </c>
      <c r="C5740">
        <f>(1-(B7/100))*20.5</f>
        <v>20.5</v>
      </c>
      <c r="D5740" s="1">
        <v>0</v>
      </c>
      <c r="E5740">
        <f>D5740*C5740</f>
        <v>0</v>
      </c>
      <c r="F5740" s="1" t="s">
        <v>16575</v>
      </c>
      <c r="G5740" s="17">
        <v>75636</v>
      </c>
    </row>
    <row r="5741" spans="1:7">
      <c r="A5741" s="1" t="s">
        <v>16576</v>
      </c>
      <c r="B5741" s="1" t="s">
        <v>16577</v>
      </c>
      <c r="C5741">
        <f>(1-(B7/100))*43.81</f>
        <v>43.81</v>
      </c>
      <c r="D5741" s="1">
        <v>0</v>
      </c>
      <c r="E5741">
        <f>D5741*C5741</f>
        <v>0</v>
      </c>
      <c r="F5741" s="1" t="s">
        <v>16578</v>
      </c>
      <c r="G5741" s="17">
        <v>75637</v>
      </c>
    </row>
    <row r="5742" spans="1:7">
      <c r="A5742" s="1" t="s">
        <v>16579</v>
      </c>
      <c r="B5742" s="1" t="s">
        <v>16580</v>
      </c>
      <c r="C5742">
        <f>(1-(B7/100))*19.43</f>
        <v>19.43</v>
      </c>
      <c r="D5742" s="1">
        <v>0</v>
      </c>
      <c r="E5742">
        <f>D5742*C5742</f>
        <v>0</v>
      </c>
      <c r="F5742" s="1" t="s">
        <v>16581</v>
      </c>
      <c r="G5742" s="17">
        <v>75639</v>
      </c>
    </row>
    <row r="5743" spans="1:7">
      <c r="A5743" s="1" t="s">
        <v>16582</v>
      </c>
      <c r="B5743" s="1" t="s">
        <v>16583</v>
      </c>
      <c r="C5743">
        <f>(1-(B7/100))*17.29</f>
        <v>17.29</v>
      </c>
      <c r="D5743" s="1">
        <v>0</v>
      </c>
      <c r="E5743">
        <f>D5743*C5743</f>
        <v>0</v>
      </c>
      <c r="F5743" s="1" t="s">
        <v>16584</v>
      </c>
      <c r="G5743" s="17">
        <v>75641</v>
      </c>
    </row>
    <row r="5744" spans="1:7">
      <c r="A5744" s="1" t="s">
        <v>16585</v>
      </c>
      <c r="B5744" s="1" t="s">
        <v>16586</v>
      </c>
      <c r="C5744">
        <f>(1-(B7/100))*52.23</f>
        <v>52.23</v>
      </c>
      <c r="D5744" s="1">
        <v>0</v>
      </c>
      <c r="E5744">
        <f>D5744*C5744</f>
        <v>0</v>
      </c>
      <c r="F5744" s="1" t="s">
        <v>16587</v>
      </c>
      <c r="G5744" s="17">
        <v>75642</v>
      </c>
    </row>
    <row r="5745" spans="1:7">
      <c r="A5745" s="1" t="s">
        <v>16588</v>
      </c>
      <c r="B5745" s="1" t="s">
        <v>16589</v>
      </c>
      <c r="C5745">
        <f>(1-(B7/100))*60.8</f>
        <v>60.8</v>
      </c>
      <c r="D5745" s="1">
        <v>0</v>
      </c>
      <c r="E5745">
        <f>D5745*C5745</f>
        <v>0</v>
      </c>
      <c r="F5745" s="1" t="s">
        <v>16590</v>
      </c>
      <c r="G5745" s="17">
        <v>75643</v>
      </c>
    </row>
    <row r="5746" spans="1:7">
      <c r="A5746" s="1" t="s">
        <v>16591</v>
      </c>
      <c r="B5746" s="1" t="s">
        <v>16592</v>
      </c>
      <c r="C5746">
        <f>(1-(B7/100))*11.79</f>
        <v>11.79</v>
      </c>
      <c r="D5746" s="1">
        <v>0</v>
      </c>
      <c r="E5746">
        <f>D5746*C5746</f>
        <v>0</v>
      </c>
      <c r="F5746" s="1" t="s">
        <v>16593</v>
      </c>
      <c r="G5746" s="17">
        <v>75644</v>
      </c>
    </row>
    <row r="5747" spans="1:7">
      <c r="A5747" s="1" t="s">
        <v>16594</v>
      </c>
      <c r="B5747" s="1" t="s">
        <v>16595</v>
      </c>
      <c r="C5747">
        <f>(1-(B7/100))*18.86</f>
        <v>18.86</v>
      </c>
      <c r="D5747" s="1">
        <v>0</v>
      </c>
      <c r="E5747">
        <f>D5747*C5747</f>
        <v>0</v>
      </c>
      <c r="F5747" s="1" t="s">
        <v>16596</v>
      </c>
      <c r="G5747" s="17">
        <v>75645</v>
      </c>
    </row>
    <row r="5748" spans="1:7">
      <c r="A5748" s="1" t="s">
        <v>16597</v>
      </c>
      <c r="B5748" s="1" t="s">
        <v>16598</v>
      </c>
      <c r="C5748">
        <f>(1-(B7/100))*132.41</f>
        <v>132.41</v>
      </c>
      <c r="D5748" s="1">
        <v>0</v>
      </c>
      <c r="E5748">
        <f>D5748*C5748</f>
        <v>0</v>
      </c>
      <c r="F5748" s="1" t="s">
        <v>16599</v>
      </c>
      <c r="G5748" s="17">
        <v>75647</v>
      </c>
    </row>
    <row r="5749" spans="1:7">
      <c r="A5749" s="1" t="s">
        <v>16600</v>
      </c>
      <c r="B5749" s="1" t="s">
        <v>16601</v>
      </c>
      <c r="C5749">
        <f>(1-(B7/100))*22.05</f>
        <v>22.05</v>
      </c>
      <c r="D5749" s="1">
        <v>0</v>
      </c>
      <c r="E5749">
        <f>D5749*C5749</f>
        <v>0</v>
      </c>
      <c r="F5749" s="1" t="s">
        <v>16602</v>
      </c>
      <c r="G5749" s="17">
        <v>75650</v>
      </c>
    </row>
    <row r="5750" spans="1:7">
      <c r="A5750" s="1" t="s">
        <v>16603</v>
      </c>
      <c r="B5750" s="1" t="s">
        <v>16604</v>
      </c>
      <c r="C5750">
        <f>(1-(B7/100))*51.6</f>
        <v>51.6</v>
      </c>
      <c r="D5750" s="1">
        <v>0</v>
      </c>
      <c r="E5750">
        <f>D5750*C5750</f>
        <v>0</v>
      </c>
      <c r="F5750" s="1" t="s">
        <v>16605</v>
      </c>
      <c r="G5750" s="17">
        <v>75657</v>
      </c>
    </row>
    <row r="5751" spans="1:7">
      <c r="A5751" s="1" t="s">
        <v>16606</v>
      </c>
      <c r="B5751" s="1" t="s">
        <v>16607</v>
      </c>
      <c r="C5751">
        <f>(1-(B7/100))*29.04</f>
        <v>29.04</v>
      </c>
      <c r="D5751" s="1">
        <v>0</v>
      </c>
      <c r="E5751">
        <f>D5751*C5751</f>
        <v>0</v>
      </c>
      <c r="F5751" s="1" t="s">
        <v>16608</v>
      </c>
      <c r="G5751" s="17">
        <v>75663</v>
      </c>
    </row>
    <row r="5752" spans="1:7">
      <c r="A5752" s="1" t="s">
        <v>16609</v>
      </c>
      <c r="B5752" s="1" t="s">
        <v>16610</v>
      </c>
      <c r="C5752">
        <f>(1-(B7/100))*36.82</f>
        <v>36.82</v>
      </c>
      <c r="D5752" s="1">
        <v>0</v>
      </c>
      <c r="E5752">
        <f>D5752*C5752</f>
        <v>0</v>
      </c>
      <c r="F5752" s="1" t="s">
        <v>16611</v>
      </c>
      <c r="G5752" s="17">
        <v>75664</v>
      </c>
    </row>
    <row r="5753" spans="1:7">
      <c r="A5753" s="1" t="s">
        <v>16612</v>
      </c>
      <c r="B5753" s="1" t="s">
        <v>16613</v>
      </c>
      <c r="C5753">
        <f>(1-(B7/100))*33.67</f>
        <v>33.67</v>
      </c>
      <c r="D5753" s="1">
        <v>0</v>
      </c>
      <c r="E5753">
        <f>D5753*C5753</f>
        <v>0</v>
      </c>
      <c r="F5753" s="1" t="s">
        <v>16614</v>
      </c>
      <c r="G5753" s="17">
        <v>75665</v>
      </c>
    </row>
    <row r="5754" spans="1:7">
      <c r="A5754" s="1" t="s">
        <v>16615</v>
      </c>
      <c r="B5754" s="1" t="s">
        <v>16616</v>
      </c>
      <c r="C5754">
        <f>(1-(B7/100))*42.24</f>
        <v>42.24</v>
      </c>
      <c r="D5754" s="1">
        <v>0</v>
      </c>
      <c r="E5754">
        <f>D5754*C5754</f>
        <v>0</v>
      </c>
      <c r="F5754" s="1" t="s">
        <v>16617</v>
      </c>
      <c r="G5754" s="17">
        <v>75666</v>
      </c>
    </row>
    <row r="5755" spans="1:7">
      <c r="A5755" s="1" t="s">
        <v>16618</v>
      </c>
      <c r="B5755" s="1" t="s">
        <v>16619</v>
      </c>
      <c r="C5755">
        <f>(1-(B7/100))*31.38</f>
        <v>31.38</v>
      </c>
      <c r="D5755" s="1">
        <v>0</v>
      </c>
      <c r="E5755">
        <f>D5755*C5755</f>
        <v>0</v>
      </c>
      <c r="F5755" s="1" t="s">
        <v>16620</v>
      </c>
      <c r="G5755" s="17">
        <v>75668</v>
      </c>
    </row>
    <row r="5756" spans="1:7">
      <c r="A5756" s="1" t="s">
        <v>16621</v>
      </c>
      <c r="B5756" s="1" t="s">
        <v>16622</v>
      </c>
      <c r="C5756">
        <f>(1-(B7/100))*25.16</f>
        <v>25.16</v>
      </c>
      <c r="D5756" s="1">
        <v>0</v>
      </c>
      <c r="E5756">
        <f>D5756*C5756</f>
        <v>0</v>
      </c>
      <c r="F5756" s="1" t="s">
        <v>16623</v>
      </c>
      <c r="G5756" s="17">
        <v>75670</v>
      </c>
    </row>
    <row r="5757" spans="1:7">
      <c r="A5757" s="1" t="s">
        <v>16624</v>
      </c>
      <c r="B5757" s="1" t="s">
        <v>16625</v>
      </c>
      <c r="C5757">
        <f>(1-(B7/100))*43.01</f>
        <v>43.01</v>
      </c>
      <c r="D5757" s="1">
        <v>0</v>
      </c>
      <c r="E5757">
        <f>D5757*C5757</f>
        <v>0</v>
      </c>
      <c r="F5757" s="1" t="s">
        <v>16626</v>
      </c>
      <c r="G5757" s="17">
        <v>75671</v>
      </c>
    </row>
    <row r="5758" spans="1:7">
      <c r="A5758" s="1" t="s">
        <v>16627</v>
      </c>
      <c r="B5758" s="1" t="s">
        <v>16628</v>
      </c>
      <c r="C5758">
        <f>(1-(B7/100))*18.77</f>
        <v>18.77</v>
      </c>
      <c r="D5758" s="1">
        <v>0</v>
      </c>
      <c r="E5758">
        <f>D5758*C5758</f>
        <v>0</v>
      </c>
      <c r="F5758" s="1" t="s">
        <v>16629</v>
      </c>
      <c r="G5758" s="17">
        <v>75672</v>
      </c>
    </row>
    <row r="5759" spans="1:7">
      <c r="A5759" s="1" t="s">
        <v>16630</v>
      </c>
      <c r="B5759" s="1" t="s">
        <v>16631</v>
      </c>
      <c r="C5759">
        <f>(1-(B7/100))*45.84</f>
        <v>45.84</v>
      </c>
      <c r="D5759" s="1">
        <v>0</v>
      </c>
      <c r="E5759">
        <f>D5759*C5759</f>
        <v>0</v>
      </c>
      <c r="F5759" s="1" t="s">
        <v>16632</v>
      </c>
      <c r="G5759" s="17">
        <v>75678</v>
      </c>
    </row>
    <row r="5760" spans="1:7">
      <c r="A5760" s="1" t="s">
        <v>16633</v>
      </c>
      <c r="B5760" s="1" t="s">
        <v>16634</v>
      </c>
      <c r="C5760">
        <f>(1-(B7/100))*100.67</f>
        <v>100.67</v>
      </c>
      <c r="D5760" s="1">
        <v>0</v>
      </c>
      <c r="E5760">
        <f>D5760*C5760</f>
        <v>0</v>
      </c>
      <c r="F5760" s="1" t="s">
        <v>16635</v>
      </c>
      <c r="G5760" s="17">
        <v>75680</v>
      </c>
    </row>
    <row r="5761" spans="1:7">
      <c r="A5761" s="1" t="s">
        <v>16636</v>
      </c>
      <c r="B5761" s="1" t="s">
        <v>16637</v>
      </c>
      <c r="C5761">
        <f>(1-(B7/100))*35.81</f>
        <v>35.81</v>
      </c>
      <c r="D5761" s="1">
        <v>0</v>
      </c>
      <c r="E5761">
        <f>D5761*C5761</f>
        <v>0</v>
      </c>
      <c r="F5761" s="1" t="s">
        <v>16638</v>
      </c>
      <c r="G5761" s="17">
        <v>75681</v>
      </c>
    </row>
    <row r="5762" spans="1:7">
      <c r="A5762" s="1" t="s">
        <v>16639</v>
      </c>
      <c r="B5762" s="1" t="s">
        <v>16640</v>
      </c>
      <c r="C5762">
        <f>(1-(B7/100))*42.91</f>
        <v>42.91</v>
      </c>
      <c r="D5762" s="1">
        <v>0</v>
      </c>
      <c r="E5762">
        <f>D5762*C5762</f>
        <v>0</v>
      </c>
      <c r="F5762" s="1" t="s">
        <v>16641</v>
      </c>
      <c r="G5762" s="17">
        <v>75683</v>
      </c>
    </row>
    <row r="5763" spans="1:7">
      <c r="A5763" s="1" t="s">
        <v>16642</v>
      </c>
      <c r="B5763" s="1" t="s">
        <v>16643</v>
      </c>
      <c r="C5763">
        <f>(1-(B7/100))*53.13</f>
        <v>53.13</v>
      </c>
      <c r="D5763" s="1">
        <v>0</v>
      </c>
      <c r="E5763">
        <f>D5763*C5763</f>
        <v>0</v>
      </c>
      <c r="F5763" s="1" t="s">
        <v>16644</v>
      </c>
      <c r="G5763" s="17">
        <v>75688</v>
      </c>
    </row>
    <row r="5764" spans="1:7">
      <c r="A5764" s="1" t="s">
        <v>16645</v>
      </c>
      <c r="B5764" s="1" t="s">
        <v>16646</v>
      </c>
      <c r="C5764">
        <f>(1-(B7/100))*130.78</f>
        <v>130.78</v>
      </c>
      <c r="D5764" s="1">
        <v>0</v>
      </c>
      <c r="E5764">
        <f>D5764*C5764</f>
        <v>0</v>
      </c>
      <c r="F5764" s="1" t="s">
        <v>16647</v>
      </c>
      <c r="G5764" s="17">
        <v>75689</v>
      </c>
    </row>
    <row r="5765" spans="1:7">
      <c r="A5765" s="1" t="s">
        <v>16648</v>
      </c>
      <c r="B5765" s="1" t="s">
        <v>16649</v>
      </c>
      <c r="C5765">
        <f>(1-(B7/100))*41.93</f>
        <v>41.93</v>
      </c>
      <c r="D5765" s="1">
        <v>0</v>
      </c>
      <c r="E5765">
        <f>D5765*C5765</f>
        <v>0</v>
      </c>
      <c r="F5765" s="1" t="s">
        <v>16650</v>
      </c>
      <c r="G5765" s="17">
        <v>75690</v>
      </c>
    </row>
    <row r="5766" spans="1:7">
      <c r="A5766" s="1" t="s">
        <v>16651</v>
      </c>
      <c r="B5766" s="1" t="s">
        <v>16652</v>
      </c>
      <c r="C5766">
        <f>(1-(B7/100))*29.04</f>
        <v>29.04</v>
      </c>
      <c r="D5766" s="1">
        <v>0</v>
      </c>
      <c r="E5766">
        <f>D5766*C5766</f>
        <v>0</v>
      </c>
      <c r="F5766" s="1" t="s">
        <v>16653</v>
      </c>
      <c r="G5766" s="17">
        <v>75692</v>
      </c>
    </row>
    <row r="5767" spans="1:7">
      <c r="A5767" s="1" t="s">
        <v>16654</v>
      </c>
      <c r="B5767" s="1" t="s">
        <v>16655</v>
      </c>
      <c r="C5767">
        <f>(1-(B7/100))*33.67</f>
        <v>33.67</v>
      </c>
      <c r="D5767" s="1">
        <v>0</v>
      </c>
      <c r="E5767">
        <f>D5767*C5767</f>
        <v>0</v>
      </c>
      <c r="F5767" s="1" t="s">
        <v>16656</v>
      </c>
      <c r="G5767" s="17">
        <v>75698</v>
      </c>
    </row>
    <row r="5768" spans="1:7">
      <c r="A5768" s="1" t="s">
        <v>16657</v>
      </c>
      <c r="B5768" s="1" t="s">
        <v>16658</v>
      </c>
      <c r="C5768">
        <f>(1-(B7/100))*38.36</f>
        <v>38.36</v>
      </c>
      <c r="D5768" s="1">
        <v>0</v>
      </c>
      <c r="E5768">
        <f>D5768*C5768</f>
        <v>0</v>
      </c>
      <c r="F5768" s="1" t="s">
        <v>16659</v>
      </c>
      <c r="G5768" s="17">
        <v>75699</v>
      </c>
    </row>
    <row r="5769" spans="1:7">
      <c r="A5769" s="1" t="s">
        <v>16660</v>
      </c>
      <c r="B5769" s="1" t="s">
        <v>16661</v>
      </c>
      <c r="C5769">
        <f>(1-(B7/100))*45.84</f>
        <v>45.84</v>
      </c>
      <c r="D5769" s="1">
        <v>0</v>
      </c>
      <c r="E5769">
        <f>D5769*C5769</f>
        <v>0</v>
      </c>
      <c r="F5769" s="1" t="s">
        <v>16662</v>
      </c>
      <c r="G5769" s="17">
        <v>75701</v>
      </c>
    </row>
    <row r="5770" spans="1:7">
      <c r="A5770" s="1" t="s">
        <v>16663</v>
      </c>
      <c r="B5770" s="1" t="s">
        <v>16664</v>
      </c>
      <c r="C5770">
        <f>(1-(B7/100))*36.82</f>
        <v>36.82</v>
      </c>
      <c r="D5770" s="1">
        <v>0</v>
      </c>
      <c r="E5770">
        <f>D5770*C5770</f>
        <v>0</v>
      </c>
      <c r="F5770" s="1" t="s">
        <v>16665</v>
      </c>
      <c r="G5770" s="17">
        <v>75704</v>
      </c>
    </row>
    <row r="5771" spans="1:7">
      <c r="A5771" s="1" t="s">
        <v>16666</v>
      </c>
      <c r="B5771" s="1" t="s">
        <v>16667</v>
      </c>
      <c r="C5771">
        <f>(1-(B7/100))*41.18</f>
        <v>41.18</v>
      </c>
      <c r="D5771" s="1">
        <v>0</v>
      </c>
      <c r="E5771">
        <f>D5771*C5771</f>
        <v>0</v>
      </c>
      <c r="F5771" s="1" t="s">
        <v>16668</v>
      </c>
      <c r="G5771" s="17">
        <v>75705</v>
      </c>
    </row>
    <row r="5772" spans="1:7">
      <c r="A5772" s="1" t="s">
        <v>16669</v>
      </c>
      <c r="B5772" s="1" t="s">
        <v>16670</v>
      </c>
      <c r="C5772">
        <f>(1-(B7/100))*14.9</f>
        <v>14.9</v>
      </c>
      <c r="D5772" s="1">
        <v>0</v>
      </c>
      <c r="E5772">
        <f>D5772*C5772</f>
        <v>0</v>
      </c>
      <c r="F5772" s="1" t="s">
        <v>16671</v>
      </c>
      <c r="G5772" s="17">
        <v>75706</v>
      </c>
    </row>
    <row r="5773" spans="1:7">
      <c r="A5773" s="1" t="s">
        <v>16672</v>
      </c>
      <c r="B5773" s="1" t="s">
        <v>16673</v>
      </c>
      <c r="C5773">
        <f>(1-(B7/100))*14.15</f>
        <v>14.15</v>
      </c>
      <c r="D5773" s="1">
        <v>0</v>
      </c>
      <c r="E5773">
        <f>D5773*C5773</f>
        <v>0</v>
      </c>
      <c r="F5773" s="1" t="s">
        <v>16674</v>
      </c>
      <c r="G5773" s="17">
        <v>75707</v>
      </c>
    </row>
    <row r="5774" spans="1:7">
      <c r="A5774" s="1" t="s">
        <v>16675</v>
      </c>
      <c r="B5774" s="1" t="s">
        <v>16676</v>
      </c>
      <c r="C5774">
        <f>(1-(B7/100))*36.82</f>
        <v>36.82</v>
      </c>
      <c r="D5774" s="1">
        <v>0</v>
      </c>
      <c r="E5774">
        <f>D5774*C5774</f>
        <v>0</v>
      </c>
      <c r="F5774" s="1" t="s">
        <v>16677</v>
      </c>
      <c r="G5774" s="17">
        <v>75712</v>
      </c>
    </row>
    <row r="5775" spans="1:7">
      <c r="A5775" s="1" t="s">
        <v>16678</v>
      </c>
      <c r="B5775" s="1" t="s">
        <v>16679</v>
      </c>
      <c r="C5775">
        <f>(1-(B7/100))*45.84</f>
        <v>45.84</v>
      </c>
      <c r="D5775" s="1">
        <v>0</v>
      </c>
      <c r="E5775">
        <f>D5775*C5775</f>
        <v>0</v>
      </c>
      <c r="F5775" s="1" t="s">
        <v>16680</v>
      </c>
      <c r="G5775" s="17">
        <v>75714</v>
      </c>
    </row>
    <row r="5776" spans="1:7">
      <c r="A5776" s="1" t="s">
        <v>16681</v>
      </c>
      <c r="B5776" s="1" t="s">
        <v>16682</v>
      </c>
      <c r="C5776">
        <f>(1-(B7/100))*45.84</f>
        <v>45.84</v>
      </c>
      <c r="D5776" s="1">
        <v>0</v>
      </c>
      <c r="E5776">
        <f>D5776*C5776</f>
        <v>0</v>
      </c>
      <c r="F5776" s="1" t="s">
        <v>16683</v>
      </c>
      <c r="G5776" s="17">
        <v>75715</v>
      </c>
    </row>
    <row r="5777" spans="1:7">
      <c r="A5777" s="1" t="s">
        <v>16684</v>
      </c>
      <c r="B5777" s="1" t="s">
        <v>16685</v>
      </c>
      <c r="C5777">
        <f>(1-(B7/100))*41.5</f>
        <v>41.5</v>
      </c>
      <c r="D5777" s="1">
        <v>0</v>
      </c>
      <c r="E5777">
        <f>D5777*C5777</f>
        <v>0</v>
      </c>
      <c r="F5777" s="1" t="s">
        <v>16686</v>
      </c>
      <c r="G5777" s="17">
        <v>75724</v>
      </c>
    </row>
    <row r="5778" spans="1:7">
      <c r="A5778" s="1" t="s">
        <v>16687</v>
      </c>
      <c r="B5778" s="1" t="s">
        <v>16688</v>
      </c>
      <c r="C5778">
        <f>(1-(B7/100))*30.58</f>
        <v>30.58</v>
      </c>
      <c r="D5778" s="1">
        <v>0</v>
      </c>
      <c r="E5778">
        <f>D5778*C5778</f>
        <v>0</v>
      </c>
      <c r="F5778" s="1" t="s">
        <v>16689</v>
      </c>
      <c r="G5778" s="17">
        <v>75727</v>
      </c>
    </row>
    <row r="5779" spans="1:7">
      <c r="A5779" s="1" t="s">
        <v>16690</v>
      </c>
      <c r="B5779" s="1" t="s">
        <v>16691</v>
      </c>
      <c r="C5779">
        <f>(1-(B7/100))*29.04</f>
        <v>29.04</v>
      </c>
      <c r="D5779" s="1">
        <v>0</v>
      </c>
      <c r="E5779">
        <f>D5779*C5779</f>
        <v>0</v>
      </c>
      <c r="F5779" s="1" t="s">
        <v>16692</v>
      </c>
      <c r="G5779" s="17">
        <v>75734</v>
      </c>
    </row>
    <row r="5780" spans="1:7">
      <c r="A5780" s="1" t="s">
        <v>16693</v>
      </c>
      <c r="B5780" s="1" t="s">
        <v>16694</v>
      </c>
      <c r="C5780">
        <f>(1-(B7/100))*36.82</f>
        <v>36.82</v>
      </c>
      <c r="D5780" s="1">
        <v>0</v>
      </c>
      <c r="E5780">
        <f>D5780*C5780</f>
        <v>0</v>
      </c>
      <c r="F5780" s="1" t="s">
        <v>16695</v>
      </c>
      <c r="G5780" s="17">
        <v>75741</v>
      </c>
    </row>
    <row r="5781" spans="1:7">
      <c r="A5781" s="1" t="s">
        <v>16696</v>
      </c>
      <c r="B5781" s="1" t="s">
        <v>16697</v>
      </c>
      <c r="C5781">
        <f>(1-(B7/100))*56.91</f>
        <v>56.91</v>
      </c>
      <c r="D5781" s="1">
        <v>0</v>
      </c>
      <c r="E5781">
        <f>D5781*C5781</f>
        <v>0</v>
      </c>
      <c r="F5781" s="1" t="s">
        <v>16698</v>
      </c>
      <c r="G5781" s="17">
        <v>75744</v>
      </c>
    </row>
    <row r="5782" spans="1:7">
      <c r="A5782" s="1" t="s">
        <v>16699</v>
      </c>
      <c r="B5782" s="1" t="s">
        <v>16700</v>
      </c>
      <c r="C5782">
        <f>(1-(B7/100))*85.02</f>
        <v>85.02</v>
      </c>
      <c r="D5782" s="1">
        <v>0</v>
      </c>
      <c r="E5782">
        <f>D5782*C5782</f>
        <v>0</v>
      </c>
      <c r="F5782" s="1" t="s">
        <v>16701</v>
      </c>
      <c r="G5782" s="17">
        <v>75745</v>
      </c>
    </row>
    <row r="5783" spans="1:7">
      <c r="A5783" s="1" t="s">
        <v>16702</v>
      </c>
      <c r="B5783" s="1" t="s">
        <v>16703</v>
      </c>
      <c r="C5783">
        <f>(1-(B7/100))*36.82</f>
        <v>36.82</v>
      </c>
      <c r="D5783" s="1">
        <v>0</v>
      </c>
      <c r="E5783">
        <f>D5783*C5783</f>
        <v>0</v>
      </c>
      <c r="F5783" s="1" t="s">
        <v>16704</v>
      </c>
      <c r="G5783" s="17">
        <v>75748</v>
      </c>
    </row>
    <row r="5784" spans="1:7">
      <c r="A5784" s="1" t="s">
        <v>16705</v>
      </c>
      <c r="B5784" s="1" t="s">
        <v>16706</v>
      </c>
      <c r="C5784">
        <f>(1-(B7/100))*86.47</f>
        <v>86.47</v>
      </c>
      <c r="D5784" s="1">
        <v>0</v>
      </c>
      <c r="E5784">
        <f>D5784*C5784</f>
        <v>0</v>
      </c>
      <c r="F5784" s="1" t="s">
        <v>16707</v>
      </c>
      <c r="G5784" s="17">
        <v>75749</v>
      </c>
    </row>
    <row r="5785" spans="1:7">
      <c r="A5785" s="1" t="s">
        <v>16708</v>
      </c>
      <c r="B5785" s="1" t="s">
        <v>16709</v>
      </c>
      <c r="C5785">
        <f>(1-(B7/100))*73.99</f>
        <v>73.99</v>
      </c>
      <c r="D5785" s="1">
        <v>0</v>
      </c>
      <c r="E5785">
        <f>D5785*C5785</f>
        <v>0</v>
      </c>
      <c r="F5785" s="1" t="s">
        <v>16710</v>
      </c>
      <c r="G5785" s="17">
        <v>75750</v>
      </c>
    </row>
    <row r="5786" spans="1:7">
      <c r="A5786" s="1" t="s">
        <v>16711</v>
      </c>
      <c r="B5786" s="1" t="s">
        <v>16712</v>
      </c>
      <c r="C5786">
        <f>(1-(B7/100))*151.05</f>
        <v>151.05</v>
      </c>
      <c r="D5786" s="1">
        <v>0</v>
      </c>
      <c r="E5786">
        <f>D5786*C5786</f>
        <v>0</v>
      </c>
      <c r="F5786" s="1" t="s">
        <v>16713</v>
      </c>
      <c r="G5786" s="17">
        <v>75751</v>
      </c>
    </row>
    <row r="5787" spans="1:7">
      <c r="A5787" s="1" t="s">
        <v>16714</v>
      </c>
      <c r="B5787" s="1" t="s">
        <v>16715</v>
      </c>
      <c r="C5787">
        <f>(1-(B7/100))*97.44</f>
        <v>97.44</v>
      </c>
      <c r="D5787" s="1">
        <v>0</v>
      </c>
      <c r="E5787">
        <f>D5787*C5787</f>
        <v>0</v>
      </c>
      <c r="F5787" s="1" t="s">
        <v>16716</v>
      </c>
      <c r="G5787" s="17">
        <v>75752</v>
      </c>
    </row>
    <row r="5788" spans="1:7">
      <c r="A5788" s="1" t="s">
        <v>16717</v>
      </c>
      <c r="B5788" s="1" t="s">
        <v>16718</v>
      </c>
      <c r="C5788">
        <f>(1-(B7/100))*83.76</f>
        <v>83.76</v>
      </c>
      <c r="D5788" s="1">
        <v>0</v>
      </c>
      <c r="E5788">
        <f>D5788*C5788</f>
        <v>0</v>
      </c>
      <c r="F5788" s="1" t="s">
        <v>16719</v>
      </c>
      <c r="G5788" s="17">
        <v>75758</v>
      </c>
    </row>
    <row r="5789" spans="1:7">
      <c r="A5789" s="1" t="s">
        <v>16720</v>
      </c>
      <c r="B5789" s="1" t="s">
        <v>16721</v>
      </c>
      <c r="C5789">
        <f>(1-(B7/100))*53.13</f>
        <v>53.13</v>
      </c>
      <c r="D5789" s="1">
        <v>0</v>
      </c>
      <c r="E5789">
        <f>D5789*C5789</f>
        <v>0</v>
      </c>
      <c r="F5789" s="1" t="s">
        <v>16722</v>
      </c>
      <c r="G5789" s="17">
        <v>75759</v>
      </c>
    </row>
    <row r="5790" spans="1:7">
      <c r="A5790" s="1" t="s">
        <v>16723</v>
      </c>
      <c r="B5790" s="1" t="s">
        <v>16724</v>
      </c>
      <c r="C5790">
        <f>(1-(B7/100))*17.29</f>
        <v>17.29</v>
      </c>
      <c r="D5790" s="1">
        <v>0</v>
      </c>
      <c r="E5790">
        <f>D5790*C5790</f>
        <v>0</v>
      </c>
      <c r="F5790" s="1" t="s">
        <v>16725</v>
      </c>
      <c r="G5790" s="17">
        <v>75760</v>
      </c>
    </row>
    <row r="5791" spans="1:7">
      <c r="A5791" s="1" t="s">
        <v>16726</v>
      </c>
      <c r="B5791" s="1" t="s">
        <v>16727</v>
      </c>
      <c r="C5791">
        <f>(1-(B7/100))*20.5</f>
        <v>20.5</v>
      </c>
      <c r="D5791" s="1">
        <v>0</v>
      </c>
      <c r="E5791">
        <f>D5791*C5791</f>
        <v>0</v>
      </c>
      <c r="F5791" s="1" t="s">
        <v>16728</v>
      </c>
      <c r="G5791" s="17">
        <v>75762</v>
      </c>
    </row>
    <row r="5792" spans="1:7">
      <c r="A5792" s="1" t="s">
        <v>16729</v>
      </c>
      <c r="B5792" s="1" t="s">
        <v>16382</v>
      </c>
      <c r="C5792">
        <f>(1-(B7/100))*40.71</f>
        <v>40.71</v>
      </c>
      <c r="D5792" s="1">
        <v>0</v>
      </c>
      <c r="E5792">
        <f>D5792*C5792</f>
        <v>0</v>
      </c>
      <c r="F5792" s="1" t="s">
        <v>16730</v>
      </c>
      <c r="G5792" s="17">
        <v>75763</v>
      </c>
    </row>
    <row r="5793" spans="1:7">
      <c r="A5793" s="1" t="s">
        <v>16731</v>
      </c>
      <c r="B5793" s="1" t="s">
        <v>16732</v>
      </c>
      <c r="C5793">
        <f>(1-(B7/100))*15.04</f>
        <v>15.04</v>
      </c>
      <c r="D5793" s="1">
        <v>0</v>
      </c>
      <c r="E5793">
        <f>D5793*C5793</f>
        <v>0</v>
      </c>
      <c r="F5793" s="1" t="s">
        <v>16733</v>
      </c>
      <c r="G5793" s="17">
        <v>75764</v>
      </c>
    </row>
    <row r="5794" spans="1:7">
      <c r="A5794" s="1" t="s">
        <v>16734</v>
      </c>
      <c r="B5794" s="1" t="s">
        <v>16735</v>
      </c>
      <c r="C5794">
        <f>(1-(B7/100))*56.22</f>
        <v>56.22</v>
      </c>
      <c r="D5794" s="1">
        <v>0</v>
      </c>
      <c r="E5794">
        <f>D5794*C5794</f>
        <v>0</v>
      </c>
      <c r="F5794" s="1" t="s">
        <v>16736</v>
      </c>
      <c r="G5794" s="17">
        <v>75766</v>
      </c>
    </row>
    <row r="5795" spans="1:7">
      <c r="A5795" s="1" t="s">
        <v>16737</v>
      </c>
      <c r="B5795" s="1" t="s">
        <v>16738</v>
      </c>
      <c r="C5795">
        <f>(1-(B7/100))*36.82</f>
        <v>36.82</v>
      </c>
      <c r="D5795" s="1">
        <v>0</v>
      </c>
      <c r="E5795">
        <f>D5795*C5795</f>
        <v>0</v>
      </c>
      <c r="F5795" s="1" t="s">
        <v>16739</v>
      </c>
      <c r="G5795" s="17">
        <v>75772</v>
      </c>
    </row>
    <row r="5796" spans="1:7">
      <c r="A5796" s="1" t="s">
        <v>16740</v>
      </c>
      <c r="B5796" s="1" t="s">
        <v>16741</v>
      </c>
      <c r="C5796">
        <f>(1-(B7/100))*745.75</f>
        <v>745.75</v>
      </c>
      <c r="D5796" s="1">
        <v>0</v>
      </c>
      <c r="E5796">
        <f>D5796*C5796</f>
        <v>0</v>
      </c>
      <c r="F5796" s="1" t="s">
        <v>16742</v>
      </c>
      <c r="G5796" s="17">
        <v>75776</v>
      </c>
    </row>
    <row r="5797" spans="1:7">
      <c r="A5797" s="1" t="s">
        <v>16743</v>
      </c>
      <c r="B5797" s="1" t="s">
        <v>16744</v>
      </c>
      <c r="C5797">
        <f>(1-(B7/100))*16.36</f>
        <v>16.36</v>
      </c>
      <c r="D5797" s="1">
        <v>0</v>
      </c>
      <c r="E5797">
        <f>D5797*C5797</f>
        <v>0</v>
      </c>
      <c r="F5797" s="1" t="s">
        <v>16745</v>
      </c>
      <c r="G5797" s="17">
        <v>75777</v>
      </c>
    </row>
    <row r="5798" spans="1:7">
      <c r="A5798" s="1" t="s">
        <v>16746</v>
      </c>
      <c r="B5798" s="1" t="s">
        <v>16747</v>
      </c>
      <c r="C5798">
        <f>(1-(B7/100))*40.57</f>
        <v>40.57</v>
      </c>
      <c r="D5798" s="1">
        <v>0</v>
      </c>
      <c r="E5798">
        <f>D5798*C5798</f>
        <v>0</v>
      </c>
      <c r="F5798" s="1" t="s">
        <v>16748</v>
      </c>
      <c r="G5798" s="17">
        <v>75779</v>
      </c>
    </row>
    <row r="5799" spans="1:7">
      <c r="A5799" s="1" t="s">
        <v>16749</v>
      </c>
      <c r="B5799" s="1" t="s">
        <v>16750</v>
      </c>
      <c r="C5799">
        <f>(1-(B7/100))*33.55</f>
        <v>33.55</v>
      </c>
      <c r="D5799" s="1">
        <v>0</v>
      </c>
      <c r="E5799">
        <f>D5799*C5799</f>
        <v>0</v>
      </c>
      <c r="F5799" s="1" t="s">
        <v>16751</v>
      </c>
      <c r="G5799" s="17">
        <v>75781</v>
      </c>
    </row>
    <row r="5800" spans="1:7">
      <c r="A5800" s="1" t="s">
        <v>16752</v>
      </c>
      <c r="B5800" s="1" t="s">
        <v>16753</v>
      </c>
      <c r="C5800">
        <f>(1-(B7/100))*93.57</f>
        <v>93.57</v>
      </c>
      <c r="D5800" s="1">
        <v>0</v>
      </c>
      <c r="E5800">
        <f>D5800*C5800</f>
        <v>0</v>
      </c>
      <c r="F5800" s="1" t="s">
        <v>16754</v>
      </c>
      <c r="G5800" s="17">
        <v>75783</v>
      </c>
    </row>
    <row r="5801" spans="1:7">
      <c r="A5801" s="1" t="s">
        <v>16755</v>
      </c>
      <c r="B5801" s="1" t="s">
        <v>16756</v>
      </c>
      <c r="C5801">
        <f>(1-(B7/100))*74.88</f>
        <v>74.88</v>
      </c>
      <c r="D5801" s="1">
        <v>0</v>
      </c>
      <c r="E5801">
        <f>D5801*C5801</f>
        <v>0</v>
      </c>
      <c r="F5801" s="1" t="s">
        <v>16757</v>
      </c>
      <c r="G5801" s="17">
        <v>75784</v>
      </c>
    </row>
    <row r="5802" spans="1:7">
      <c r="A5802" s="1" t="s">
        <v>16758</v>
      </c>
      <c r="B5802" s="1" t="s">
        <v>16759</v>
      </c>
      <c r="C5802">
        <f>(1-(B7/100))*46.81</f>
        <v>46.81</v>
      </c>
      <c r="D5802" s="1">
        <v>0</v>
      </c>
      <c r="E5802">
        <f>D5802*C5802</f>
        <v>0</v>
      </c>
      <c r="F5802" s="1" t="s">
        <v>16760</v>
      </c>
      <c r="G5802" s="17">
        <v>75785</v>
      </c>
    </row>
    <row r="5803" spans="1:7">
      <c r="A5803" s="1" t="s">
        <v>16761</v>
      </c>
      <c r="B5803" s="1" t="s">
        <v>16762</v>
      </c>
      <c r="C5803">
        <f>(1-(B7/100))*42.91</f>
        <v>42.91</v>
      </c>
      <c r="D5803" s="1">
        <v>0</v>
      </c>
      <c r="E5803">
        <f>D5803*C5803</f>
        <v>0</v>
      </c>
      <c r="F5803" s="1" t="s">
        <v>16763</v>
      </c>
      <c r="G5803" s="17">
        <v>75786</v>
      </c>
    </row>
    <row r="5804" spans="1:7">
      <c r="A5804" s="1" t="s">
        <v>16764</v>
      </c>
      <c r="B5804" s="1" t="s">
        <v>16765</v>
      </c>
      <c r="C5804">
        <f>(1-(B7/100))*185.3</f>
        <v>185.3</v>
      </c>
      <c r="D5804" s="1">
        <v>0</v>
      </c>
      <c r="E5804">
        <f>D5804*C5804</f>
        <v>0</v>
      </c>
      <c r="F5804" s="1" t="s">
        <v>16766</v>
      </c>
      <c r="G5804" s="17">
        <v>75787</v>
      </c>
    </row>
    <row r="5805" spans="1:7">
      <c r="A5805" s="1" t="s">
        <v>16767</v>
      </c>
      <c r="B5805" s="1" t="s">
        <v>16768</v>
      </c>
      <c r="C5805">
        <f>(1-(B7/100))*537.28</f>
        <v>537.28</v>
      </c>
      <c r="D5805" s="1">
        <v>0</v>
      </c>
      <c r="E5805">
        <f>D5805*C5805</f>
        <v>0</v>
      </c>
      <c r="F5805" s="1" t="s">
        <v>16769</v>
      </c>
      <c r="G5805" s="17">
        <v>75791</v>
      </c>
    </row>
    <row r="5806" spans="1:7">
      <c r="A5806" s="1" t="s">
        <v>16770</v>
      </c>
      <c r="B5806" s="1" t="s">
        <v>16771</v>
      </c>
      <c r="C5806">
        <f>(1-(B7/100))*132.41</f>
        <v>132.41</v>
      </c>
      <c r="D5806" s="1">
        <v>0</v>
      </c>
      <c r="E5806">
        <f>D5806*C5806</f>
        <v>0</v>
      </c>
      <c r="F5806" s="1" t="s">
        <v>16772</v>
      </c>
      <c r="G5806" s="17">
        <v>75792</v>
      </c>
    </row>
    <row r="5807" spans="1:7">
      <c r="A5807" s="1" t="s">
        <v>16773</v>
      </c>
      <c r="B5807" s="1" t="s">
        <v>16774</v>
      </c>
      <c r="C5807">
        <f>(1-(B7/100))*132.41</f>
        <v>132.41</v>
      </c>
      <c r="D5807" s="1">
        <v>0</v>
      </c>
      <c r="E5807">
        <f>D5807*C5807</f>
        <v>0</v>
      </c>
      <c r="F5807" s="1" t="s">
        <v>16775</v>
      </c>
      <c r="G5807" s="17">
        <v>75793</v>
      </c>
    </row>
    <row r="5808" spans="1:7">
      <c r="A5808" s="1" t="s">
        <v>16776</v>
      </c>
      <c r="B5808" s="1" t="s">
        <v>16777</v>
      </c>
      <c r="C5808">
        <f>(1-(B7/100))*26.71</f>
        <v>26.71</v>
      </c>
      <c r="D5808" s="1">
        <v>0</v>
      </c>
      <c r="E5808">
        <f>D5808*C5808</f>
        <v>0</v>
      </c>
      <c r="F5808" s="1" t="s">
        <v>16778</v>
      </c>
      <c r="G5808" s="17">
        <v>75794</v>
      </c>
    </row>
    <row r="5809" spans="1:7">
      <c r="A5809" s="1" t="s">
        <v>16779</v>
      </c>
      <c r="B5809" s="1" t="s">
        <v>16780</v>
      </c>
      <c r="C5809">
        <f>(1-(B7/100))*25.96</f>
        <v>25.96</v>
      </c>
      <c r="D5809" s="1">
        <v>0</v>
      </c>
      <c r="E5809">
        <f>D5809*C5809</f>
        <v>0</v>
      </c>
      <c r="F5809" s="1" t="s">
        <v>16781</v>
      </c>
      <c r="G5809" s="17">
        <v>75795</v>
      </c>
    </row>
    <row r="5810" spans="1:7">
      <c r="A5810" s="1" t="s">
        <v>16782</v>
      </c>
      <c r="B5810" s="1" t="s">
        <v>16783</v>
      </c>
      <c r="C5810">
        <f>(1-(B7/100))*185.91</f>
        <v>185.91</v>
      </c>
      <c r="D5810" s="1">
        <v>0</v>
      </c>
      <c r="E5810">
        <f>D5810*C5810</f>
        <v>0</v>
      </c>
      <c r="F5810" s="1" t="s">
        <v>16784</v>
      </c>
      <c r="G5810" s="17">
        <v>75797</v>
      </c>
    </row>
    <row r="5811" spans="1:7">
      <c r="A5811" s="1" t="s">
        <v>16785</v>
      </c>
      <c r="B5811" s="1" t="s">
        <v>16786</v>
      </c>
      <c r="C5811">
        <f>(1-(B7/100))*41.5</f>
        <v>41.5</v>
      </c>
      <c r="D5811" s="1">
        <v>0</v>
      </c>
      <c r="E5811">
        <f>D5811*C5811</f>
        <v>0</v>
      </c>
      <c r="F5811" s="1" t="s">
        <v>16787</v>
      </c>
      <c r="G5811" s="17">
        <v>75798</v>
      </c>
    </row>
    <row r="5812" spans="1:7">
      <c r="A5812" s="1" t="s">
        <v>16788</v>
      </c>
      <c r="B5812" s="1" t="s">
        <v>16789</v>
      </c>
      <c r="C5812">
        <f>(1-(B7/100))*35.64</f>
        <v>35.64</v>
      </c>
      <c r="D5812" s="1">
        <v>0</v>
      </c>
      <c r="E5812">
        <f>D5812*C5812</f>
        <v>0</v>
      </c>
      <c r="F5812" s="1" t="s">
        <v>16790</v>
      </c>
      <c r="G5812" s="17">
        <v>75800</v>
      </c>
    </row>
    <row r="5813" spans="1:7">
      <c r="A5813" s="1" t="s">
        <v>16791</v>
      </c>
      <c r="B5813" s="1" t="s">
        <v>16792</v>
      </c>
      <c r="C5813">
        <f>(1-(B7/100))*28.15</f>
        <v>28.15</v>
      </c>
      <c r="D5813" s="1">
        <v>0</v>
      </c>
      <c r="E5813">
        <f>D5813*C5813</f>
        <v>0</v>
      </c>
      <c r="F5813" s="1" t="s">
        <v>16793</v>
      </c>
      <c r="G5813" s="17">
        <v>75801</v>
      </c>
    </row>
    <row r="5814" spans="1:7">
      <c r="A5814" s="1" t="s">
        <v>16794</v>
      </c>
      <c r="B5814" s="1" t="s">
        <v>16795</v>
      </c>
      <c r="C5814">
        <f>(1-(B7/100))*30.46</f>
        <v>30.46</v>
      </c>
      <c r="D5814" s="1">
        <v>0</v>
      </c>
      <c r="E5814">
        <f>D5814*C5814</f>
        <v>0</v>
      </c>
      <c r="F5814" s="1" t="s">
        <v>16796</v>
      </c>
      <c r="G5814" s="17">
        <v>75802</v>
      </c>
    </row>
    <row r="5815" spans="1:7">
      <c r="A5815" s="1" t="s">
        <v>16797</v>
      </c>
      <c r="B5815" s="1" t="s">
        <v>16798</v>
      </c>
      <c r="C5815">
        <f>(1-(B7/100))*331.43</f>
        <v>331.43</v>
      </c>
      <c r="D5815" s="1">
        <v>0</v>
      </c>
      <c r="E5815">
        <f>D5815*C5815</f>
        <v>0</v>
      </c>
      <c r="F5815" s="1" t="s">
        <v>16799</v>
      </c>
      <c r="G5815" s="17">
        <v>75805</v>
      </c>
    </row>
    <row r="5816" spans="1:7">
      <c r="A5816" s="1" t="s">
        <v>16800</v>
      </c>
      <c r="B5816" s="1" t="s">
        <v>16801</v>
      </c>
      <c r="C5816">
        <f>(1-(B7/100))*12.56</f>
        <v>12.56</v>
      </c>
      <c r="D5816" s="1">
        <v>0</v>
      </c>
      <c r="E5816">
        <f>D5816*C5816</f>
        <v>0</v>
      </c>
      <c r="F5816" s="1" t="s">
        <v>16802</v>
      </c>
      <c r="G5816" s="17">
        <v>75808</v>
      </c>
    </row>
    <row r="5817" spans="1:7">
      <c r="A5817" s="1" t="s">
        <v>16803</v>
      </c>
      <c r="B5817" s="1" t="s">
        <v>16804</v>
      </c>
      <c r="C5817">
        <f>(1-(B7/100))*56.91</f>
        <v>56.91</v>
      </c>
      <c r="D5817" s="1">
        <v>0</v>
      </c>
      <c r="E5817">
        <f>D5817*C5817</f>
        <v>0</v>
      </c>
      <c r="F5817" s="1" t="s">
        <v>16805</v>
      </c>
      <c r="G5817" s="17">
        <v>75809</v>
      </c>
    </row>
    <row r="5818" spans="1:7">
      <c r="A5818" s="1" t="s">
        <v>16806</v>
      </c>
      <c r="B5818" s="1" t="s">
        <v>16202</v>
      </c>
      <c r="C5818">
        <f>(1-(B7/100))*66.37</f>
        <v>66.37</v>
      </c>
      <c r="D5818" s="1">
        <v>0</v>
      </c>
      <c r="E5818">
        <f>D5818*C5818</f>
        <v>0</v>
      </c>
      <c r="F5818" s="1" t="s">
        <v>16807</v>
      </c>
      <c r="G5818" s="17">
        <v>75810</v>
      </c>
    </row>
    <row r="5819" spans="1:7">
      <c r="A5819" s="1" t="s">
        <v>16808</v>
      </c>
      <c r="B5819" s="1" t="s">
        <v>16809</v>
      </c>
      <c r="C5819">
        <f>(1-(B7/100))*60.8</f>
        <v>60.8</v>
      </c>
      <c r="D5819" s="1">
        <v>0</v>
      </c>
      <c r="E5819">
        <f>D5819*C5819</f>
        <v>0</v>
      </c>
      <c r="F5819" s="1" t="s">
        <v>16810</v>
      </c>
      <c r="G5819" s="17">
        <v>75812</v>
      </c>
    </row>
    <row r="5820" spans="1:7">
      <c r="A5820" s="1" t="s">
        <v>16811</v>
      </c>
      <c r="B5820" s="1" t="s">
        <v>16812</v>
      </c>
      <c r="C5820">
        <f>(1-(B7/100))*22.05</f>
        <v>22.05</v>
      </c>
      <c r="D5820" s="1">
        <v>0</v>
      </c>
      <c r="E5820">
        <f>D5820*C5820</f>
        <v>0</v>
      </c>
      <c r="F5820" s="1" t="s">
        <v>16813</v>
      </c>
      <c r="G5820" s="17">
        <v>75813</v>
      </c>
    </row>
    <row r="5821" spans="1:7">
      <c r="A5821" s="1" t="s">
        <v>16814</v>
      </c>
      <c r="B5821" s="1" t="s">
        <v>16815</v>
      </c>
      <c r="C5821">
        <f>(1-(B7/100))*174.38</f>
        <v>174.38</v>
      </c>
      <c r="D5821" s="1">
        <v>0</v>
      </c>
      <c r="E5821">
        <f>D5821*C5821</f>
        <v>0</v>
      </c>
      <c r="F5821" s="1" t="s">
        <v>16816</v>
      </c>
      <c r="G5821" s="17">
        <v>75815</v>
      </c>
    </row>
    <row r="5822" spans="1:7">
      <c r="A5822" s="1" t="s">
        <v>16817</v>
      </c>
      <c r="B5822" s="1" t="s">
        <v>16818</v>
      </c>
      <c r="C5822">
        <f>(1-(B7/100))*418.37</f>
        <v>418.37</v>
      </c>
      <c r="D5822" s="1">
        <v>0</v>
      </c>
      <c r="E5822">
        <f>D5822*C5822</f>
        <v>0</v>
      </c>
      <c r="F5822" s="1" t="s">
        <v>16819</v>
      </c>
      <c r="G5822" s="17">
        <v>75816</v>
      </c>
    </row>
    <row r="5823" spans="1:7">
      <c r="A5823" s="1" t="s">
        <v>16820</v>
      </c>
      <c r="B5823" s="1" t="s">
        <v>16821</v>
      </c>
      <c r="C5823">
        <f>(1-(B7/100))*537.28</f>
        <v>537.28</v>
      </c>
      <c r="D5823" s="1">
        <v>0</v>
      </c>
      <c r="E5823">
        <f>D5823*C5823</f>
        <v>0</v>
      </c>
      <c r="F5823" s="1" t="s">
        <v>16822</v>
      </c>
      <c r="G5823" s="17">
        <v>75817</v>
      </c>
    </row>
    <row r="5824" spans="1:7">
      <c r="A5824" s="1" t="s">
        <v>16823</v>
      </c>
      <c r="B5824" s="1" t="s">
        <v>16824</v>
      </c>
      <c r="C5824">
        <f>(1-(B7/100))*418.37</f>
        <v>418.37</v>
      </c>
      <c r="D5824" s="1">
        <v>0</v>
      </c>
      <c r="E5824">
        <f>D5824*C5824</f>
        <v>0</v>
      </c>
      <c r="F5824" s="1" t="s">
        <v>16825</v>
      </c>
      <c r="G5824" s="17">
        <v>75820</v>
      </c>
    </row>
    <row r="5825" spans="1:7">
      <c r="A5825" s="1" t="s">
        <v>16826</v>
      </c>
      <c r="B5825" s="1" t="s">
        <v>16827</v>
      </c>
      <c r="C5825">
        <f>(1-(B7/100))*83.44</f>
        <v>83.44</v>
      </c>
      <c r="D5825" s="1">
        <v>0</v>
      </c>
      <c r="E5825">
        <f>D5825*C5825</f>
        <v>0</v>
      </c>
      <c r="F5825" s="1" t="s">
        <v>16828</v>
      </c>
      <c r="G5825" s="17">
        <v>75824</v>
      </c>
    </row>
    <row r="5826" spans="1:7">
      <c r="A5826" s="1" t="s">
        <v>16829</v>
      </c>
      <c r="B5826" s="1" t="s">
        <v>16830</v>
      </c>
      <c r="C5826">
        <f>(1-(B7/100))*23.39</f>
        <v>23.39</v>
      </c>
      <c r="D5826" s="1">
        <v>0</v>
      </c>
      <c r="E5826">
        <f>D5826*C5826</f>
        <v>0</v>
      </c>
      <c r="F5826" s="1" t="s">
        <v>16831</v>
      </c>
      <c r="G5826" s="17">
        <v>75830</v>
      </c>
    </row>
    <row r="5827" spans="1:7">
      <c r="A5827" s="1" t="s">
        <v>16832</v>
      </c>
      <c r="B5827" s="1" t="s">
        <v>16833</v>
      </c>
      <c r="C5827">
        <f>(1-(B7/100))*29.04</f>
        <v>29.04</v>
      </c>
      <c r="D5827" s="1">
        <v>0</v>
      </c>
      <c r="E5827">
        <f>D5827*C5827</f>
        <v>0</v>
      </c>
      <c r="F5827" s="1" t="s">
        <v>16834</v>
      </c>
      <c r="G5827" s="17">
        <v>75831</v>
      </c>
    </row>
    <row r="5828" spans="1:7">
      <c r="A5828" s="1" t="s">
        <v>16835</v>
      </c>
      <c r="B5828" s="1" t="s">
        <v>16836</v>
      </c>
      <c r="C5828">
        <f>(1-(B7/100))*33.55</f>
        <v>33.55</v>
      </c>
      <c r="D5828" s="1">
        <v>0</v>
      </c>
      <c r="E5828">
        <f>D5828*C5828</f>
        <v>0</v>
      </c>
      <c r="F5828" s="1" t="s">
        <v>16837</v>
      </c>
      <c r="G5828" s="17">
        <v>75832</v>
      </c>
    </row>
    <row r="5829" spans="1:7">
      <c r="A5829" s="1" t="s">
        <v>16838</v>
      </c>
      <c r="B5829" s="1" t="s">
        <v>16839</v>
      </c>
      <c r="C5829">
        <f>(1-(B7/100))*52.76</f>
        <v>52.76</v>
      </c>
      <c r="D5829" s="1">
        <v>0</v>
      </c>
      <c r="E5829">
        <f>D5829*C5829</f>
        <v>0</v>
      </c>
      <c r="F5829" s="1" t="s">
        <v>16840</v>
      </c>
      <c r="G5829" s="17">
        <v>75834</v>
      </c>
    </row>
    <row r="5830" spans="1:7">
      <c r="A5830" s="1" t="s">
        <v>16841</v>
      </c>
      <c r="B5830" s="1" t="s">
        <v>16842</v>
      </c>
      <c r="C5830">
        <f>(1-(B7/100))*120.76</f>
        <v>120.76</v>
      </c>
      <c r="D5830" s="1">
        <v>0</v>
      </c>
      <c r="E5830">
        <f>D5830*C5830</f>
        <v>0</v>
      </c>
      <c r="F5830" s="1" t="s">
        <v>16843</v>
      </c>
      <c r="G5830" s="17">
        <v>75835</v>
      </c>
    </row>
    <row r="5831" spans="1:7">
      <c r="A5831" s="1" t="s">
        <v>16844</v>
      </c>
      <c r="B5831" s="1" t="s">
        <v>16845</v>
      </c>
      <c r="C5831">
        <f>(1-(B7/100))*701.43</f>
        <v>701.43</v>
      </c>
      <c r="D5831" s="1">
        <v>0</v>
      </c>
      <c r="E5831">
        <f>D5831*C5831</f>
        <v>0</v>
      </c>
      <c r="F5831" s="1" t="s">
        <v>16846</v>
      </c>
      <c r="G5831" s="17">
        <v>75844</v>
      </c>
    </row>
    <row r="5832" spans="1:7">
      <c r="A5832" s="1" t="s">
        <v>16847</v>
      </c>
      <c r="B5832" s="1" t="s">
        <v>16848</v>
      </c>
      <c r="C5832">
        <f>(1-(B7/100))*123.09</f>
        <v>123.09</v>
      </c>
      <c r="D5832" s="1">
        <v>0</v>
      </c>
      <c r="E5832">
        <f>D5832*C5832</f>
        <v>0</v>
      </c>
      <c r="F5832" s="1" t="s">
        <v>16849</v>
      </c>
      <c r="G5832" s="17">
        <v>75847</v>
      </c>
    </row>
    <row r="5833" spans="1:7">
      <c r="A5833" s="1" t="s">
        <v>16850</v>
      </c>
      <c r="B5833" s="1" t="s">
        <v>16851</v>
      </c>
      <c r="C5833">
        <f>(1-(B7/100))*74.88</f>
        <v>74.88</v>
      </c>
      <c r="D5833" s="1">
        <v>0</v>
      </c>
      <c r="E5833">
        <f>D5833*C5833</f>
        <v>0</v>
      </c>
      <c r="F5833" s="1" t="s">
        <v>16852</v>
      </c>
      <c r="G5833" s="17">
        <v>75856</v>
      </c>
    </row>
    <row r="5834" spans="1:7">
      <c r="A5834" s="1" t="s">
        <v>16853</v>
      </c>
      <c r="B5834" s="1" t="s">
        <v>16854</v>
      </c>
      <c r="C5834">
        <f>(1-(B7/100))*119.22</f>
        <v>119.22</v>
      </c>
      <c r="D5834" s="1">
        <v>0</v>
      </c>
      <c r="E5834">
        <f>D5834*C5834</f>
        <v>0</v>
      </c>
      <c r="F5834" s="1" t="s">
        <v>16855</v>
      </c>
      <c r="G5834" s="17">
        <v>75859</v>
      </c>
    </row>
    <row r="5835" spans="1:7">
      <c r="A5835" s="1" t="s">
        <v>16856</v>
      </c>
      <c r="B5835" s="1" t="s">
        <v>16857</v>
      </c>
      <c r="C5835">
        <f>(1-(B7/100))*9.4</f>
        <v>9.4</v>
      </c>
      <c r="D5835" s="1">
        <v>0</v>
      </c>
      <c r="E5835">
        <f>D5835*C5835</f>
        <v>0</v>
      </c>
      <c r="F5835" s="1" t="s">
        <v>16858</v>
      </c>
      <c r="G5835" s="17">
        <v>75862</v>
      </c>
    </row>
    <row r="5836" spans="1:7">
      <c r="A5836" s="1" t="s">
        <v>16859</v>
      </c>
      <c r="B5836" s="1" t="s">
        <v>16860</v>
      </c>
      <c r="C5836">
        <f>(1-(B7/100))*13.48</f>
        <v>13.48</v>
      </c>
      <c r="D5836" s="1">
        <v>0</v>
      </c>
      <c r="E5836">
        <f>D5836*C5836</f>
        <v>0</v>
      </c>
      <c r="F5836" s="1" t="s">
        <v>16861</v>
      </c>
      <c r="G5836" s="17">
        <v>75863</v>
      </c>
    </row>
    <row r="5837" spans="1:7">
      <c r="A5837" s="1" t="s">
        <v>16862</v>
      </c>
      <c r="B5837" s="1" t="s">
        <v>16863</v>
      </c>
      <c r="C5837">
        <f>(1-(B7/100))*18.02</f>
        <v>18.02</v>
      </c>
      <c r="D5837" s="1">
        <v>0</v>
      </c>
      <c r="E5837">
        <f>D5837*C5837</f>
        <v>0</v>
      </c>
      <c r="F5837" s="1" t="s">
        <v>16864</v>
      </c>
      <c r="G5837" s="17">
        <v>75864</v>
      </c>
    </row>
    <row r="5838" spans="1:7">
      <c r="A5838" s="1" t="s">
        <v>16865</v>
      </c>
      <c r="B5838" s="1" t="s">
        <v>16866</v>
      </c>
      <c r="C5838">
        <f>(1-(B7/100))*81.88</f>
        <v>81.88</v>
      </c>
      <c r="D5838" s="1">
        <v>0</v>
      </c>
      <c r="E5838">
        <f>D5838*C5838</f>
        <v>0</v>
      </c>
      <c r="F5838" s="1" t="s">
        <v>16867</v>
      </c>
      <c r="G5838" s="17">
        <v>75866</v>
      </c>
    </row>
    <row r="5839" spans="1:7">
      <c r="A5839" s="1" t="s">
        <v>16868</v>
      </c>
      <c r="B5839" s="1" t="s">
        <v>16869</v>
      </c>
      <c r="C5839">
        <f>(1-(B7/100))*13.38</f>
        <v>13.38</v>
      </c>
      <c r="D5839" s="1">
        <v>0</v>
      </c>
      <c r="E5839">
        <f>D5839*C5839</f>
        <v>0</v>
      </c>
      <c r="F5839" s="1" t="s">
        <v>16870</v>
      </c>
      <c r="G5839" s="17">
        <v>75869</v>
      </c>
    </row>
    <row r="5840" spans="1:7">
      <c r="A5840" s="1" t="s">
        <v>16871</v>
      </c>
      <c r="B5840" s="1" t="s">
        <v>16872</v>
      </c>
      <c r="C5840">
        <f>(1-(B7/100))*12.56</f>
        <v>12.56</v>
      </c>
      <c r="D5840" s="1">
        <v>0</v>
      </c>
      <c r="E5840">
        <f>D5840*C5840</f>
        <v>0</v>
      </c>
      <c r="F5840" s="1" t="s">
        <v>16873</v>
      </c>
      <c r="G5840" s="17">
        <v>75871</v>
      </c>
    </row>
    <row r="5841" spans="1:7">
      <c r="A5841" s="1" t="s">
        <v>16874</v>
      </c>
      <c r="B5841" s="1" t="s">
        <v>16875</v>
      </c>
      <c r="C5841">
        <f>(1-(B7/100))*33.05</f>
        <v>33.05</v>
      </c>
      <c r="D5841" s="1">
        <v>0</v>
      </c>
      <c r="E5841">
        <f>D5841*C5841</f>
        <v>0</v>
      </c>
      <c r="F5841" s="1" t="s">
        <v>16876</v>
      </c>
      <c r="G5841" s="17">
        <v>75873</v>
      </c>
    </row>
    <row r="5842" spans="1:7">
      <c r="A5842" s="1" t="s">
        <v>16877</v>
      </c>
      <c r="B5842" s="1" t="s">
        <v>16878</v>
      </c>
      <c r="C5842">
        <f>(1-(B7/100))*32.01</f>
        <v>32.01</v>
      </c>
      <c r="D5842" s="1">
        <v>0</v>
      </c>
      <c r="E5842">
        <f>D5842*C5842</f>
        <v>0</v>
      </c>
      <c r="F5842" s="1" t="s">
        <v>16879</v>
      </c>
      <c r="G5842" s="17">
        <v>75874</v>
      </c>
    </row>
    <row r="5843" spans="1:7">
      <c r="A5843" s="1" t="s">
        <v>16880</v>
      </c>
      <c r="B5843" s="1" t="s">
        <v>16881</v>
      </c>
      <c r="C5843">
        <f>(1-(B7/100))*22.69</f>
        <v>22.69</v>
      </c>
      <c r="D5843" s="1">
        <v>0</v>
      </c>
      <c r="E5843">
        <f>D5843*C5843</f>
        <v>0</v>
      </c>
      <c r="F5843" s="1" t="s">
        <v>16882</v>
      </c>
      <c r="G5843" s="17">
        <v>75875</v>
      </c>
    </row>
    <row r="5844" spans="1:7">
      <c r="A5844" s="1" t="s">
        <v>16883</v>
      </c>
      <c r="B5844" s="1" t="s">
        <v>16884</v>
      </c>
      <c r="C5844">
        <f>(1-(B7/100))*18.96</f>
        <v>18.96</v>
      </c>
      <c r="D5844" s="1">
        <v>0</v>
      </c>
      <c r="E5844">
        <f>D5844*C5844</f>
        <v>0</v>
      </c>
      <c r="F5844" s="1" t="s">
        <v>16885</v>
      </c>
      <c r="G5844" s="17">
        <v>75876</v>
      </c>
    </row>
    <row r="5845" spans="1:7">
      <c r="A5845" s="1" t="s">
        <v>16886</v>
      </c>
      <c r="B5845" s="1" t="s">
        <v>16887</v>
      </c>
      <c r="C5845">
        <f>(1-(B7/100))*22.82</f>
        <v>22.82</v>
      </c>
      <c r="D5845" s="1">
        <v>0</v>
      </c>
      <c r="E5845">
        <f>D5845*C5845</f>
        <v>0</v>
      </c>
      <c r="F5845" s="1" t="s">
        <v>16888</v>
      </c>
      <c r="G5845" s="17">
        <v>75877</v>
      </c>
    </row>
    <row r="5846" spans="1:7">
      <c r="A5846" s="1" t="s">
        <v>16889</v>
      </c>
      <c r="B5846" s="1" t="s">
        <v>16890</v>
      </c>
      <c r="C5846">
        <f>(1-(B7/100))*32.94</f>
        <v>32.94</v>
      </c>
      <c r="D5846" s="1">
        <v>0</v>
      </c>
      <c r="E5846">
        <f>D5846*C5846</f>
        <v>0</v>
      </c>
      <c r="F5846" s="1" t="s">
        <v>16891</v>
      </c>
      <c r="G5846" s="17">
        <v>75879</v>
      </c>
    </row>
    <row r="5847" spans="1:7">
      <c r="A5847" s="1" t="s">
        <v>16892</v>
      </c>
      <c r="B5847" s="1" t="s">
        <v>16893</v>
      </c>
      <c r="C5847">
        <f>(1-(B7/100))*73.33</f>
        <v>73.33</v>
      </c>
      <c r="D5847" s="1">
        <v>0</v>
      </c>
      <c r="E5847">
        <f>D5847*C5847</f>
        <v>0</v>
      </c>
      <c r="F5847" s="1" t="s">
        <v>16894</v>
      </c>
      <c r="G5847" s="17">
        <v>75880</v>
      </c>
    </row>
    <row r="5848" spans="1:7">
      <c r="A5848" s="1" t="s">
        <v>16895</v>
      </c>
      <c r="B5848" s="1" t="s">
        <v>16896</v>
      </c>
      <c r="C5848">
        <f>(1-(B7/100))*79.54</f>
        <v>79.54</v>
      </c>
      <c r="D5848" s="1">
        <v>0</v>
      </c>
      <c r="E5848">
        <f>D5848*C5848</f>
        <v>0</v>
      </c>
      <c r="F5848" s="1" t="s">
        <v>16897</v>
      </c>
      <c r="G5848" s="17">
        <v>75881</v>
      </c>
    </row>
    <row r="5849" spans="1:7">
      <c r="A5849" s="1" t="s">
        <v>16898</v>
      </c>
      <c r="B5849" s="1" t="s">
        <v>16899</v>
      </c>
      <c r="C5849">
        <f>(1-(B7/100))*41.36</f>
        <v>41.36</v>
      </c>
      <c r="D5849" s="1">
        <v>0</v>
      </c>
      <c r="E5849">
        <f>D5849*C5849</f>
        <v>0</v>
      </c>
      <c r="F5849" s="1" t="s">
        <v>16900</v>
      </c>
      <c r="G5849" s="17">
        <v>75883</v>
      </c>
    </row>
    <row r="5850" spans="1:7">
      <c r="A5850" s="1" t="s">
        <v>16901</v>
      </c>
      <c r="B5850" s="1" t="s">
        <v>16902</v>
      </c>
      <c r="C5850">
        <f>(1-(B7/100))*60.76</f>
        <v>60.76</v>
      </c>
      <c r="D5850" s="1">
        <v>0</v>
      </c>
      <c r="E5850">
        <f>D5850*C5850</f>
        <v>0</v>
      </c>
      <c r="F5850" s="1" t="s">
        <v>16903</v>
      </c>
      <c r="G5850" s="17">
        <v>75884</v>
      </c>
    </row>
    <row r="5851" spans="1:7">
      <c r="A5851" s="1" t="s">
        <v>16904</v>
      </c>
      <c r="B5851" s="1" t="s">
        <v>16905</v>
      </c>
      <c r="C5851">
        <f>(1-(B7/100))*60.05</f>
        <v>60.05</v>
      </c>
      <c r="D5851" s="1">
        <v>0</v>
      </c>
      <c r="E5851">
        <f>D5851*C5851</f>
        <v>0</v>
      </c>
      <c r="F5851" s="1" t="s">
        <v>16906</v>
      </c>
      <c r="G5851" s="17">
        <v>75885</v>
      </c>
    </row>
    <row r="5852" spans="1:7">
      <c r="A5852" s="1" t="s">
        <v>16907</v>
      </c>
      <c r="B5852" s="1" t="s">
        <v>16908</v>
      </c>
      <c r="C5852">
        <f>(1-(B7/100))*27.4</f>
        <v>27.4</v>
      </c>
      <c r="D5852" s="1">
        <v>0</v>
      </c>
      <c r="E5852">
        <f>D5852*C5852</f>
        <v>0</v>
      </c>
      <c r="F5852" s="1" t="s">
        <v>16909</v>
      </c>
      <c r="G5852" s="17">
        <v>75887</v>
      </c>
    </row>
    <row r="5853" spans="1:7">
      <c r="A5853" s="1" t="s">
        <v>16910</v>
      </c>
      <c r="B5853" s="1" t="s">
        <v>16911</v>
      </c>
      <c r="C5853">
        <f>(1-(B7/100))*31.29</f>
        <v>31.29</v>
      </c>
      <c r="D5853" s="1">
        <v>0</v>
      </c>
      <c r="E5853">
        <f>D5853*C5853</f>
        <v>0</v>
      </c>
      <c r="F5853" s="1" t="s">
        <v>16912</v>
      </c>
      <c r="G5853" s="17">
        <v>75889</v>
      </c>
    </row>
    <row r="5854" spans="1:7">
      <c r="A5854" s="1" t="s">
        <v>16913</v>
      </c>
      <c r="B5854" s="1" t="s">
        <v>16914</v>
      </c>
      <c r="C5854">
        <f>(1-(B7/100))*28.15</f>
        <v>28.15</v>
      </c>
      <c r="D5854" s="1">
        <v>0</v>
      </c>
      <c r="E5854">
        <f>D5854*C5854</f>
        <v>0</v>
      </c>
      <c r="F5854" s="1" t="s">
        <v>16915</v>
      </c>
      <c r="G5854" s="17">
        <v>75899</v>
      </c>
    </row>
    <row r="5855" spans="1:7">
      <c r="A5855" s="1" t="s">
        <v>16916</v>
      </c>
      <c r="B5855" s="1" t="s">
        <v>16917</v>
      </c>
      <c r="C5855">
        <f>(1-(B7/100))*63.15</f>
        <v>63.15</v>
      </c>
      <c r="D5855" s="1">
        <v>0</v>
      </c>
      <c r="E5855">
        <f>D5855*C5855</f>
        <v>0</v>
      </c>
      <c r="F5855" s="1" t="s">
        <v>16918</v>
      </c>
      <c r="G5855" s="17">
        <v>75901</v>
      </c>
    </row>
    <row r="5856" spans="1:7">
      <c r="A5856" s="1" t="s">
        <v>16919</v>
      </c>
      <c r="B5856" s="1" t="s">
        <v>16920</v>
      </c>
      <c r="C5856">
        <f>(1-(B7/100))*324.7</f>
        <v>324.7</v>
      </c>
      <c r="D5856" s="1">
        <v>0</v>
      </c>
      <c r="E5856">
        <f>D5856*C5856</f>
        <v>0</v>
      </c>
      <c r="F5856" s="1" t="s">
        <v>16921</v>
      </c>
      <c r="G5856" s="17">
        <v>75904</v>
      </c>
    </row>
    <row r="5857" spans="1:7">
      <c r="A5857" s="1" t="s">
        <v>16922</v>
      </c>
      <c r="B5857" s="1" t="s">
        <v>16923</v>
      </c>
      <c r="C5857">
        <f>(1-(B7/100))*504.65</f>
        <v>504.65</v>
      </c>
      <c r="D5857" s="1">
        <v>0</v>
      </c>
      <c r="E5857">
        <f>D5857*C5857</f>
        <v>0</v>
      </c>
      <c r="F5857" s="1" t="s">
        <v>16924</v>
      </c>
      <c r="G5857" s="17">
        <v>75905</v>
      </c>
    </row>
    <row r="5858" spans="1:7">
      <c r="A5858" s="1" t="s">
        <v>16925</v>
      </c>
      <c r="B5858" s="1" t="s">
        <v>16926</v>
      </c>
      <c r="C5858">
        <f>(1-(B7/100))*32.81</f>
        <v>32.81</v>
      </c>
      <c r="D5858" s="1">
        <v>0</v>
      </c>
      <c r="E5858">
        <f>D5858*C5858</f>
        <v>0</v>
      </c>
      <c r="F5858" s="1" t="s">
        <v>16927</v>
      </c>
      <c r="G5858" s="17">
        <v>75912</v>
      </c>
    </row>
    <row r="5859" spans="1:7">
      <c r="A5859" s="1" t="s">
        <v>16928</v>
      </c>
      <c r="B5859" s="1" t="s">
        <v>16929</v>
      </c>
      <c r="C5859">
        <f>(1-(B7/100))*106.14</f>
        <v>106.14</v>
      </c>
      <c r="D5859" s="1">
        <v>0</v>
      </c>
      <c r="E5859">
        <f>D5859*C5859</f>
        <v>0</v>
      </c>
      <c r="F5859" s="1" t="s">
        <v>16930</v>
      </c>
      <c r="G5859" s="17">
        <v>75915</v>
      </c>
    </row>
    <row r="5860" spans="1:7">
      <c r="A5860" s="1" t="s">
        <v>16931</v>
      </c>
      <c r="B5860" s="1" t="s">
        <v>16932</v>
      </c>
      <c r="C5860">
        <f>(1-(B7/100))*229.2</f>
        <v>229.2</v>
      </c>
      <c r="D5860" s="1">
        <v>0</v>
      </c>
      <c r="E5860">
        <f>D5860*C5860</f>
        <v>0</v>
      </c>
      <c r="F5860" s="1" t="s">
        <v>16933</v>
      </c>
      <c r="G5860" s="17">
        <v>75917</v>
      </c>
    </row>
    <row r="5861" spans="1:7">
      <c r="A5861" s="1" t="s">
        <v>16934</v>
      </c>
      <c r="B5861" s="1" t="s">
        <v>16935</v>
      </c>
      <c r="C5861">
        <f>(1-(B7/100))*105.35</f>
        <v>105.35</v>
      </c>
      <c r="D5861" s="1">
        <v>0</v>
      </c>
      <c r="E5861">
        <f>D5861*C5861</f>
        <v>0</v>
      </c>
      <c r="F5861" s="1" t="s">
        <v>16936</v>
      </c>
      <c r="G5861" s="17">
        <v>75920</v>
      </c>
    </row>
    <row r="5862" spans="1:7">
      <c r="A5862" s="1" t="s">
        <v>16937</v>
      </c>
      <c r="B5862" s="1" t="s">
        <v>16938</v>
      </c>
      <c r="C5862">
        <f>(1-(B7/100))*130.99</f>
        <v>130.99</v>
      </c>
      <c r="D5862" s="1">
        <v>0</v>
      </c>
      <c r="E5862">
        <f>D5862*C5862</f>
        <v>0</v>
      </c>
      <c r="F5862" s="1" t="s">
        <v>16939</v>
      </c>
      <c r="G5862" s="17">
        <v>75922</v>
      </c>
    </row>
    <row r="5863" spans="1:7">
      <c r="A5863" s="1" t="s">
        <v>16940</v>
      </c>
      <c r="B5863" s="1" t="s">
        <v>16941</v>
      </c>
      <c r="C5863">
        <f>(1-(B7/100))*74.88</f>
        <v>74.88</v>
      </c>
      <c r="D5863" s="1">
        <v>0</v>
      </c>
      <c r="E5863">
        <f>D5863*C5863</f>
        <v>0</v>
      </c>
      <c r="F5863" s="1" t="s">
        <v>16942</v>
      </c>
      <c r="G5863" s="17">
        <v>75923</v>
      </c>
    </row>
    <row r="5864" spans="1:7">
      <c r="A5864" s="1" t="s">
        <v>16943</v>
      </c>
      <c r="B5864" s="1" t="s">
        <v>16944</v>
      </c>
      <c r="C5864">
        <f>(1-(B7/100))*84.23</f>
        <v>84.23</v>
      </c>
      <c r="D5864" s="1">
        <v>0</v>
      </c>
      <c r="E5864">
        <f>D5864*C5864</f>
        <v>0</v>
      </c>
      <c r="F5864" s="1" t="s">
        <v>16945</v>
      </c>
      <c r="G5864" s="17">
        <v>75924</v>
      </c>
    </row>
    <row r="5865" spans="1:7">
      <c r="A5865" s="1" t="s">
        <v>16946</v>
      </c>
      <c r="B5865" s="1" t="s">
        <v>16947</v>
      </c>
      <c r="C5865">
        <f>(1-(B7/100))*121.01</f>
        <v>121.01</v>
      </c>
      <c r="D5865" s="1">
        <v>0</v>
      </c>
      <c r="E5865">
        <f>D5865*C5865</f>
        <v>0</v>
      </c>
      <c r="F5865" s="1" t="s">
        <v>16948</v>
      </c>
      <c r="G5865" s="17">
        <v>75925</v>
      </c>
    </row>
    <row r="5866" spans="1:7">
      <c r="A5866" s="1" t="s">
        <v>16949</v>
      </c>
      <c r="B5866" s="1" t="s">
        <v>16950</v>
      </c>
      <c r="C5866">
        <f>(1-(B7/100))*19.58</f>
        <v>19.58</v>
      </c>
      <c r="D5866" s="1">
        <v>0</v>
      </c>
      <c r="E5866">
        <f>D5866*C5866</f>
        <v>0</v>
      </c>
      <c r="F5866" s="1" t="s">
        <v>16951</v>
      </c>
      <c r="G5866" s="17">
        <v>75930</v>
      </c>
    </row>
    <row r="5867" spans="1:7">
      <c r="A5867" s="1" t="s">
        <v>16952</v>
      </c>
      <c r="B5867" s="1" t="s">
        <v>16953</v>
      </c>
      <c r="C5867">
        <f>(1-(B7/100))*10.27</f>
        <v>10.27</v>
      </c>
      <c r="D5867" s="1">
        <v>0</v>
      </c>
      <c r="E5867">
        <f>D5867*C5867</f>
        <v>0</v>
      </c>
      <c r="F5867" s="1" t="s">
        <v>16954</v>
      </c>
      <c r="G5867" s="17">
        <v>75932</v>
      </c>
    </row>
    <row r="5868" spans="1:7">
      <c r="A5868" s="1" t="s">
        <v>16955</v>
      </c>
      <c r="B5868" s="1" t="s">
        <v>16956</v>
      </c>
      <c r="C5868">
        <f>(1-(B7/100))*29.04</f>
        <v>29.04</v>
      </c>
      <c r="D5868" s="1">
        <v>0</v>
      </c>
      <c r="E5868">
        <f>D5868*C5868</f>
        <v>0</v>
      </c>
      <c r="F5868" s="1" t="s">
        <v>16957</v>
      </c>
      <c r="G5868" s="17">
        <v>75933</v>
      </c>
    </row>
    <row r="5869" spans="1:7">
      <c r="A5869" s="1" t="s">
        <v>16958</v>
      </c>
      <c r="B5869" s="1" t="s">
        <v>16959</v>
      </c>
      <c r="C5869">
        <f>(1-(B7/100))*124.37</f>
        <v>124.37</v>
      </c>
      <c r="D5869" s="1">
        <v>0</v>
      </c>
      <c r="E5869">
        <f>D5869*C5869</f>
        <v>0</v>
      </c>
      <c r="F5869" s="1" t="s">
        <v>16960</v>
      </c>
      <c r="G5869" s="17">
        <v>75939</v>
      </c>
    </row>
    <row r="5870" spans="1:7">
      <c r="A5870" s="1" t="s">
        <v>16961</v>
      </c>
      <c r="B5870" s="1" t="s">
        <v>16962</v>
      </c>
      <c r="C5870">
        <f>(1-(B7/100))*74.88</f>
        <v>74.88</v>
      </c>
      <c r="D5870" s="1">
        <v>0</v>
      </c>
      <c r="E5870">
        <f>D5870*C5870</f>
        <v>0</v>
      </c>
      <c r="F5870" s="1" t="s">
        <v>16963</v>
      </c>
      <c r="G5870" s="17">
        <v>75941</v>
      </c>
    </row>
    <row r="5871" spans="1:7">
      <c r="A5871" s="1" t="s">
        <v>16964</v>
      </c>
      <c r="B5871" s="1" t="s">
        <v>16965</v>
      </c>
      <c r="C5871">
        <f>(1-(B7/100))*11.79</f>
        <v>11.79</v>
      </c>
      <c r="D5871" s="1">
        <v>0</v>
      </c>
      <c r="E5871">
        <f>D5871*C5871</f>
        <v>0</v>
      </c>
      <c r="F5871" s="1" t="s">
        <v>16966</v>
      </c>
      <c r="G5871" s="17">
        <v>75947</v>
      </c>
    </row>
    <row r="5872" spans="1:7">
      <c r="A5872" s="1" t="s">
        <v>16967</v>
      </c>
      <c r="B5872" s="1" t="s">
        <v>16968</v>
      </c>
      <c r="C5872">
        <f>(1-(B7/100))*14.13</f>
        <v>14.13</v>
      </c>
      <c r="D5872" s="1">
        <v>0</v>
      </c>
      <c r="E5872">
        <f>D5872*C5872</f>
        <v>0</v>
      </c>
      <c r="F5872" s="1" t="s">
        <v>16969</v>
      </c>
      <c r="G5872" s="17">
        <v>75948</v>
      </c>
    </row>
    <row r="5873" spans="1:7">
      <c r="A5873" s="1" t="s">
        <v>16970</v>
      </c>
      <c r="B5873" s="1" t="s">
        <v>16971</v>
      </c>
      <c r="C5873">
        <f>(1-(B7/100))*33.63</f>
        <v>33.63</v>
      </c>
      <c r="D5873" s="1">
        <v>0</v>
      </c>
      <c r="E5873">
        <f>D5873*C5873</f>
        <v>0</v>
      </c>
      <c r="F5873" s="1" t="s">
        <v>16972</v>
      </c>
      <c r="G5873" s="17">
        <v>75951</v>
      </c>
    </row>
    <row r="5874" spans="1:7">
      <c r="A5874" s="1" t="s">
        <v>16973</v>
      </c>
      <c r="B5874" s="1" t="s">
        <v>16974</v>
      </c>
      <c r="C5874">
        <f>(1-(B7/100))*33.63</f>
        <v>33.63</v>
      </c>
      <c r="D5874" s="1">
        <v>0</v>
      </c>
      <c r="E5874">
        <f>D5874*C5874</f>
        <v>0</v>
      </c>
      <c r="F5874" s="1" t="s">
        <v>16975</v>
      </c>
      <c r="G5874" s="17">
        <v>75952</v>
      </c>
    </row>
    <row r="5875" spans="1:7">
      <c r="A5875" s="1" t="s">
        <v>16976</v>
      </c>
      <c r="B5875" s="1" t="s">
        <v>16977</v>
      </c>
      <c r="C5875">
        <f>(1-(B7/100))*83.76</f>
        <v>83.76</v>
      </c>
      <c r="D5875" s="1">
        <v>0</v>
      </c>
      <c r="E5875">
        <f>D5875*C5875</f>
        <v>0</v>
      </c>
      <c r="F5875" s="1" t="s">
        <v>16978</v>
      </c>
      <c r="G5875" s="17">
        <v>75954</v>
      </c>
    </row>
    <row r="5876" spans="1:7">
      <c r="A5876" s="1" t="s">
        <v>16979</v>
      </c>
      <c r="B5876" s="1" t="s">
        <v>16980</v>
      </c>
      <c r="C5876">
        <f>(1-(B7/100))*83.76</f>
        <v>83.76</v>
      </c>
      <c r="D5876" s="1">
        <v>0</v>
      </c>
      <c r="E5876">
        <f>D5876*C5876</f>
        <v>0</v>
      </c>
      <c r="F5876" s="1" t="s">
        <v>16981</v>
      </c>
      <c r="G5876" s="17">
        <v>75960</v>
      </c>
    </row>
    <row r="5877" spans="1:7">
      <c r="A5877" s="1" t="s">
        <v>16982</v>
      </c>
      <c r="B5877" s="1" t="s">
        <v>16983</v>
      </c>
      <c r="C5877">
        <f>(1-(B7/100))*97.77</f>
        <v>97.77</v>
      </c>
      <c r="D5877" s="1">
        <v>0</v>
      </c>
      <c r="E5877">
        <f>D5877*C5877</f>
        <v>0</v>
      </c>
      <c r="F5877" s="1" t="s">
        <v>16984</v>
      </c>
      <c r="G5877" s="17">
        <v>75966</v>
      </c>
    </row>
    <row r="5878" spans="1:7">
      <c r="A5878" s="1" t="s">
        <v>16985</v>
      </c>
      <c r="B5878" s="1" t="s">
        <v>16986</v>
      </c>
      <c r="C5878">
        <f>(1-(B7/100))*45.53</f>
        <v>45.53</v>
      </c>
      <c r="D5878" s="1">
        <v>0</v>
      </c>
      <c r="E5878">
        <f>D5878*C5878</f>
        <v>0</v>
      </c>
      <c r="F5878" s="1" t="s">
        <v>16987</v>
      </c>
      <c r="G5878" s="17">
        <v>75967</v>
      </c>
    </row>
    <row r="5879" spans="1:7">
      <c r="A5879" s="1" t="s">
        <v>16988</v>
      </c>
      <c r="B5879" s="1" t="s">
        <v>16989</v>
      </c>
      <c r="C5879">
        <f>(1-(B7/100))*67.73</f>
        <v>67.73</v>
      </c>
      <c r="D5879" s="1">
        <v>0</v>
      </c>
      <c r="E5879">
        <f>D5879*C5879</f>
        <v>0</v>
      </c>
      <c r="F5879" s="1" t="s">
        <v>16</v>
      </c>
      <c r="G5879" s="17">
        <v>75976</v>
      </c>
    </row>
    <row r="5880" spans="1:7">
      <c r="A5880" s="1" t="s">
        <v>16990</v>
      </c>
      <c r="B5880" s="1" t="s">
        <v>16991</v>
      </c>
      <c r="C5880">
        <f>(1-(B7/100))*29.04</f>
        <v>29.04</v>
      </c>
      <c r="D5880" s="1">
        <v>0</v>
      </c>
      <c r="E5880">
        <f>D5880*C5880</f>
        <v>0</v>
      </c>
      <c r="F5880" s="1" t="s">
        <v>16992</v>
      </c>
      <c r="G5880" s="17">
        <v>75980</v>
      </c>
    </row>
    <row r="5881" spans="1:7">
      <c r="A5881" s="1" t="s">
        <v>16993</v>
      </c>
      <c r="B5881" s="1" t="s">
        <v>16994</v>
      </c>
      <c r="C5881">
        <f>(1-(B7/100))*33.55</f>
        <v>33.55</v>
      </c>
      <c r="D5881" s="1">
        <v>0</v>
      </c>
      <c r="E5881">
        <f>D5881*C5881</f>
        <v>0</v>
      </c>
      <c r="F5881" s="1" t="s">
        <v>16995</v>
      </c>
      <c r="G5881" s="17">
        <v>75984</v>
      </c>
    </row>
    <row r="5882" spans="1:7">
      <c r="A5882" s="1" t="s">
        <v>16996</v>
      </c>
      <c r="B5882" s="1" t="s">
        <v>16997</v>
      </c>
      <c r="C5882">
        <f>(1-(B7/100))*83.96</f>
        <v>83.96</v>
      </c>
      <c r="D5882" s="1">
        <v>0</v>
      </c>
      <c r="E5882">
        <f>D5882*C5882</f>
        <v>0</v>
      </c>
      <c r="F5882" s="1" t="s">
        <v>16998</v>
      </c>
      <c r="G5882" s="17">
        <v>75985</v>
      </c>
    </row>
    <row r="5883" spans="1:7">
      <c r="A5883" s="1" t="s">
        <v>16999</v>
      </c>
      <c r="B5883" s="1" t="s">
        <v>17000</v>
      </c>
      <c r="C5883">
        <f>(1-(B7/100))*44.52</f>
        <v>44.52</v>
      </c>
      <c r="D5883" s="1">
        <v>0</v>
      </c>
      <c r="E5883">
        <f>D5883*C5883</f>
        <v>0</v>
      </c>
      <c r="F5883" s="1" t="s">
        <v>17001</v>
      </c>
      <c r="G5883" s="17">
        <v>75992</v>
      </c>
    </row>
    <row r="5884" spans="1:7">
      <c r="A5884" s="1" t="s">
        <v>17002</v>
      </c>
      <c r="B5884" s="1" t="s">
        <v>17003</v>
      </c>
      <c r="C5884">
        <f>(1-(B7/100))*35.89</f>
        <v>35.89</v>
      </c>
      <c r="D5884" s="1">
        <v>0</v>
      </c>
      <c r="E5884">
        <f>D5884*C5884</f>
        <v>0</v>
      </c>
      <c r="F5884" s="1" t="s">
        <v>17004</v>
      </c>
      <c r="G5884" s="17">
        <v>75996</v>
      </c>
    </row>
    <row r="5885" spans="1:7">
      <c r="A5885" s="1" t="s">
        <v>17005</v>
      </c>
      <c r="B5885" s="1" t="s">
        <v>17006</v>
      </c>
      <c r="C5885">
        <f>(1-(B7/100))*37.72</f>
        <v>37.72</v>
      </c>
      <c r="D5885" s="1">
        <v>0</v>
      </c>
      <c r="E5885">
        <f>D5885*C5885</f>
        <v>0</v>
      </c>
      <c r="F5885" s="1" t="s">
        <v>17007</v>
      </c>
      <c r="G5885" s="17">
        <v>75997</v>
      </c>
    </row>
    <row r="5886" spans="1:7">
      <c r="A5886" s="1" t="s">
        <v>17008</v>
      </c>
      <c r="B5886" s="1" t="s">
        <v>17009</v>
      </c>
      <c r="C5886">
        <f>(1-(B7/100))*101.08</f>
        <v>101.08</v>
      </c>
      <c r="D5886" s="1">
        <v>0</v>
      </c>
      <c r="E5886">
        <f>D5886*C5886</f>
        <v>0</v>
      </c>
      <c r="F5886" s="1" t="s">
        <v>17010</v>
      </c>
      <c r="G5886" s="17">
        <v>76000</v>
      </c>
    </row>
    <row r="5887" spans="1:7">
      <c r="A5887" s="1" t="s">
        <v>17011</v>
      </c>
      <c r="B5887" s="1" t="s">
        <v>17012</v>
      </c>
      <c r="C5887">
        <f>(1-(B7/100))*258.36</f>
        <v>258.36</v>
      </c>
      <c r="D5887" s="1">
        <v>0</v>
      </c>
      <c r="E5887">
        <f>D5887*C5887</f>
        <v>0</v>
      </c>
      <c r="F5887" s="1" t="s">
        <v>17013</v>
      </c>
      <c r="G5887" s="17">
        <v>76001</v>
      </c>
    </row>
    <row r="5888" spans="1:7">
      <c r="A5888" s="1" t="s">
        <v>17014</v>
      </c>
      <c r="B5888" s="1" t="s">
        <v>17015</v>
      </c>
      <c r="C5888">
        <f>(1-(B7/100))*73.99</f>
        <v>73.99</v>
      </c>
      <c r="D5888" s="1">
        <v>0</v>
      </c>
      <c r="E5888">
        <f>D5888*C5888</f>
        <v>0</v>
      </c>
      <c r="F5888" s="1" t="s">
        <v>17016</v>
      </c>
      <c r="G5888" s="17">
        <v>76008</v>
      </c>
    </row>
    <row r="5889" spans="1:7">
      <c r="A5889" s="1" t="s">
        <v>17017</v>
      </c>
      <c r="B5889" s="1" t="s">
        <v>17018</v>
      </c>
      <c r="C5889">
        <f>(1-(B7/100))*18.96</f>
        <v>18.96</v>
      </c>
      <c r="D5889" s="1">
        <v>0</v>
      </c>
      <c r="E5889">
        <f>D5889*C5889</f>
        <v>0</v>
      </c>
      <c r="F5889" s="1" t="s">
        <v>17019</v>
      </c>
      <c r="G5889" s="17">
        <v>76018</v>
      </c>
    </row>
    <row r="5890" spans="1:7">
      <c r="A5890" s="1" t="s">
        <v>17020</v>
      </c>
      <c r="B5890" s="1" t="s">
        <v>17021</v>
      </c>
      <c r="C5890">
        <f>(1-(B7/100))*18.86</f>
        <v>18.86</v>
      </c>
      <c r="D5890" s="1">
        <v>0</v>
      </c>
      <c r="E5890">
        <f>D5890*C5890</f>
        <v>0</v>
      </c>
      <c r="F5890" s="1" t="s">
        <v>17022</v>
      </c>
      <c r="G5890" s="17">
        <v>76019</v>
      </c>
    </row>
    <row r="5891" spans="1:7">
      <c r="A5891" s="1" t="s">
        <v>17023</v>
      </c>
      <c r="B5891" s="1" t="s">
        <v>17024</v>
      </c>
      <c r="C5891">
        <f>(1-(B7/100))*18.77</f>
        <v>18.77</v>
      </c>
      <c r="D5891" s="1">
        <v>0</v>
      </c>
      <c r="E5891">
        <f>D5891*C5891</f>
        <v>0</v>
      </c>
      <c r="F5891" s="1" t="s">
        <v>17025</v>
      </c>
      <c r="G5891" s="17">
        <v>76020</v>
      </c>
    </row>
    <row r="5892" spans="1:7">
      <c r="A5892" s="1" t="s">
        <v>17026</v>
      </c>
      <c r="B5892" s="1" t="s">
        <v>17027</v>
      </c>
      <c r="C5892">
        <f>(1-(B7/100))*18.96</f>
        <v>18.96</v>
      </c>
      <c r="D5892" s="1">
        <v>0</v>
      </c>
      <c r="E5892">
        <f>D5892*C5892</f>
        <v>0</v>
      </c>
      <c r="F5892" s="1" t="s">
        <v>17028</v>
      </c>
      <c r="G5892" s="17">
        <v>76021</v>
      </c>
    </row>
    <row r="5893" spans="1:7">
      <c r="A5893" s="1" t="s">
        <v>17029</v>
      </c>
      <c r="B5893" s="1" t="s">
        <v>17030</v>
      </c>
      <c r="C5893">
        <f>(1-(B7/100))*428.72</f>
        <v>428.72</v>
      </c>
      <c r="D5893" s="1">
        <v>0</v>
      </c>
      <c r="E5893">
        <f>D5893*C5893</f>
        <v>0</v>
      </c>
      <c r="F5893" s="1" t="s">
        <v>17031</v>
      </c>
      <c r="G5893" s="17">
        <v>76022</v>
      </c>
    </row>
    <row r="5894" spans="1:7">
      <c r="A5894" s="1" t="s">
        <v>17032</v>
      </c>
      <c r="B5894" s="1" t="s">
        <v>17033</v>
      </c>
      <c r="C5894">
        <f>(1-(B7/100))*31.36</f>
        <v>31.36</v>
      </c>
      <c r="D5894" s="1">
        <v>0</v>
      </c>
      <c r="E5894">
        <f>D5894*C5894</f>
        <v>0</v>
      </c>
      <c r="F5894" s="1" t="s">
        <v>17034</v>
      </c>
      <c r="G5894" s="17">
        <v>76023</v>
      </c>
    </row>
    <row r="5895" spans="1:7">
      <c r="A5895" s="1" t="s">
        <v>17035</v>
      </c>
      <c r="B5895" s="1" t="s">
        <v>17036</v>
      </c>
      <c r="C5895">
        <f>(1-(B7/100))*18.86</f>
        <v>18.86</v>
      </c>
      <c r="D5895" s="1">
        <v>0</v>
      </c>
      <c r="E5895">
        <f>D5895*C5895</f>
        <v>0</v>
      </c>
      <c r="F5895" s="1" t="s">
        <v>17037</v>
      </c>
      <c r="G5895" s="17">
        <v>76024</v>
      </c>
    </row>
    <row r="5896" spans="1:7">
      <c r="A5896" s="1" t="s">
        <v>17038</v>
      </c>
      <c r="B5896" s="1" t="s">
        <v>17039</v>
      </c>
      <c r="C5896">
        <f>(1-(B7/100))*28.19</f>
        <v>28.19</v>
      </c>
      <c r="D5896" s="1">
        <v>0</v>
      </c>
      <c r="E5896">
        <f>D5896*C5896</f>
        <v>0</v>
      </c>
      <c r="F5896" s="1" t="s">
        <v>17040</v>
      </c>
      <c r="G5896" s="17">
        <v>76026</v>
      </c>
    </row>
    <row r="5897" spans="1:7">
      <c r="A5897" s="1" t="s">
        <v>17041</v>
      </c>
      <c r="B5897" s="1" t="s">
        <v>17042</v>
      </c>
      <c r="C5897">
        <f>(1-(B7/100))*14.07</f>
        <v>14.07</v>
      </c>
      <c r="D5897" s="1">
        <v>0</v>
      </c>
      <c r="E5897">
        <f>D5897*C5897</f>
        <v>0</v>
      </c>
      <c r="F5897" s="1" t="s">
        <v>17043</v>
      </c>
      <c r="G5897" s="17">
        <v>76027</v>
      </c>
    </row>
    <row r="5898" spans="1:7">
      <c r="A5898" s="1" t="s">
        <v>17044</v>
      </c>
      <c r="B5898" s="1" t="s">
        <v>17045</v>
      </c>
      <c r="C5898">
        <f>(1-(B7/100))*429.36</f>
        <v>429.36</v>
      </c>
      <c r="D5898" s="1">
        <v>0</v>
      </c>
      <c r="E5898">
        <f>D5898*C5898</f>
        <v>0</v>
      </c>
      <c r="F5898" s="1" t="s">
        <v>17046</v>
      </c>
      <c r="G5898" s="17">
        <v>76028</v>
      </c>
    </row>
    <row r="5899" spans="1:7">
      <c r="A5899" s="1" t="s">
        <v>17047</v>
      </c>
      <c r="B5899" s="1" t="s">
        <v>17048</v>
      </c>
      <c r="C5899">
        <f>(1-(B7/100))*429.36</f>
        <v>429.36</v>
      </c>
      <c r="D5899" s="1">
        <v>0</v>
      </c>
      <c r="E5899">
        <f>D5899*C5899</f>
        <v>0</v>
      </c>
      <c r="F5899" s="1" t="s">
        <v>17049</v>
      </c>
      <c r="G5899" s="17">
        <v>76029</v>
      </c>
    </row>
    <row r="5900" spans="1:7">
      <c r="A5900" s="1" t="s">
        <v>17050</v>
      </c>
      <c r="B5900" s="1" t="s">
        <v>17051</v>
      </c>
      <c r="C5900">
        <f>(1-(B7/100))*429.36</f>
        <v>429.36</v>
      </c>
      <c r="D5900" s="1">
        <v>0</v>
      </c>
      <c r="E5900">
        <f>D5900*C5900</f>
        <v>0</v>
      </c>
      <c r="F5900" s="1" t="s">
        <v>17052</v>
      </c>
      <c r="G5900" s="17">
        <v>76030</v>
      </c>
    </row>
    <row r="5901" spans="1:7">
      <c r="A5901" s="1" t="s">
        <v>17053</v>
      </c>
      <c r="B5901" s="1" t="s">
        <v>17054</v>
      </c>
      <c r="C5901">
        <f>(1-(B7/100))*429.36</f>
        <v>429.36</v>
      </c>
      <c r="D5901" s="1">
        <v>0</v>
      </c>
      <c r="E5901">
        <f>D5901*C5901</f>
        <v>0</v>
      </c>
      <c r="F5901" s="1" t="s">
        <v>17055</v>
      </c>
      <c r="G5901" s="17">
        <v>76031</v>
      </c>
    </row>
    <row r="5902" spans="1:7">
      <c r="A5902" s="1" t="s">
        <v>17056</v>
      </c>
      <c r="B5902" s="1" t="s">
        <v>17057</v>
      </c>
      <c r="C5902">
        <f>(1-(B7/100))*429.36</f>
        <v>429.36</v>
      </c>
      <c r="D5902" s="1">
        <v>0</v>
      </c>
      <c r="E5902">
        <f>D5902*C5902</f>
        <v>0</v>
      </c>
      <c r="F5902" s="1" t="s">
        <v>17058</v>
      </c>
      <c r="G5902" s="17">
        <v>76033</v>
      </c>
    </row>
    <row r="5903" spans="1:7">
      <c r="A5903" s="1" t="s">
        <v>17059</v>
      </c>
      <c r="B5903" s="1" t="s">
        <v>17060</v>
      </c>
      <c r="C5903">
        <f>(1-(B7/100))*429.36</f>
        <v>429.36</v>
      </c>
      <c r="D5903" s="1">
        <v>0</v>
      </c>
      <c r="E5903">
        <f>D5903*C5903</f>
        <v>0</v>
      </c>
      <c r="F5903" s="1" t="s">
        <v>17061</v>
      </c>
      <c r="G5903" s="17">
        <v>76034</v>
      </c>
    </row>
    <row r="5904" spans="1:7">
      <c r="A5904" s="1" t="s">
        <v>17062</v>
      </c>
      <c r="B5904" s="1" t="s">
        <v>17063</v>
      </c>
      <c r="C5904">
        <f>(1-(B7/100))*643.91</f>
        <v>643.91</v>
      </c>
      <c r="D5904" s="1">
        <v>0</v>
      </c>
      <c r="E5904">
        <f>D5904*C5904</f>
        <v>0</v>
      </c>
      <c r="F5904" s="1" t="s">
        <v>17064</v>
      </c>
      <c r="G5904" s="17">
        <v>76035</v>
      </c>
    </row>
    <row r="5905" spans="1:7">
      <c r="A5905" s="1" t="s">
        <v>17065</v>
      </c>
      <c r="B5905" s="1" t="s">
        <v>17066</v>
      </c>
      <c r="C5905">
        <f>(1-(B7/100))*643.91</f>
        <v>643.91</v>
      </c>
      <c r="D5905" s="1">
        <v>0</v>
      </c>
      <c r="E5905">
        <f>D5905*C5905</f>
        <v>0</v>
      </c>
      <c r="F5905" s="1" t="s">
        <v>17067</v>
      </c>
      <c r="G5905" s="17">
        <v>76036</v>
      </c>
    </row>
    <row r="5906" spans="1:7">
      <c r="A5906" s="1" t="s">
        <v>17068</v>
      </c>
      <c r="B5906" s="1" t="s">
        <v>17069</v>
      </c>
      <c r="C5906">
        <f>(1-(B7/100))*429.36</f>
        <v>429.36</v>
      </c>
      <c r="D5906" s="1">
        <v>0</v>
      </c>
      <c r="E5906">
        <f>D5906*C5906</f>
        <v>0</v>
      </c>
      <c r="F5906" s="1" t="s">
        <v>17070</v>
      </c>
      <c r="G5906" s="17">
        <v>76037</v>
      </c>
    </row>
    <row r="5907" spans="1:7">
      <c r="A5907" s="1" t="s">
        <v>17071</v>
      </c>
      <c r="B5907" s="1" t="s">
        <v>17072</v>
      </c>
      <c r="C5907">
        <f>(1-(B7/100))*643.91</f>
        <v>643.91</v>
      </c>
      <c r="D5907" s="1">
        <v>0</v>
      </c>
      <c r="E5907">
        <f>D5907*C5907</f>
        <v>0</v>
      </c>
      <c r="F5907" s="1" t="s">
        <v>17073</v>
      </c>
      <c r="G5907" s="17">
        <v>76038</v>
      </c>
    </row>
    <row r="5908" spans="1:7">
      <c r="A5908" s="1" t="s">
        <v>17074</v>
      </c>
      <c r="B5908" s="1" t="s">
        <v>17075</v>
      </c>
      <c r="C5908">
        <f>(1-(B7/100))*33.55</f>
        <v>33.55</v>
      </c>
      <c r="D5908" s="1">
        <v>0</v>
      </c>
      <c r="E5908">
        <f>D5908*C5908</f>
        <v>0</v>
      </c>
      <c r="F5908" s="1" t="s">
        <v>17076</v>
      </c>
      <c r="G5908" s="17">
        <v>76040</v>
      </c>
    </row>
    <row r="5909" spans="1:7">
      <c r="A5909" s="1" t="s">
        <v>17077</v>
      </c>
      <c r="B5909" s="1" t="s">
        <v>17078</v>
      </c>
      <c r="C5909">
        <f>(1-(B7/100))*215.45</f>
        <v>215.45</v>
      </c>
      <c r="D5909" s="1">
        <v>0</v>
      </c>
      <c r="E5909">
        <f>D5909*C5909</f>
        <v>0</v>
      </c>
      <c r="F5909" s="1" t="s">
        <v>17079</v>
      </c>
      <c r="G5909" s="17">
        <v>76041</v>
      </c>
    </row>
    <row r="5910" spans="1:7">
      <c r="A5910" s="1" t="s">
        <v>17080</v>
      </c>
      <c r="B5910" s="1" t="s">
        <v>17081</v>
      </c>
      <c r="C5910">
        <f>(1-(B7/100))*11.02</f>
        <v>11.02</v>
      </c>
      <c r="D5910" s="1">
        <v>0</v>
      </c>
      <c r="E5910">
        <f>D5910*C5910</f>
        <v>0</v>
      </c>
      <c r="F5910" s="1" t="s">
        <v>17082</v>
      </c>
      <c r="G5910" s="17">
        <v>76042</v>
      </c>
    </row>
    <row r="5911" spans="1:7">
      <c r="A5911" s="1" t="s">
        <v>17083</v>
      </c>
      <c r="B5911" s="1" t="s">
        <v>17084</v>
      </c>
      <c r="C5911">
        <f>(1-(B7/100))*17.24</f>
        <v>17.24</v>
      </c>
      <c r="D5911" s="1">
        <v>0</v>
      </c>
      <c r="E5911">
        <f>D5911*C5911</f>
        <v>0</v>
      </c>
      <c r="F5911" s="1" t="s">
        <v>17085</v>
      </c>
      <c r="G5911" s="17">
        <v>76043</v>
      </c>
    </row>
    <row r="5912" spans="1:7">
      <c r="A5912" s="1" t="s">
        <v>17086</v>
      </c>
      <c r="B5912" s="1" t="s">
        <v>17087</v>
      </c>
      <c r="C5912">
        <f>(1-(B7/100))*18.86</f>
        <v>18.86</v>
      </c>
      <c r="D5912" s="1">
        <v>0</v>
      </c>
      <c r="E5912">
        <f>D5912*C5912</f>
        <v>0</v>
      </c>
      <c r="F5912" s="1" t="s">
        <v>17088</v>
      </c>
      <c r="G5912" s="17">
        <v>76045</v>
      </c>
    </row>
    <row r="5913" spans="1:7">
      <c r="A5913" s="1" t="s">
        <v>17089</v>
      </c>
      <c r="B5913" s="1" t="s">
        <v>17090</v>
      </c>
      <c r="C5913">
        <f>(1-(B7/100))*47.58</f>
        <v>47.58</v>
      </c>
      <c r="D5913" s="1">
        <v>0</v>
      </c>
      <c r="E5913">
        <f>D5913*C5913</f>
        <v>0</v>
      </c>
      <c r="F5913" s="1" t="s">
        <v>17091</v>
      </c>
      <c r="G5913" s="17">
        <v>76046</v>
      </c>
    </row>
    <row r="5914" spans="1:7">
      <c r="A5914" s="1" t="s">
        <v>17092</v>
      </c>
      <c r="B5914" s="1" t="s">
        <v>17093</v>
      </c>
      <c r="C5914">
        <f>(1-(B7/100))*18.86</f>
        <v>18.86</v>
      </c>
      <c r="D5914" s="1">
        <v>0</v>
      </c>
      <c r="E5914">
        <f>D5914*C5914</f>
        <v>0</v>
      </c>
      <c r="F5914" s="1" t="s">
        <v>17094</v>
      </c>
      <c r="G5914" s="17">
        <v>76047</v>
      </c>
    </row>
    <row r="5915" spans="1:7">
      <c r="A5915" s="1" t="s">
        <v>17095</v>
      </c>
      <c r="B5915" s="1" t="s">
        <v>17096</v>
      </c>
      <c r="C5915">
        <f>(1-(B7/100))*53.13</f>
        <v>53.13</v>
      </c>
      <c r="D5915" s="1">
        <v>0</v>
      </c>
      <c r="E5915">
        <f>D5915*C5915</f>
        <v>0</v>
      </c>
      <c r="F5915" s="1" t="s">
        <v>17097</v>
      </c>
      <c r="G5915" s="17">
        <v>76050</v>
      </c>
    </row>
    <row r="5916" spans="1:7">
      <c r="A5916" s="1" t="s">
        <v>17098</v>
      </c>
      <c r="B5916" s="1" t="s">
        <v>17099</v>
      </c>
      <c r="C5916">
        <f>(1-(B7/100))*38.21</f>
        <v>38.21</v>
      </c>
      <c r="D5916" s="1">
        <v>0</v>
      </c>
      <c r="E5916">
        <f>D5916*C5916</f>
        <v>0</v>
      </c>
      <c r="F5916" s="1" t="s">
        <v>17100</v>
      </c>
      <c r="G5916" s="17">
        <v>76052</v>
      </c>
    </row>
    <row r="5917" spans="1:7">
      <c r="A5917" s="1" t="s">
        <v>17101</v>
      </c>
      <c r="B5917" s="1" t="s">
        <v>17102</v>
      </c>
      <c r="C5917">
        <f>(1-(B7/100))*41.3</f>
        <v>41.3</v>
      </c>
      <c r="D5917" s="1">
        <v>0</v>
      </c>
      <c r="E5917">
        <f>D5917*C5917</f>
        <v>0</v>
      </c>
      <c r="F5917" s="1" t="s">
        <v>17103</v>
      </c>
      <c r="G5917" s="17">
        <v>76053</v>
      </c>
    </row>
    <row r="5918" spans="1:7">
      <c r="A5918" s="1" t="s">
        <v>17104</v>
      </c>
      <c r="B5918" s="1" t="s">
        <v>17105</v>
      </c>
      <c r="C5918">
        <f>(1-(B7/100))*197.18</f>
        <v>197.18</v>
      </c>
      <c r="D5918" s="1">
        <v>0</v>
      </c>
      <c r="E5918">
        <f>D5918*C5918</f>
        <v>0</v>
      </c>
      <c r="F5918" s="1" t="s">
        <v>17106</v>
      </c>
      <c r="G5918" s="17">
        <v>76058</v>
      </c>
    </row>
    <row r="5919" spans="1:7">
      <c r="A5919" s="1" t="s">
        <v>17107</v>
      </c>
      <c r="B5919" s="1" t="s">
        <v>17108</v>
      </c>
      <c r="C5919">
        <f>(1-(B7/100))*20.5</f>
        <v>20.5</v>
      </c>
      <c r="D5919" s="1">
        <v>0</v>
      </c>
      <c r="E5919">
        <f>D5919*C5919</f>
        <v>0</v>
      </c>
      <c r="F5919" s="1" t="s">
        <v>17109</v>
      </c>
      <c r="G5919" s="17">
        <v>76062</v>
      </c>
    </row>
    <row r="5920" spans="1:7">
      <c r="A5920" s="1" t="s">
        <v>17110</v>
      </c>
      <c r="B5920" s="1" t="s">
        <v>17111</v>
      </c>
      <c r="C5920">
        <f>(1-(B7/100))*21.39</f>
        <v>21.39</v>
      </c>
      <c r="D5920" s="1">
        <v>0</v>
      </c>
      <c r="E5920">
        <f>D5920*C5920</f>
        <v>0</v>
      </c>
      <c r="F5920" s="1" t="s">
        <v>17112</v>
      </c>
      <c r="G5920" s="17">
        <v>76063</v>
      </c>
    </row>
    <row r="5921" spans="1:7">
      <c r="A5921" s="1" t="s">
        <v>17113</v>
      </c>
      <c r="B5921" s="1" t="s">
        <v>17114</v>
      </c>
      <c r="C5921">
        <f>(1-(B7/100))*47.8</f>
        <v>47.8</v>
      </c>
      <c r="D5921" s="1">
        <v>0</v>
      </c>
      <c r="E5921">
        <f>D5921*C5921</f>
        <v>0</v>
      </c>
      <c r="F5921" s="1" t="s">
        <v>17115</v>
      </c>
      <c r="G5921" s="17">
        <v>76064</v>
      </c>
    </row>
    <row r="5922" spans="1:7">
      <c r="A5922" s="1" t="s">
        <v>17116</v>
      </c>
      <c r="B5922" s="1" t="s">
        <v>17117</v>
      </c>
      <c r="C5922">
        <f>(1-(B7/100))*48.31</f>
        <v>48.31</v>
      </c>
      <c r="D5922" s="1">
        <v>0</v>
      </c>
      <c r="E5922">
        <f>D5922*C5922</f>
        <v>0</v>
      </c>
      <c r="F5922" s="1" t="s">
        <v>17118</v>
      </c>
      <c r="G5922" s="17">
        <v>76065</v>
      </c>
    </row>
    <row r="5923" spans="1:7">
      <c r="A5923" s="1" t="s">
        <v>17119</v>
      </c>
      <c r="B5923" s="1" t="s">
        <v>17120</v>
      </c>
      <c r="C5923">
        <f>(1-(B7/100))*47.58</f>
        <v>47.58</v>
      </c>
      <c r="D5923" s="1">
        <v>0</v>
      </c>
      <c r="E5923">
        <f>D5923*C5923</f>
        <v>0</v>
      </c>
      <c r="F5923" s="1" t="s">
        <v>17121</v>
      </c>
      <c r="G5923" s="17">
        <v>76066</v>
      </c>
    </row>
    <row r="5924" spans="1:7">
      <c r="A5924" s="1" t="s">
        <v>17122</v>
      </c>
      <c r="B5924" s="1" t="s">
        <v>17123</v>
      </c>
      <c r="C5924">
        <f>(1-(B7/100))*47.58</f>
        <v>47.58</v>
      </c>
      <c r="D5924" s="1">
        <v>0</v>
      </c>
      <c r="E5924">
        <f>D5924*C5924</f>
        <v>0</v>
      </c>
      <c r="F5924" s="1" t="s">
        <v>17124</v>
      </c>
      <c r="G5924" s="17">
        <v>76067</v>
      </c>
    </row>
    <row r="5925" spans="1:7">
      <c r="A5925" s="1" t="s">
        <v>17125</v>
      </c>
      <c r="B5925" s="1" t="s">
        <v>17126</v>
      </c>
      <c r="C5925">
        <f>(1-(B7/100))*529.51</f>
        <v>529.51</v>
      </c>
      <c r="D5925" s="1">
        <v>0</v>
      </c>
      <c r="E5925">
        <f>D5925*C5925</f>
        <v>0</v>
      </c>
      <c r="F5925" s="1" t="s">
        <v>17127</v>
      </c>
      <c r="G5925" s="17">
        <v>76070</v>
      </c>
    </row>
    <row r="5926" spans="1:7">
      <c r="A5926" s="1" t="s">
        <v>17128</v>
      </c>
      <c r="B5926" s="1" t="s">
        <v>17129</v>
      </c>
      <c r="C5926">
        <f>(1-(B7/100))*107.46</f>
        <v>107.46</v>
      </c>
      <c r="D5926" s="1">
        <v>0</v>
      </c>
      <c r="E5926">
        <f>D5926*C5926</f>
        <v>0</v>
      </c>
      <c r="F5926" s="1" t="s">
        <v>17130</v>
      </c>
      <c r="G5926" s="17">
        <v>76072</v>
      </c>
    </row>
    <row r="5927" spans="1:7">
      <c r="A5927" s="1" t="s">
        <v>17131</v>
      </c>
      <c r="B5927" s="1" t="s">
        <v>17132</v>
      </c>
      <c r="C5927">
        <f>(1-(B7/100))*33.55</f>
        <v>33.55</v>
      </c>
      <c r="D5927" s="1">
        <v>0</v>
      </c>
      <c r="E5927">
        <f>D5927*C5927</f>
        <v>0</v>
      </c>
      <c r="F5927" s="1" t="s">
        <v>17133</v>
      </c>
      <c r="G5927" s="17">
        <v>76074</v>
      </c>
    </row>
    <row r="5928" spans="1:7">
      <c r="A5928" s="1" t="s">
        <v>17134</v>
      </c>
      <c r="B5928" s="1" t="s">
        <v>17135</v>
      </c>
      <c r="C5928">
        <f>(1-(B7/100))*62.33</f>
        <v>62.33</v>
      </c>
      <c r="D5928" s="1">
        <v>0</v>
      </c>
      <c r="E5928">
        <f>D5928*C5928</f>
        <v>0</v>
      </c>
      <c r="F5928" s="1" t="s">
        <v>17136</v>
      </c>
      <c r="G5928" s="17">
        <v>76078</v>
      </c>
    </row>
    <row r="5929" spans="1:7">
      <c r="A5929" s="1" t="s">
        <v>17137</v>
      </c>
      <c r="B5929" s="1" t="s">
        <v>17138</v>
      </c>
      <c r="C5929">
        <f>(1-(B7/100))*159.5</f>
        <v>159.5</v>
      </c>
      <c r="D5929" s="1">
        <v>0</v>
      </c>
      <c r="E5929">
        <f>D5929*C5929</f>
        <v>0</v>
      </c>
      <c r="F5929" s="1" t="s">
        <v>17139</v>
      </c>
      <c r="G5929" s="17">
        <v>76079</v>
      </c>
    </row>
    <row r="5930" spans="1:7">
      <c r="A5930" s="1" t="s">
        <v>17140</v>
      </c>
      <c r="B5930" s="1" t="s">
        <v>17141</v>
      </c>
      <c r="C5930">
        <f>(1-(B7/100))*122.84</f>
        <v>122.84</v>
      </c>
      <c r="D5930" s="1">
        <v>0</v>
      </c>
      <c r="E5930">
        <f>D5930*C5930</f>
        <v>0</v>
      </c>
      <c r="F5930" s="1" t="s">
        <v>17142</v>
      </c>
      <c r="G5930" s="17">
        <v>76080</v>
      </c>
    </row>
    <row r="5931" spans="1:7">
      <c r="A5931" s="1" t="s">
        <v>17143</v>
      </c>
      <c r="B5931" s="1" t="s">
        <v>17144</v>
      </c>
      <c r="C5931">
        <f>(1-(B7/100))*724</f>
        <v>724</v>
      </c>
      <c r="D5931" s="1">
        <v>0</v>
      </c>
      <c r="E5931">
        <f>D5931*C5931</f>
        <v>0</v>
      </c>
      <c r="F5931" s="1" t="s">
        <v>17145</v>
      </c>
      <c r="G5931" s="17">
        <v>76081</v>
      </c>
    </row>
    <row r="5932" spans="1:7">
      <c r="A5932" s="1" t="s">
        <v>17146</v>
      </c>
      <c r="B5932" s="1" t="s">
        <v>17147</v>
      </c>
      <c r="C5932">
        <f>(1-(B7/100))*53.03</f>
        <v>53.03</v>
      </c>
      <c r="D5932" s="1">
        <v>0</v>
      </c>
      <c r="E5932">
        <f>D5932*C5932</f>
        <v>0</v>
      </c>
      <c r="F5932" s="1" t="s">
        <v>17148</v>
      </c>
      <c r="G5932" s="17">
        <v>76088</v>
      </c>
    </row>
    <row r="5933" spans="1:7">
      <c r="A5933" s="1" t="s">
        <v>17149</v>
      </c>
      <c r="B5933" s="1" t="s">
        <v>17150</v>
      </c>
      <c r="C5933">
        <f>(1-(B7/100))*21.35</f>
        <v>21.35</v>
      </c>
      <c r="D5933" s="1">
        <v>0</v>
      </c>
      <c r="E5933">
        <f>D5933*C5933</f>
        <v>0</v>
      </c>
      <c r="F5933" s="1" t="s">
        <v>17151</v>
      </c>
      <c r="G5933" s="17">
        <v>76093</v>
      </c>
    </row>
    <row r="5934" spans="1:7">
      <c r="A5934" s="1" t="s">
        <v>17152</v>
      </c>
      <c r="B5934" s="1" t="s">
        <v>17153</v>
      </c>
      <c r="C5934">
        <f>(1-(B7/100))*21.35</f>
        <v>21.35</v>
      </c>
      <c r="D5934" s="1">
        <v>0</v>
      </c>
      <c r="E5934">
        <f>D5934*C5934</f>
        <v>0</v>
      </c>
      <c r="F5934" s="1" t="s">
        <v>17154</v>
      </c>
      <c r="G5934" s="17">
        <v>76096</v>
      </c>
    </row>
    <row r="5935" spans="1:7">
      <c r="A5935" s="1" t="s">
        <v>17155</v>
      </c>
      <c r="B5935" s="1" t="s">
        <v>17156</v>
      </c>
      <c r="C5935">
        <f>(1-(B7/100))*69.41</f>
        <v>69.41</v>
      </c>
      <c r="D5935" s="1">
        <v>0</v>
      </c>
      <c r="E5935">
        <f>D5935*C5935</f>
        <v>0</v>
      </c>
      <c r="F5935" s="1" t="s">
        <v>17157</v>
      </c>
      <c r="G5935" s="17">
        <v>76097</v>
      </c>
    </row>
    <row r="5936" spans="1:7">
      <c r="A5936" s="1" t="s">
        <v>17158</v>
      </c>
      <c r="B5936" s="1" t="s">
        <v>17159</v>
      </c>
      <c r="C5936">
        <f>(1-(B7/100))*30.97</f>
        <v>30.97</v>
      </c>
      <c r="D5936" s="1">
        <v>0</v>
      </c>
      <c r="E5936">
        <f>D5936*C5936</f>
        <v>0</v>
      </c>
      <c r="F5936" s="1" t="s">
        <v>17160</v>
      </c>
      <c r="G5936" s="17">
        <v>76099</v>
      </c>
    </row>
    <row r="5937" spans="1:7">
      <c r="A5937" s="1" t="s">
        <v>17161</v>
      </c>
      <c r="B5937" s="1" t="s">
        <v>17162</v>
      </c>
      <c r="C5937">
        <f>(1-(B7/100))*43.82</f>
        <v>43.82</v>
      </c>
      <c r="D5937" s="1">
        <v>0</v>
      </c>
      <c r="E5937">
        <f>D5937*C5937</f>
        <v>0</v>
      </c>
      <c r="F5937" s="1" t="s">
        <v>17163</v>
      </c>
      <c r="G5937" s="17">
        <v>76100</v>
      </c>
    </row>
    <row r="5938" spans="1:7">
      <c r="A5938" s="1" t="s">
        <v>17164</v>
      </c>
      <c r="B5938" s="1" t="s">
        <v>17165</v>
      </c>
      <c r="C5938">
        <f>(1-(B7/100))*106.14</f>
        <v>106.14</v>
      </c>
      <c r="D5938" s="1">
        <v>0</v>
      </c>
      <c r="E5938">
        <f>D5938*C5938</f>
        <v>0</v>
      </c>
      <c r="F5938" s="1" t="s">
        <v>17166</v>
      </c>
      <c r="G5938" s="17">
        <v>76101</v>
      </c>
    </row>
    <row r="5939" spans="1:7">
      <c r="A5939" s="1" t="s">
        <v>17167</v>
      </c>
      <c r="B5939" s="1" t="s">
        <v>17168</v>
      </c>
      <c r="C5939">
        <f>(1-(B7/100))*282.8</f>
        <v>282.8</v>
      </c>
      <c r="D5939" s="1">
        <v>0</v>
      </c>
      <c r="E5939">
        <f>D5939*C5939</f>
        <v>0</v>
      </c>
      <c r="F5939" s="1" t="s">
        <v>17169</v>
      </c>
      <c r="G5939" s="17">
        <v>76102</v>
      </c>
    </row>
    <row r="5940" spans="1:7">
      <c r="A5940" s="1" t="s">
        <v>17170</v>
      </c>
      <c r="B5940" s="1" t="s">
        <v>17171</v>
      </c>
      <c r="C5940">
        <f>(1-(B7/100))*36.41</f>
        <v>36.41</v>
      </c>
      <c r="D5940" s="1">
        <v>0</v>
      </c>
      <c r="E5940">
        <f>D5940*C5940</f>
        <v>0</v>
      </c>
      <c r="F5940" s="1" t="s">
        <v>17172</v>
      </c>
      <c r="G5940" s="17">
        <v>76104</v>
      </c>
    </row>
    <row r="5941" spans="1:7">
      <c r="A5941" s="1" t="s">
        <v>17173</v>
      </c>
      <c r="B5941" s="1" t="s">
        <v>17174</v>
      </c>
      <c r="C5941">
        <f>(1-(B7/100))*19.58</f>
        <v>19.58</v>
      </c>
      <c r="D5941" s="1">
        <v>0</v>
      </c>
      <c r="E5941">
        <f>D5941*C5941</f>
        <v>0</v>
      </c>
      <c r="F5941" s="1" t="s">
        <v>17175</v>
      </c>
      <c r="G5941" s="17">
        <v>76107</v>
      </c>
    </row>
    <row r="5942" spans="1:7">
      <c r="A5942" s="1" t="s">
        <v>17176</v>
      </c>
      <c r="B5942" s="1" t="s">
        <v>17177</v>
      </c>
      <c r="C5942">
        <f>(1-(B7/100))*58.52</f>
        <v>58.52</v>
      </c>
      <c r="D5942" s="1">
        <v>0</v>
      </c>
      <c r="E5942">
        <f>D5942*C5942</f>
        <v>0</v>
      </c>
      <c r="F5942" s="1" t="s">
        <v>17178</v>
      </c>
      <c r="G5942" s="17">
        <v>76108</v>
      </c>
    </row>
    <row r="5943" spans="1:7">
      <c r="A5943" s="1" t="s">
        <v>17179</v>
      </c>
      <c r="B5943" s="1" t="s">
        <v>17180</v>
      </c>
      <c r="C5943">
        <f>(1-(B7/100))*46.81</f>
        <v>46.81</v>
      </c>
      <c r="D5943" s="1">
        <v>0</v>
      </c>
      <c r="E5943">
        <f>D5943*C5943</f>
        <v>0</v>
      </c>
      <c r="F5943" s="1" t="s">
        <v>17181</v>
      </c>
      <c r="G5943" s="17">
        <v>76109</v>
      </c>
    </row>
    <row r="5944" spans="1:7">
      <c r="A5944" s="1" t="s">
        <v>17182</v>
      </c>
      <c r="B5944" s="1" t="s">
        <v>17183</v>
      </c>
      <c r="C5944">
        <f>(1-(B7/100))*13.48</f>
        <v>13.48</v>
      </c>
      <c r="D5944" s="1">
        <v>0</v>
      </c>
      <c r="E5944">
        <f>D5944*C5944</f>
        <v>0</v>
      </c>
      <c r="F5944" s="1" t="s">
        <v>17184</v>
      </c>
      <c r="G5944" s="17">
        <v>76110</v>
      </c>
    </row>
    <row r="5945" spans="1:7">
      <c r="A5945" s="1" t="s">
        <v>17185</v>
      </c>
      <c r="B5945" s="1" t="s">
        <v>17186</v>
      </c>
      <c r="C5945">
        <f>(1-(B7/100))*32.81</f>
        <v>32.81</v>
      </c>
      <c r="D5945" s="1">
        <v>0</v>
      </c>
      <c r="E5945">
        <f>D5945*C5945</f>
        <v>0</v>
      </c>
      <c r="F5945" s="1" t="s">
        <v>17187</v>
      </c>
      <c r="G5945" s="17">
        <v>76116</v>
      </c>
    </row>
    <row r="5946" spans="1:7">
      <c r="A5946" s="1" t="s">
        <v>17188</v>
      </c>
      <c r="B5946" s="1" t="s">
        <v>17189</v>
      </c>
      <c r="C5946">
        <f>(1-(B7/100))*25.18</f>
        <v>25.18</v>
      </c>
      <c r="D5946" s="1">
        <v>0</v>
      </c>
      <c r="E5946">
        <f>D5946*C5946</f>
        <v>0</v>
      </c>
      <c r="F5946" s="1" t="s">
        <v>17190</v>
      </c>
      <c r="G5946" s="17">
        <v>76117</v>
      </c>
    </row>
    <row r="5947" spans="1:7">
      <c r="A5947" s="1" t="s">
        <v>17191</v>
      </c>
      <c r="B5947" s="1" t="s">
        <v>17192</v>
      </c>
      <c r="C5947">
        <f>(1-(B7/100))*25.23</f>
        <v>25.23</v>
      </c>
      <c r="D5947" s="1">
        <v>0</v>
      </c>
      <c r="E5947">
        <f>D5947*C5947</f>
        <v>0</v>
      </c>
      <c r="F5947" s="1" t="s">
        <v>17193</v>
      </c>
      <c r="G5947" s="17">
        <v>76118</v>
      </c>
    </row>
    <row r="5948" spans="1:7">
      <c r="A5948" s="1" t="s">
        <v>17194</v>
      </c>
      <c r="B5948" s="1" t="s">
        <v>17195</v>
      </c>
      <c r="C5948">
        <f>(1-(B7/100))*19.58</f>
        <v>19.58</v>
      </c>
      <c r="D5948" s="1">
        <v>0</v>
      </c>
      <c r="E5948">
        <f>D5948*C5948</f>
        <v>0</v>
      </c>
      <c r="F5948" s="1" t="s">
        <v>17196</v>
      </c>
      <c r="G5948" s="17">
        <v>76119</v>
      </c>
    </row>
    <row r="5949" spans="1:7">
      <c r="A5949" s="1" t="s">
        <v>17197</v>
      </c>
      <c r="B5949" s="1" t="s">
        <v>17198</v>
      </c>
      <c r="C5949">
        <f>(1-(B7/100))*25.26</f>
        <v>25.26</v>
      </c>
      <c r="D5949" s="1">
        <v>0</v>
      </c>
      <c r="E5949">
        <f>D5949*C5949</f>
        <v>0</v>
      </c>
      <c r="F5949" s="1" t="s">
        <v>17199</v>
      </c>
      <c r="G5949" s="17">
        <v>76122</v>
      </c>
    </row>
    <row r="5950" spans="1:7">
      <c r="A5950" s="1" t="s">
        <v>17200</v>
      </c>
      <c r="B5950" s="1" t="s">
        <v>17201</v>
      </c>
      <c r="C5950">
        <f>(1-(B7/100))*33.74</f>
        <v>33.74</v>
      </c>
      <c r="D5950" s="1">
        <v>0</v>
      </c>
      <c r="E5950">
        <f>D5950*C5950</f>
        <v>0</v>
      </c>
      <c r="F5950" s="1" t="s">
        <v>17202</v>
      </c>
      <c r="G5950" s="17">
        <v>76127</v>
      </c>
    </row>
    <row r="5951" spans="1:7">
      <c r="A5951" s="1" t="s">
        <v>17203</v>
      </c>
      <c r="B5951" s="1" t="s">
        <v>17204</v>
      </c>
      <c r="C5951">
        <f>(1-(B7/100))*33.74</f>
        <v>33.74</v>
      </c>
      <c r="D5951" s="1">
        <v>0</v>
      </c>
      <c r="E5951">
        <f>D5951*C5951</f>
        <v>0</v>
      </c>
      <c r="F5951" s="1" t="s">
        <v>17205</v>
      </c>
      <c r="G5951" s="17">
        <v>76128</v>
      </c>
    </row>
    <row r="5952" spans="1:7">
      <c r="A5952" s="1" t="s">
        <v>17206</v>
      </c>
      <c r="B5952" s="1" t="s">
        <v>17207</v>
      </c>
      <c r="C5952">
        <f>(1-(B7/100))*33.74</f>
        <v>33.74</v>
      </c>
      <c r="D5952" s="1">
        <v>0</v>
      </c>
      <c r="E5952">
        <f>D5952*C5952</f>
        <v>0</v>
      </c>
      <c r="F5952" s="1" t="s">
        <v>17208</v>
      </c>
      <c r="G5952" s="17">
        <v>76129</v>
      </c>
    </row>
    <row r="5953" spans="1:7">
      <c r="A5953" s="1" t="s">
        <v>17209</v>
      </c>
      <c r="B5953" s="1" t="s">
        <v>17210</v>
      </c>
      <c r="C5953">
        <f>(1-(B7/100))*33.74</f>
        <v>33.74</v>
      </c>
      <c r="D5953" s="1">
        <v>0</v>
      </c>
      <c r="E5953">
        <f>D5953*C5953</f>
        <v>0</v>
      </c>
      <c r="F5953" s="1" t="s">
        <v>17211</v>
      </c>
      <c r="G5953" s="17">
        <v>76130</v>
      </c>
    </row>
    <row r="5954" spans="1:7">
      <c r="A5954" s="1" t="s">
        <v>17212</v>
      </c>
      <c r="B5954" s="1" t="s">
        <v>17213</v>
      </c>
      <c r="C5954">
        <f>(1-(B7/100))*33.74</f>
        <v>33.74</v>
      </c>
      <c r="D5954" s="1">
        <v>0</v>
      </c>
      <c r="E5954">
        <f>D5954*C5954</f>
        <v>0</v>
      </c>
      <c r="F5954" s="1" t="s">
        <v>17214</v>
      </c>
      <c r="G5954" s="17">
        <v>76131</v>
      </c>
    </row>
    <row r="5955" spans="1:7">
      <c r="A5955" s="1" t="s">
        <v>17215</v>
      </c>
      <c r="B5955" s="1" t="s">
        <v>17216</v>
      </c>
      <c r="C5955">
        <f>(1-(B7/100))*33.63</f>
        <v>33.63</v>
      </c>
      <c r="D5955" s="1">
        <v>0</v>
      </c>
      <c r="E5955">
        <f>D5955*C5955</f>
        <v>0</v>
      </c>
      <c r="F5955" s="1" t="s">
        <v>17217</v>
      </c>
      <c r="G5955" s="17">
        <v>76132</v>
      </c>
    </row>
    <row r="5956" spans="1:7">
      <c r="A5956" s="1" t="s">
        <v>17218</v>
      </c>
      <c r="B5956" s="1" t="s">
        <v>17219</v>
      </c>
      <c r="C5956">
        <f>(1-(B7/100))*100.55</f>
        <v>100.55</v>
      </c>
      <c r="D5956" s="1">
        <v>0</v>
      </c>
      <c r="E5956">
        <f>D5956*C5956</f>
        <v>0</v>
      </c>
      <c r="F5956" s="1" t="s">
        <v>17220</v>
      </c>
      <c r="G5956" s="17">
        <v>76134</v>
      </c>
    </row>
    <row r="5957" spans="1:7">
      <c r="A5957" s="1" t="s">
        <v>17221</v>
      </c>
      <c r="B5957" s="1" t="s">
        <v>17222</v>
      </c>
      <c r="C5957">
        <f>(1-(B7/100))*127.75</f>
        <v>127.75</v>
      </c>
      <c r="D5957" s="1">
        <v>0</v>
      </c>
      <c r="E5957">
        <f>D5957*C5957</f>
        <v>0</v>
      </c>
      <c r="F5957" s="1" t="s">
        <v>17223</v>
      </c>
      <c r="G5957" s="17">
        <v>76135</v>
      </c>
    </row>
    <row r="5958" spans="1:7">
      <c r="A5958" s="1" t="s">
        <v>17224</v>
      </c>
      <c r="B5958" s="1" t="s">
        <v>17225</v>
      </c>
      <c r="C5958">
        <f>(1-(B7/100))*28.4</f>
        <v>28.4</v>
      </c>
      <c r="D5958" s="1">
        <v>0</v>
      </c>
      <c r="E5958">
        <f>D5958*C5958</f>
        <v>0</v>
      </c>
      <c r="F5958" s="1" t="s">
        <v>17226</v>
      </c>
      <c r="G5958" s="17">
        <v>76136</v>
      </c>
    </row>
    <row r="5959" spans="1:7">
      <c r="A5959" s="1" t="s">
        <v>17227</v>
      </c>
      <c r="B5959" s="1" t="s">
        <v>17228</v>
      </c>
      <c r="C5959">
        <f>(1-(B7/100))*40.19</f>
        <v>40.19</v>
      </c>
      <c r="D5959" s="1">
        <v>0</v>
      </c>
      <c r="E5959">
        <f>D5959*C5959</f>
        <v>0</v>
      </c>
      <c r="F5959" s="1" t="s">
        <v>17229</v>
      </c>
      <c r="G5959" s="17">
        <v>76139</v>
      </c>
    </row>
    <row r="5960" spans="1:7">
      <c r="A5960" s="1" t="s">
        <v>17230</v>
      </c>
      <c r="B5960" s="1" t="s">
        <v>17231</v>
      </c>
      <c r="C5960">
        <f>(1-(B7/100))*75.56</f>
        <v>75.56</v>
      </c>
      <c r="D5960" s="1">
        <v>0</v>
      </c>
      <c r="E5960">
        <f>D5960*C5960</f>
        <v>0</v>
      </c>
      <c r="F5960" s="1" t="s">
        <v>17232</v>
      </c>
      <c r="G5960" s="17">
        <v>76145</v>
      </c>
    </row>
    <row r="5961" spans="1:7">
      <c r="A5961" s="1" t="s">
        <v>17233</v>
      </c>
      <c r="B5961" s="1" t="s">
        <v>17234</v>
      </c>
      <c r="C5961">
        <f>(1-(B7/100))*84.93</f>
        <v>84.93</v>
      </c>
      <c r="D5961" s="1">
        <v>0</v>
      </c>
      <c r="E5961">
        <f>D5961*C5961</f>
        <v>0</v>
      </c>
      <c r="F5961" s="1" t="s">
        <v>17235</v>
      </c>
      <c r="G5961" s="17">
        <v>76146</v>
      </c>
    </row>
    <row r="5962" spans="1:7">
      <c r="A5962" s="1" t="s">
        <v>17236</v>
      </c>
      <c r="B5962" s="1" t="s">
        <v>17237</v>
      </c>
      <c r="C5962">
        <f>(1-(B7/100))*32.72</f>
        <v>32.72</v>
      </c>
      <c r="D5962" s="1">
        <v>0</v>
      </c>
      <c r="E5962">
        <f>D5962*C5962</f>
        <v>0</v>
      </c>
      <c r="F5962" s="1" t="s">
        <v>17238</v>
      </c>
      <c r="G5962" s="17">
        <v>76147</v>
      </c>
    </row>
    <row r="5963" spans="1:7">
      <c r="A5963" s="1" t="s">
        <v>17239</v>
      </c>
      <c r="B5963" s="1" t="s">
        <v>17240</v>
      </c>
      <c r="C5963">
        <f>(1-(B7/100))*128.38</f>
        <v>128.38</v>
      </c>
      <c r="D5963" s="1">
        <v>0</v>
      </c>
      <c r="E5963">
        <f>D5963*C5963</f>
        <v>0</v>
      </c>
      <c r="F5963" s="1" t="s">
        <v>17241</v>
      </c>
      <c r="G5963" s="17">
        <v>76148</v>
      </c>
    </row>
    <row r="5964" spans="1:7">
      <c r="A5964" s="1" t="s">
        <v>17242</v>
      </c>
      <c r="B5964" s="1" t="s">
        <v>17243</v>
      </c>
      <c r="C5964">
        <f>(1-(B7/100))*52.23</f>
        <v>52.23</v>
      </c>
      <c r="D5964" s="1">
        <v>0</v>
      </c>
      <c r="E5964">
        <f>D5964*C5964</f>
        <v>0</v>
      </c>
      <c r="F5964" s="1" t="s">
        <v>17244</v>
      </c>
      <c r="G5964" s="17">
        <v>76150</v>
      </c>
    </row>
    <row r="5965" spans="1:7">
      <c r="A5965" s="1" t="s">
        <v>17245</v>
      </c>
      <c r="B5965" s="1" t="s">
        <v>17246</v>
      </c>
      <c r="C5965">
        <f>(1-(B7/100))*43.67</f>
        <v>43.67</v>
      </c>
      <c r="D5965" s="1">
        <v>0</v>
      </c>
      <c r="E5965">
        <f>D5965*C5965</f>
        <v>0</v>
      </c>
      <c r="F5965" s="1" t="s">
        <v>17247</v>
      </c>
      <c r="G5965" s="17">
        <v>76151</v>
      </c>
    </row>
    <row r="5966" spans="1:7">
      <c r="A5966" s="1" t="s">
        <v>17248</v>
      </c>
      <c r="B5966" s="1" t="s">
        <v>17249</v>
      </c>
      <c r="C5966">
        <f>(1-(B7/100))*61.58</f>
        <v>61.58</v>
      </c>
      <c r="D5966" s="1">
        <v>0</v>
      </c>
      <c r="E5966">
        <f>D5966*C5966</f>
        <v>0</v>
      </c>
      <c r="F5966" s="1" t="s">
        <v>17250</v>
      </c>
      <c r="G5966" s="17">
        <v>76153</v>
      </c>
    </row>
    <row r="5967" spans="1:7">
      <c r="A5967" s="1" t="s">
        <v>17251</v>
      </c>
      <c r="B5967" s="1" t="s">
        <v>17252</v>
      </c>
      <c r="C5967">
        <f>(1-(B7/100))*61.69</f>
        <v>61.69</v>
      </c>
      <c r="D5967" s="1">
        <v>0</v>
      </c>
      <c r="E5967">
        <f>D5967*C5967</f>
        <v>0</v>
      </c>
      <c r="F5967" s="1" t="s">
        <v>17253</v>
      </c>
      <c r="G5967" s="17">
        <v>76154</v>
      </c>
    </row>
    <row r="5968" spans="1:7">
      <c r="A5968" s="1" t="s">
        <v>17254</v>
      </c>
      <c r="B5968" s="1" t="s">
        <v>17255</v>
      </c>
      <c r="C5968">
        <f>(1-(B7/100))*63.87</f>
        <v>63.87</v>
      </c>
      <c r="D5968" s="1">
        <v>0</v>
      </c>
      <c r="E5968">
        <f>D5968*C5968</f>
        <v>0</v>
      </c>
      <c r="F5968" s="1" t="s">
        <v>17256</v>
      </c>
      <c r="G5968" s="17">
        <v>76158</v>
      </c>
    </row>
    <row r="5969" spans="1:7">
      <c r="A5969" s="1" t="s">
        <v>17257</v>
      </c>
      <c r="B5969" s="1" t="s">
        <v>17258</v>
      </c>
      <c r="C5969">
        <f>(1-(B7/100))*75.56</f>
        <v>75.56</v>
      </c>
      <c r="D5969" s="1">
        <v>0</v>
      </c>
      <c r="E5969">
        <f>D5969*C5969</f>
        <v>0</v>
      </c>
      <c r="F5969" s="1" t="s">
        <v>17259</v>
      </c>
      <c r="G5969" s="17">
        <v>76159</v>
      </c>
    </row>
    <row r="5970" spans="1:7">
      <c r="A5970" s="1" t="s">
        <v>17260</v>
      </c>
      <c r="B5970" s="1" t="s">
        <v>17261</v>
      </c>
      <c r="C5970">
        <f>(1-(B7/100))*75.56</f>
        <v>75.56</v>
      </c>
      <c r="D5970" s="1">
        <v>0</v>
      </c>
      <c r="E5970">
        <f>D5970*C5970</f>
        <v>0</v>
      </c>
      <c r="F5970" s="1" t="s">
        <v>17262</v>
      </c>
      <c r="G5970" s="17">
        <v>76160</v>
      </c>
    </row>
    <row r="5971" spans="1:7">
      <c r="A5971" s="1" t="s">
        <v>17263</v>
      </c>
      <c r="B5971" s="1" t="s">
        <v>17264</v>
      </c>
      <c r="C5971">
        <f>(1-(B7/100))*73.27</f>
        <v>73.27</v>
      </c>
      <c r="D5971" s="1">
        <v>0</v>
      </c>
      <c r="E5971">
        <f>D5971*C5971</f>
        <v>0</v>
      </c>
      <c r="F5971" s="1" t="s">
        <v>17265</v>
      </c>
      <c r="G5971" s="17">
        <v>76161</v>
      </c>
    </row>
    <row r="5972" spans="1:7">
      <c r="A5972" s="1" t="s">
        <v>17266</v>
      </c>
      <c r="B5972" s="1" t="s">
        <v>17267</v>
      </c>
      <c r="C5972">
        <f>(1-(B7/100))*212.48</f>
        <v>212.48</v>
      </c>
      <c r="D5972" s="1">
        <v>0</v>
      </c>
      <c r="E5972">
        <f>D5972*C5972</f>
        <v>0</v>
      </c>
      <c r="F5972" s="1" t="s">
        <v>17268</v>
      </c>
      <c r="G5972" s="17">
        <v>76164</v>
      </c>
    </row>
    <row r="5973" spans="1:7">
      <c r="A5973" s="1" t="s">
        <v>17269</v>
      </c>
      <c r="B5973" s="1" t="s">
        <v>17270</v>
      </c>
      <c r="C5973">
        <f>(1-(B7/100))*212.48</f>
        <v>212.48</v>
      </c>
      <c r="D5973" s="1">
        <v>0</v>
      </c>
      <c r="E5973">
        <f>D5973*C5973</f>
        <v>0</v>
      </c>
      <c r="F5973" s="1" t="s">
        <v>17271</v>
      </c>
      <c r="G5973" s="17">
        <v>76165</v>
      </c>
    </row>
    <row r="5974" spans="1:7">
      <c r="A5974" s="1" t="s">
        <v>17272</v>
      </c>
      <c r="B5974" s="1" t="s">
        <v>17273</v>
      </c>
      <c r="C5974">
        <f>(1-(B7/100))*212.48</f>
        <v>212.48</v>
      </c>
      <c r="D5974" s="1">
        <v>0</v>
      </c>
      <c r="E5974">
        <f>D5974*C5974</f>
        <v>0</v>
      </c>
      <c r="F5974" s="1" t="s">
        <v>17274</v>
      </c>
      <c r="G5974" s="17">
        <v>76166</v>
      </c>
    </row>
    <row r="5975" spans="1:7">
      <c r="A5975" s="1" t="s">
        <v>17275</v>
      </c>
      <c r="B5975" s="1" t="s">
        <v>17276</v>
      </c>
      <c r="C5975">
        <f>(1-(B7/100))*212.48</f>
        <v>212.48</v>
      </c>
      <c r="D5975" s="1">
        <v>0</v>
      </c>
      <c r="E5975">
        <f>D5975*C5975</f>
        <v>0</v>
      </c>
      <c r="F5975" s="1" t="s">
        <v>17277</v>
      </c>
      <c r="G5975" s="17">
        <v>76167</v>
      </c>
    </row>
    <row r="5976" spans="1:7">
      <c r="A5976" s="1" t="s">
        <v>17278</v>
      </c>
      <c r="B5976" s="1" t="s">
        <v>17279</v>
      </c>
      <c r="C5976">
        <f>(1-(B7/100))*212.48</f>
        <v>212.48</v>
      </c>
      <c r="D5976" s="1">
        <v>0</v>
      </c>
      <c r="E5976">
        <f>D5976*C5976</f>
        <v>0</v>
      </c>
      <c r="F5976" s="1" t="s">
        <v>17280</v>
      </c>
      <c r="G5976" s="17">
        <v>76168</v>
      </c>
    </row>
    <row r="5977" spans="1:7">
      <c r="A5977" s="1" t="s">
        <v>17281</v>
      </c>
      <c r="B5977" s="1" t="s">
        <v>17282</v>
      </c>
      <c r="C5977">
        <f>(1-(B7/100))*212.48</f>
        <v>212.48</v>
      </c>
      <c r="D5977" s="1">
        <v>0</v>
      </c>
      <c r="E5977">
        <f>D5977*C5977</f>
        <v>0</v>
      </c>
      <c r="F5977" s="1" t="s">
        <v>17283</v>
      </c>
      <c r="G5977" s="17">
        <v>76169</v>
      </c>
    </row>
    <row r="5978" spans="1:7">
      <c r="A5978" s="1" t="s">
        <v>17284</v>
      </c>
      <c r="B5978" s="1" t="s">
        <v>17285</v>
      </c>
      <c r="C5978">
        <f>(1-(B7/100))*73.27</f>
        <v>73.27</v>
      </c>
      <c r="D5978" s="1">
        <v>0</v>
      </c>
      <c r="E5978">
        <f>D5978*C5978</f>
        <v>0</v>
      </c>
      <c r="F5978" s="1" t="s">
        <v>17286</v>
      </c>
      <c r="G5978" s="17">
        <v>76170</v>
      </c>
    </row>
    <row r="5979" spans="1:7">
      <c r="A5979" s="1" t="s">
        <v>17287</v>
      </c>
      <c r="B5979" s="1" t="s">
        <v>17288</v>
      </c>
      <c r="C5979">
        <f>(1-(B7/100))*222.72</f>
        <v>222.72</v>
      </c>
      <c r="D5979" s="1">
        <v>0</v>
      </c>
      <c r="E5979">
        <f>D5979*C5979</f>
        <v>0</v>
      </c>
      <c r="F5979" s="1" t="s">
        <v>17289</v>
      </c>
      <c r="G5979" s="17">
        <v>84323</v>
      </c>
    </row>
    <row r="5980" spans="1:7">
      <c r="A5980" s="1" t="s">
        <v>17290</v>
      </c>
      <c r="B5980" s="1" t="s">
        <v>17291</v>
      </c>
      <c r="C5980">
        <f>(1-(B7/100))*332.31</f>
        <v>332.31</v>
      </c>
      <c r="D5980" s="1">
        <v>0</v>
      </c>
      <c r="E5980">
        <f>D5980*C5980</f>
        <v>0</v>
      </c>
      <c r="F5980" s="1" t="s">
        <v>17292</v>
      </c>
      <c r="G5980" s="17">
        <v>85008</v>
      </c>
    </row>
    <row r="5981" spans="1:7">
      <c r="A5981" s="1" t="s">
        <v>17293</v>
      </c>
      <c r="B5981" s="1" t="s">
        <v>17294</v>
      </c>
      <c r="C5981">
        <f>(1-(B7/100))*332.31</f>
        <v>332.31</v>
      </c>
      <c r="D5981" s="1">
        <v>0</v>
      </c>
      <c r="E5981">
        <f>D5981*C5981</f>
        <v>0</v>
      </c>
      <c r="F5981" s="1" t="s">
        <v>17295</v>
      </c>
      <c r="G5981" s="17">
        <v>85009</v>
      </c>
    </row>
    <row r="5982" spans="1:7">
      <c r="A5982" s="1" t="s">
        <v>17296</v>
      </c>
      <c r="B5982" s="1" t="s">
        <v>17297</v>
      </c>
      <c r="C5982">
        <f>(1-(B7/100))*51.42</f>
        <v>51.42</v>
      </c>
      <c r="D5982" s="1">
        <v>0</v>
      </c>
      <c r="E5982">
        <f>D5982*C5982</f>
        <v>0</v>
      </c>
      <c r="F5982" s="1" t="s">
        <v>17298</v>
      </c>
      <c r="G5982" s="17">
        <v>86378</v>
      </c>
    </row>
    <row r="5983" spans="1:7">
      <c r="A5983" s="16"/>
      <c r="B5983" s="16" t="s">
        <v>17299</v>
      </c>
      <c r="C5983" s="16"/>
      <c r="D5983" s="16"/>
      <c r="E5983" s="16"/>
      <c r="F5983" s="16"/>
    </row>
    <row r="5984" spans="1:7">
      <c r="A5984" s="16"/>
      <c r="B5984" s="16" t="s">
        <v>17300</v>
      </c>
      <c r="C5984" s="16"/>
      <c r="D5984" s="16"/>
      <c r="E5984" s="16"/>
      <c r="F5984" s="16"/>
    </row>
    <row r="5985" spans="1:7">
      <c r="A5985" s="16"/>
      <c r="B5985" s="16" t="s">
        <v>17301</v>
      </c>
      <c r="C5985" s="16"/>
      <c r="D5985" s="16"/>
      <c r="E5985" s="16"/>
      <c r="F5985" s="16"/>
    </row>
    <row r="5986" spans="1:7">
      <c r="A5986" s="1" t="s">
        <v>17302</v>
      </c>
      <c r="B5986" s="1" t="s">
        <v>17303</v>
      </c>
      <c r="C5986">
        <f>(1-(B7/100))*682.02</f>
        <v>682.02</v>
      </c>
      <c r="D5986" s="1">
        <v>0</v>
      </c>
      <c r="E5986">
        <f>D5986*C5986</f>
        <v>0</v>
      </c>
      <c r="F5986" s="1" t="s">
        <v>17304</v>
      </c>
      <c r="G5986" s="17">
        <v>69665</v>
      </c>
    </row>
    <row r="5987" spans="1:7">
      <c r="A5987" s="1" t="s">
        <v>17305</v>
      </c>
      <c r="B5987" s="1" t="s">
        <v>17306</v>
      </c>
      <c r="C5987">
        <f>(1-(B7/100))*213.97</f>
        <v>213.97</v>
      </c>
      <c r="D5987" s="1">
        <v>0</v>
      </c>
      <c r="E5987">
        <f>D5987*C5987</f>
        <v>0</v>
      </c>
      <c r="F5987" s="1" t="s">
        <v>17307</v>
      </c>
      <c r="G5987" s="17">
        <v>73703</v>
      </c>
    </row>
    <row r="5988" spans="1:7">
      <c r="A5988" s="1" t="s">
        <v>17308</v>
      </c>
      <c r="B5988" s="1" t="s">
        <v>17309</v>
      </c>
      <c r="C5988">
        <f>(1-(B7/100))*233.45</f>
        <v>233.45</v>
      </c>
      <c r="D5988" s="1">
        <v>0</v>
      </c>
      <c r="E5988">
        <f>D5988*C5988</f>
        <v>0</v>
      </c>
      <c r="F5988" s="1" t="s">
        <v>17310</v>
      </c>
      <c r="G5988" s="17">
        <v>85879</v>
      </c>
    </row>
    <row r="5989" spans="1:7">
      <c r="A5989" s="1" t="s">
        <v>17311</v>
      </c>
      <c r="B5989" s="1" t="s">
        <v>17312</v>
      </c>
      <c r="C5989">
        <f>(1-(B7/100))*185.82</f>
        <v>185.82</v>
      </c>
      <c r="D5989" s="1">
        <v>0</v>
      </c>
      <c r="E5989">
        <f>D5989*C5989</f>
        <v>0</v>
      </c>
      <c r="F5989" s="1" t="s">
        <v>17313</v>
      </c>
      <c r="G5989" s="17">
        <v>85880</v>
      </c>
    </row>
    <row r="5990" spans="1:7">
      <c r="A5990" s="1" t="s">
        <v>17314</v>
      </c>
      <c r="B5990" s="1" t="s">
        <v>17315</v>
      </c>
      <c r="C5990">
        <f>(1-(B7/100))*304.49</f>
        <v>304.49</v>
      </c>
      <c r="D5990" s="1">
        <v>0</v>
      </c>
      <c r="E5990">
        <f>D5990*C5990</f>
        <v>0</v>
      </c>
      <c r="F5990" s="1" t="s">
        <v>17316</v>
      </c>
      <c r="G5990" s="17">
        <v>86299</v>
      </c>
    </row>
    <row r="5991" spans="1:7">
      <c r="A5991" s="16"/>
      <c r="B5991" s="16" t="s">
        <v>17317</v>
      </c>
      <c r="C5991" s="16"/>
      <c r="D5991" s="16"/>
      <c r="E5991" s="16"/>
      <c r="F5991" s="16"/>
    </row>
    <row r="5992" spans="1:7">
      <c r="A5992" s="1" t="s">
        <v>17318</v>
      </c>
      <c r="B5992" s="1" t="s">
        <v>17319</v>
      </c>
      <c r="C5992">
        <f>(1-(B7/100))*372.33</f>
        <v>372.33</v>
      </c>
      <c r="D5992" s="1">
        <v>0</v>
      </c>
      <c r="E5992">
        <f>D5992*C5992</f>
        <v>0</v>
      </c>
      <c r="F5992" s="1" t="s">
        <v>17320</v>
      </c>
      <c r="G5992" s="17">
        <v>86546</v>
      </c>
    </row>
    <row r="5993" spans="1:7">
      <c r="A5993" s="16"/>
      <c r="B5993" s="16" t="s">
        <v>17321</v>
      </c>
      <c r="C5993" s="16"/>
      <c r="D5993" s="16"/>
      <c r="E5993" s="16"/>
      <c r="F5993" s="16"/>
    </row>
    <row r="5994" spans="1:7">
      <c r="A5994" s="1" t="s">
        <v>17322</v>
      </c>
      <c r="B5994" s="1" t="s">
        <v>17323</v>
      </c>
      <c r="C5994">
        <f>(1-(B7/100))*34.27</f>
        <v>34.27</v>
      </c>
      <c r="D5994" s="1">
        <v>0</v>
      </c>
      <c r="E5994">
        <f>D5994*C5994</f>
        <v>0</v>
      </c>
      <c r="F5994" s="1" t="s">
        <v>17324</v>
      </c>
      <c r="G5994" s="17">
        <v>68954</v>
      </c>
    </row>
    <row r="5995" spans="1:7">
      <c r="A5995" s="1" t="s">
        <v>17325</v>
      </c>
      <c r="B5995" s="1" t="s">
        <v>17326</v>
      </c>
      <c r="C5995">
        <f>(1-(B7/100))*106.4</f>
        <v>106.4</v>
      </c>
      <c r="D5995" s="1">
        <v>0</v>
      </c>
      <c r="E5995">
        <f>D5995*C5995</f>
        <v>0</v>
      </c>
      <c r="F5995" s="1" t="s">
        <v>17327</v>
      </c>
      <c r="G5995" s="17">
        <v>69026</v>
      </c>
    </row>
    <row r="5996" spans="1:7">
      <c r="A5996" s="1" t="s">
        <v>17328</v>
      </c>
      <c r="B5996" s="1" t="s">
        <v>17329</v>
      </c>
      <c r="C5996">
        <f>(1-(B7/100))*86.65</f>
        <v>86.65</v>
      </c>
      <c r="D5996" s="1">
        <v>0</v>
      </c>
      <c r="E5996">
        <f>D5996*C5996</f>
        <v>0</v>
      </c>
      <c r="F5996" s="1" t="s">
        <v>17330</v>
      </c>
      <c r="G5996" s="17">
        <v>84357</v>
      </c>
    </row>
    <row r="5997" spans="1:7">
      <c r="A5997" s="1" t="s">
        <v>17331</v>
      </c>
      <c r="B5997" s="1" t="s">
        <v>17332</v>
      </c>
      <c r="C5997">
        <f>(1-(B7/100))*181.21</f>
        <v>181.21</v>
      </c>
      <c r="D5997" s="1">
        <v>0</v>
      </c>
      <c r="E5997">
        <f>D5997*C5997</f>
        <v>0</v>
      </c>
      <c r="F5997" s="1" t="s">
        <v>17333</v>
      </c>
      <c r="G5997" s="17">
        <v>84359</v>
      </c>
    </row>
    <row r="5998" spans="1:7">
      <c r="A5998" s="1" t="s">
        <v>17334</v>
      </c>
      <c r="B5998" s="1" t="s">
        <v>17335</v>
      </c>
      <c r="C5998">
        <f>(1-(B7/100))*185.02</f>
        <v>185.02</v>
      </c>
      <c r="D5998" s="1">
        <v>0</v>
      </c>
      <c r="E5998">
        <f>D5998*C5998</f>
        <v>0</v>
      </c>
      <c r="F5998" s="1" t="s">
        <v>17336</v>
      </c>
      <c r="G5998" s="17">
        <v>85068</v>
      </c>
    </row>
    <row r="5999" spans="1:7">
      <c r="A5999" s="16"/>
      <c r="B5999" s="16" t="s">
        <v>17337</v>
      </c>
      <c r="C5999" s="16"/>
      <c r="D5999" s="16"/>
      <c r="E5999" s="16"/>
      <c r="F5999" s="16"/>
    </row>
    <row r="6000" spans="1:7">
      <c r="A6000" s="1" t="s">
        <v>17338</v>
      </c>
      <c r="B6000" s="1" t="s">
        <v>17339</v>
      </c>
      <c r="C6000">
        <f>(1-(B7/100))*124.97</f>
        <v>124.97</v>
      </c>
      <c r="D6000" s="1">
        <v>0</v>
      </c>
      <c r="E6000">
        <f>D6000*C6000</f>
        <v>0</v>
      </c>
      <c r="F6000" s="1" t="s">
        <v>17340</v>
      </c>
      <c r="G6000" s="17">
        <v>70021</v>
      </c>
    </row>
    <row r="6001" spans="1:7">
      <c r="A6001" s="1" t="s">
        <v>17341</v>
      </c>
      <c r="B6001" s="1" t="s">
        <v>17342</v>
      </c>
      <c r="C6001">
        <f>(1-(B7/100))*125.7</f>
        <v>125.7</v>
      </c>
      <c r="D6001" s="1">
        <v>0</v>
      </c>
      <c r="E6001">
        <f>D6001*C6001</f>
        <v>0</v>
      </c>
      <c r="F6001" s="1" t="s">
        <v>17343</v>
      </c>
      <c r="G6001" s="17">
        <v>76648</v>
      </c>
    </row>
    <row r="6002" spans="1:7">
      <c r="A6002" s="1" t="s">
        <v>17344</v>
      </c>
      <c r="B6002" s="1" t="s">
        <v>17345</v>
      </c>
      <c r="C6002">
        <f>(1-(B7/100))*389.38</f>
        <v>389.38</v>
      </c>
      <c r="D6002" s="1">
        <v>0</v>
      </c>
      <c r="E6002">
        <f>D6002*C6002</f>
        <v>0</v>
      </c>
      <c r="F6002" s="1" t="s">
        <v>17346</v>
      </c>
      <c r="G6002" s="17">
        <v>76649</v>
      </c>
    </row>
    <row r="6003" spans="1:7">
      <c r="A6003" s="1" t="s">
        <v>17347</v>
      </c>
      <c r="B6003" s="1" t="s">
        <v>17348</v>
      </c>
      <c r="C6003">
        <f>(1-(B7/100))*98.44</f>
        <v>98.44</v>
      </c>
      <c r="D6003" s="1">
        <v>0</v>
      </c>
      <c r="E6003">
        <f>D6003*C6003</f>
        <v>0</v>
      </c>
      <c r="F6003" s="1" t="s">
        <v>17349</v>
      </c>
      <c r="G6003" s="17">
        <v>76650</v>
      </c>
    </row>
    <row r="6004" spans="1:7">
      <c r="A6004" s="1" t="s">
        <v>17350</v>
      </c>
      <c r="B6004" s="1" t="s">
        <v>17351</v>
      </c>
      <c r="C6004">
        <f>(1-(B7/100))*98.44</f>
        <v>98.44</v>
      </c>
      <c r="D6004" s="1">
        <v>0</v>
      </c>
      <c r="E6004">
        <f>D6004*C6004</f>
        <v>0</v>
      </c>
      <c r="F6004" s="1" t="s">
        <v>17352</v>
      </c>
      <c r="G6004" s="17">
        <v>76651</v>
      </c>
    </row>
    <row r="6005" spans="1:7">
      <c r="A6005" s="1" t="s">
        <v>17353</v>
      </c>
      <c r="B6005" s="1" t="s">
        <v>17354</v>
      </c>
      <c r="C6005">
        <f>(1-(B7/100))*125.59</f>
        <v>125.59</v>
      </c>
      <c r="D6005" s="1">
        <v>0</v>
      </c>
      <c r="E6005">
        <f>D6005*C6005</f>
        <v>0</v>
      </c>
      <c r="F6005" s="1" t="s">
        <v>17355</v>
      </c>
      <c r="G6005" s="17">
        <v>76652</v>
      </c>
    </row>
    <row r="6006" spans="1:7">
      <c r="A6006" s="1" t="s">
        <v>17356</v>
      </c>
      <c r="B6006" s="1" t="s">
        <v>17357</v>
      </c>
      <c r="C6006">
        <f>(1-(B7/100))*135.66</f>
        <v>135.66</v>
      </c>
      <c r="D6006" s="1">
        <v>0</v>
      </c>
      <c r="E6006">
        <f>D6006*C6006</f>
        <v>0</v>
      </c>
      <c r="F6006" s="1" t="s">
        <v>17358</v>
      </c>
      <c r="G6006" s="17">
        <v>76654</v>
      </c>
    </row>
    <row r="6007" spans="1:7">
      <c r="A6007" s="16"/>
      <c r="B6007" s="16" t="s">
        <v>17359</v>
      </c>
      <c r="C6007" s="16"/>
      <c r="D6007" s="16"/>
      <c r="E6007" s="16"/>
      <c r="F6007" s="16"/>
    </row>
    <row r="6008" spans="1:7">
      <c r="A6008" s="1" t="s">
        <v>17360</v>
      </c>
      <c r="B6008" s="1" t="s">
        <v>17361</v>
      </c>
      <c r="C6008">
        <f>(1-(B7/100))*1409.43</f>
        <v>1409.43</v>
      </c>
      <c r="D6008" s="1">
        <v>0</v>
      </c>
      <c r="E6008">
        <f>D6008*C6008</f>
        <v>0</v>
      </c>
      <c r="F6008" s="1" t="s">
        <v>17362</v>
      </c>
      <c r="G6008" s="17">
        <v>64345</v>
      </c>
    </row>
    <row r="6009" spans="1:7">
      <c r="A6009" s="1" t="s">
        <v>17363</v>
      </c>
      <c r="B6009" s="1" t="s">
        <v>17364</v>
      </c>
      <c r="C6009">
        <f>(1-(B7/100))*1524.04</f>
        <v>1524.04</v>
      </c>
      <c r="D6009" s="1">
        <v>0</v>
      </c>
      <c r="E6009">
        <f>D6009*C6009</f>
        <v>0</v>
      </c>
      <c r="F6009" s="1" t="s">
        <v>17365</v>
      </c>
      <c r="G6009" s="17">
        <v>64904</v>
      </c>
    </row>
    <row r="6010" spans="1:7">
      <c r="A6010" s="1" t="s">
        <v>17366</v>
      </c>
      <c r="B6010" s="1" t="s">
        <v>17367</v>
      </c>
      <c r="C6010">
        <f>(1-(B7/100))*1747.46</f>
        <v>1747.46</v>
      </c>
      <c r="D6010" s="1">
        <v>0</v>
      </c>
      <c r="E6010">
        <f>D6010*C6010</f>
        <v>0</v>
      </c>
      <c r="F6010" s="1" t="s">
        <v>17368</v>
      </c>
      <c r="G6010" s="17">
        <v>72565</v>
      </c>
    </row>
    <row r="6011" spans="1:7">
      <c r="A6011" s="1" t="s">
        <v>17369</v>
      </c>
      <c r="B6011" s="1" t="s">
        <v>17370</v>
      </c>
      <c r="C6011">
        <f>(1-(B7/100))*2810.55</f>
        <v>2810.55</v>
      </c>
      <c r="D6011" s="1">
        <v>0</v>
      </c>
      <c r="E6011">
        <f>D6011*C6011</f>
        <v>0</v>
      </c>
      <c r="F6011" s="1" t="s">
        <v>17371</v>
      </c>
      <c r="G6011" s="17">
        <v>73173</v>
      </c>
    </row>
    <row r="6012" spans="1:7">
      <c r="A6012" s="1" t="s">
        <v>17372</v>
      </c>
      <c r="B6012" s="1" t="s">
        <v>17373</v>
      </c>
      <c r="C6012">
        <f>(1-(B7/100))*3950.69</f>
        <v>3950.69</v>
      </c>
      <c r="D6012" s="1">
        <v>0</v>
      </c>
      <c r="E6012">
        <f>D6012*C6012</f>
        <v>0</v>
      </c>
      <c r="F6012" s="1" t="s">
        <v>17374</v>
      </c>
      <c r="G6012" s="17">
        <v>73197</v>
      </c>
    </row>
    <row r="6013" spans="1:7">
      <c r="A6013" s="1" t="s">
        <v>17375</v>
      </c>
      <c r="B6013" s="1" t="s">
        <v>17376</v>
      </c>
      <c r="C6013">
        <f>(1-(B7/100))*2988.01</f>
        <v>2988.01</v>
      </c>
      <c r="D6013" s="1">
        <v>0</v>
      </c>
      <c r="E6013">
        <f>D6013*C6013</f>
        <v>0</v>
      </c>
      <c r="F6013" s="1" t="s">
        <v>17377</v>
      </c>
      <c r="G6013" s="17">
        <v>73198</v>
      </c>
    </row>
    <row r="6014" spans="1:7">
      <c r="A6014" s="1" t="s">
        <v>17378</v>
      </c>
      <c r="B6014" s="1" t="s">
        <v>17379</v>
      </c>
      <c r="C6014">
        <f>(1-(B7/100))*2492.82</f>
        <v>2492.82</v>
      </c>
      <c r="D6014" s="1">
        <v>0</v>
      </c>
      <c r="E6014">
        <f>D6014*C6014</f>
        <v>0</v>
      </c>
      <c r="F6014" s="1" t="s">
        <v>17380</v>
      </c>
      <c r="G6014" s="17">
        <v>86623</v>
      </c>
    </row>
    <row r="6015" spans="1:7">
      <c r="A6015" s="16"/>
      <c r="B6015" s="16" t="s">
        <v>17381</v>
      </c>
      <c r="C6015" s="16"/>
      <c r="D6015" s="16"/>
      <c r="E6015" s="16"/>
      <c r="F6015" s="16"/>
    </row>
    <row r="6016" spans="1:7">
      <c r="A6016" s="16"/>
      <c r="B6016" s="16" t="s">
        <v>17382</v>
      </c>
      <c r="C6016" s="16"/>
      <c r="D6016" s="16"/>
      <c r="E6016" s="16"/>
      <c r="F6016" s="16"/>
    </row>
    <row r="6017" spans="1:7">
      <c r="A6017" s="16"/>
      <c r="B6017" s="16" t="s">
        <v>17383</v>
      </c>
      <c r="C6017" s="16"/>
      <c r="D6017" s="16"/>
      <c r="E6017" s="16"/>
      <c r="F6017" s="16"/>
    </row>
    <row r="6018" spans="1:7">
      <c r="A6018" s="16"/>
      <c r="B6018" s="16" t="s">
        <v>17384</v>
      </c>
      <c r="C6018" s="16"/>
      <c r="D6018" s="16"/>
      <c r="E6018" s="16"/>
      <c r="F6018" s="16"/>
    </row>
    <row r="6019" spans="1:7">
      <c r="A6019" s="16"/>
      <c r="B6019" s="16" t="s">
        <v>17385</v>
      </c>
      <c r="C6019" s="16"/>
      <c r="D6019" s="16"/>
      <c r="E6019" s="16"/>
      <c r="F6019" s="16"/>
    </row>
    <row r="6020" spans="1:7">
      <c r="A6020" s="16"/>
      <c r="B6020" s="16" t="s">
        <v>17386</v>
      </c>
      <c r="C6020" s="16"/>
      <c r="D6020" s="16"/>
      <c r="E6020" s="16"/>
      <c r="F6020" s="16"/>
    </row>
    <row r="6021" spans="1:7">
      <c r="A6021" s="16"/>
      <c r="B6021" s="16" t="s">
        <v>17387</v>
      </c>
      <c r="C6021" s="16"/>
      <c r="D6021" s="16"/>
      <c r="E6021" s="16"/>
      <c r="F6021" s="16"/>
    </row>
    <row r="6022" spans="1:7">
      <c r="A6022" s="16"/>
      <c r="B6022" s="16" t="s">
        <v>17388</v>
      </c>
      <c r="C6022" s="16"/>
      <c r="D6022" s="16"/>
      <c r="E6022" s="16"/>
      <c r="F6022" s="16"/>
    </row>
    <row r="6023" spans="1:7">
      <c r="A6023" s="16"/>
      <c r="B6023" s="16" t="s">
        <v>17389</v>
      </c>
      <c r="C6023" s="16"/>
      <c r="D6023" s="16"/>
      <c r="E6023" s="16"/>
      <c r="F6023" s="16"/>
    </row>
    <row r="6024" spans="1:7">
      <c r="A6024" s="16"/>
      <c r="B6024" s="16" t="s">
        <v>17390</v>
      </c>
      <c r="C6024" s="16"/>
      <c r="D6024" s="16"/>
      <c r="E6024" s="16"/>
      <c r="F6024" s="16"/>
    </row>
    <row r="6025" spans="1:7">
      <c r="A6025" s="16"/>
      <c r="B6025" s="16" t="s">
        <v>17391</v>
      </c>
      <c r="C6025" s="16"/>
      <c r="D6025" s="16"/>
      <c r="E6025" s="16"/>
      <c r="F6025" s="16"/>
    </row>
    <row r="6026" spans="1:7">
      <c r="A6026" s="16"/>
      <c r="B6026" s="16" t="s">
        <v>17392</v>
      </c>
      <c r="C6026" s="16"/>
      <c r="D6026" s="16"/>
      <c r="E6026" s="16"/>
      <c r="F6026" s="16"/>
    </row>
    <row r="6027" spans="1:7">
      <c r="A6027" s="16"/>
      <c r="B6027" s="16" t="s">
        <v>17393</v>
      </c>
      <c r="C6027" s="16"/>
      <c r="D6027" s="16"/>
      <c r="E6027" s="16"/>
      <c r="F6027" s="16"/>
    </row>
    <row r="6028" spans="1:7">
      <c r="A6028" s="16"/>
      <c r="B6028" s="16" t="s">
        <v>17394</v>
      </c>
      <c r="C6028" s="16"/>
      <c r="D6028" s="16"/>
      <c r="E6028" s="16"/>
      <c r="F6028" s="16"/>
    </row>
    <row r="6029" spans="1:7">
      <c r="A6029" s="16"/>
      <c r="B6029" s="16" t="s">
        <v>17395</v>
      </c>
      <c r="C6029" s="16"/>
      <c r="D6029" s="16"/>
      <c r="E6029" s="16"/>
      <c r="F6029" s="16"/>
    </row>
    <row r="6030" spans="1:7">
      <c r="A6030" s="16"/>
      <c r="B6030" s="16" t="s">
        <v>17396</v>
      </c>
      <c r="C6030" s="16"/>
      <c r="D6030" s="16"/>
      <c r="E6030" s="16"/>
      <c r="F6030" s="16"/>
    </row>
    <row r="6031" spans="1:7">
      <c r="A6031" s="16"/>
      <c r="B6031" s="16" t="s">
        <v>17397</v>
      </c>
      <c r="C6031" s="16"/>
      <c r="D6031" s="16"/>
      <c r="E6031" s="16"/>
      <c r="F6031" s="16"/>
    </row>
    <row r="6032" spans="1:7">
      <c r="A6032" s="16"/>
      <c r="B6032" s="16" t="s">
        <v>17398</v>
      </c>
      <c r="C6032" s="16"/>
      <c r="D6032" s="16"/>
      <c r="E6032" s="16"/>
      <c r="F6032" s="16"/>
    </row>
    <row r="6033" spans="1:7">
      <c r="A6033" s="16"/>
      <c r="B6033" s="16" t="s">
        <v>17399</v>
      </c>
      <c r="C6033" s="16"/>
      <c r="D6033" s="16"/>
      <c r="E6033" s="16"/>
      <c r="F6033" s="16"/>
    </row>
    <row r="6034" spans="1:7">
      <c r="A6034" s="1" t="s">
        <v>17400</v>
      </c>
      <c r="B6034" s="1" t="s">
        <v>17401</v>
      </c>
      <c r="C6034">
        <f>(1-(B7/100))*43.5</f>
        <v>43.5</v>
      </c>
      <c r="D6034" s="1">
        <v>0</v>
      </c>
      <c r="E6034">
        <f>D6034*C6034</f>
        <v>0</v>
      </c>
      <c r="F6034" s="1" t="s">
        <v>17402</v>
      </c>
      <c r="G6034" s="17">
        <v>72756</v>
      </c>
    </row>
    <row r="6035" spans="1:7">
      <c r="A6035" s="1" t="s">
        <v>17403</v>
      </c>
      <c r="B6035" s="1" t="s">
        <v>17404</v>
      </c>
      <c r="C6035">
        <f>(1-(B7/100))*293.16</f>
        <v>293.16</v>
      </c>
      <c r="D6035" s="1">
        <v>0</v>
      </c>
      <c r="E6035">
        <f>D6035*C6035</f>
        <v>0</v>
      </c>
      <c r="F6035" s="1" t="s">
        <v>17405</v>
      </c>
      <c r="G6035" s="17">
        <v>73272</v>
      </c>
    </row>
    <row r="6036" spans="1:7">
      <c r="A6036" s="16"/>
      <c r="B6036" s="16" t="s">
        <v>17406</v>
      </c>
      <c r="C6036" s="16"/>
      <c r="D6036" s="16"/>
      <c r="E6036" s="16"/>
      <c r="F6036" s="16"/>
    </row>
    <row r="6037" spans="1:7">
      <c r="A6037" s="16"/>
      <c r="B6037" s="16" t="s">
        <v>17407</v>
      </c>
      <c r="C6037" s="16"/>
      <c r="D6037" s="16"/>
      <c r="E6037" s="16"/>
      <c r="F6037" s="16"/>
    </row>
    <row r="6038" spans="1:7">
      <c r="A6038" s="16"/>
      <c r="B6038" s="16" t="s">
        <v>256</v>
      </c>
      <c r="C6038" s="16"/>
      <c r="D6038" s="16"/>
      <c r="E6038" s="16"/>
      <c r="F6038" s="16"/>
    </row>
    <row r="6039" spans="1:7">
      <c r="A6039" s="16"/>
      <c r="B6039" s="16" t="s">
        <v>17408</v>
      </c>
      <c r="C6039" s="16"/>
      <c r="D6039" s="16"/>
      <c r="E6039" s="16"/>
      <c r="F6039" s="16"/>
    </row>
    <row r="6040" spans="1:7">
      <c r="A6040" s="16"/>
      <c r="B6040" s="16" t="s">
        <v>17409</v>
      </c>
      <c r="C6040" s="16"/>
      <c r="D6040" s="16"/>
      <c r="E6040" s="16"/>
      <c r="F6040" s="16"/>
    </row>
    <row r="6041" spans="1:7">
      <c r="A6041" s="16"/>
      <c r="B6041" s="16" t="s">
        <v>17410</v>
      </c>
      <c r="C6041" s="16"/>
      <c r="D6041" s="16"/>
      <c r="E6041" s="16"/>
      <c r="F6041" s="16"/>
    </row>
    <row r="6042" spans="1:7">
      <c r="A6042" s="16"/>
      <c r="B6042" s="16" t="s">
        <v>17411</v>
      </c>
      <c r="C6042" s="16"/>
      <c r="D6042" s="16"/>
      <c r="E6042" s="16"/>
      <c r="F6042" s="16"/>
    </row>
    <row r="6043" spans="1:7">
      <c r="A6043" s="16"/>
      <c r="B6043" s="16" t="s">
        <v>17412</v>
      </c>
      <c r="C6043" s="16"/>
      <c r="D6043" s="16"/>
      <c r="E6043" s="16"/>
      <c r="F6043" s="16"/>
    </row>
    <row r="6044" spans="1:7">
      <c r="A6044" s="16"/>
      <c r="B6044" s="16" t="s">
        <v>17413</v>
      </c>
      <c r="C6044" s="16"/>
      <c r="D6044" s="16"/>
      <c r="E6044" s="16"/>
      <c r="F6044" s="16"/>
    </row>
    <row r="6045" spans="1:7">
      <c r="A6045" s="16"/>
      <c r="B6045" s="16" t="s">
        <v>17409</v>
      </c>
      <c r="C6045" s="16"/>
      <c r="D6045" s="16"/>
      <c r="E6045" s="16"/>
      <c r="F6045" s="16"/>
    </row>
    <row r="6046" spans="1:7">
      <c r="A6046" s="16"/>
      <c r="B6046" s="16" t="s">
        <v>17410</v>
      </c>
      <c r="C6046" s="16"/>
      <c r="D6046" s="16"/>
      <c r="E6046" s="16"/>
      <c r="F6046" s="16"/>
    </row>
    <row r="6047" spans="1:7">
      <c r="A6047" s="16"/>
      <c r="B6047" s="16" t="s">
        <v>17414</v>
      </c>
      <c r="C6047" s="16"/>
      <c r="D6047" s="16"/>
      <c r="E6047" s="16"/>
      <c r="F6047" s="16"/>
    </row>
    <row r="6048" spans="1:7">
      <c r="A6048" s="16"/>
      <c r="B6048" s="16" t="s">
        <v>17415</v>
      </c>
      <c r="C6048" s="16"/>
      <c r="D6048" s="16"/>
      <c r="E6048" s="16"/>
      <c r="F6048" s="16"/>
    </row>
    <row r="6049" spans="1:7">
      <c r="A6049" s="16"/>
      <c r="B6049" s="16" t="s">
        <v>17416</v>
      </c>
      <c r="C6049" s="16"/>
      <c r="D6049" s="16"/>
      <c r="E6049" s="16"/>
      <c r="F6049" s="16"/>
    </row>
    <row r="6050" spans="1:7">
      <c r="A6050" s="16"/>
      <c r="B6050" s="16" t="s">
        <v>17417</v>
      </c>
      <c r="C6050" s="16"/>
      <c r="D6050" s="16"/>
      <c r="E6050" s="16"/>
      <c r="F6050" s="16"/>
    </row>
    <row r="6051" spans="1:7">
      <c r="A6051" s="16"/>
      <c r="B6051" s="16" t="s">
        <v>17418</v>
      </c>
      <c r="C6051" s="16"/>
      <c r="D6051" s="16"/>
      <c r="E6051" s="16"/>
      <c r="F6051" s="16"/>
    </row>
    <row r="6052" spans="1:7">
      <c r="A6052" s="16"/>
      <c r="B6052" s="16" t="s">
        <v>17419</v>
      </c>
      <c r="C6052" s="16"/>
      <c r="D6052" s="16"/>
      <c r="E6052" s="16"/>
      <c r="F6052" s="16"/>
    </row>
    <row r="6053" spans="1:7">
      <c r="A6053" s="1" t="s">
        <v>17420</v>
      </c>
      <c r="B6053" s="1" t="s">
        <v>17421</v>
      </c>
      <c r="C6053">
        <f>(1-(B7/100))*3829.6</f>
        <v>3829.6</v>
      </c>
      <c r="D6053" s="1">
        <v>0</v>
      </c>
      <c r="E6053">
        <f>D6053*C6053</f>
        <v>0</v>
      </c>
      <c r="F6053" s="1" t="s">
        <v>17422</v>
      </c>
      <c r="G6053" s="17">
        <v>72186</v>
      </c>
    </row>
    <row r="6054" spans="1:7">
      <c r="A6054" s="16"/>
      <c r="B6054" s="16" t="s">
        <v>17423</v>
      </c>
      <c r="C6054" s="16"/>
      <c r="D6054" s="16"/>
      <c r="E6054" s="16"/>
      <c r="F6054" s="16"/>
    </row>
    <row r="6055" spans="1:7">
      <c r="A6055" s="16"/>
      <c r="B6055" s="16" t="s">
        <v>17424</v>
      </c>
      <c r="C6055" s="16"/>
      <c r="D6055" s="16"/>
      <c r="E6055" s="16"/>
      <c r="F6055" s="16"/>
    </row>
    <row r="6056" spans="1:7">
      <c r="A6056" s="1" t="s">
        <v>17425</v>
      </c>
      <c r="B6056" s="1" t="s">
        <v>17426</v>
      </c>
      <c r="C6056">
        <f>(1-(B7/100))*1833.89</f>
        <v>1833.89</v>
      </c>
      <c r="D6056" s="1">
        <v>0</v>
      </c>
      <c r="E6056">
        <f>D6056*C6056</f>
        <v>0</v>
      </c>
      <c r="F6056" s="1" t="s">
        <v>17427</v>
      </c>
      <c r="G6056" s="17">
        <v>64568</v>
      </c>
    </row>
    <row r="6057" spans="1:7">
      <c r="A6057" s="1" t="s">
        <v>17428</v>
      </c>
      <c r="B6057" s="1" t="s">
        <v>17429</v>
      </c>
      <c r="C6057">
        <f>(1-(B7/100))*1833.89</f>
        <v>1833.89</v>
      </c>
      <c r="D6057" s="1">
        <v>0</v>
      </c>
      <c r="E6057">
        <f>D6057*C6057</f>
        <v>0</v>
      </c>
      <c r="F6057" s="1" t="s">
        <v>17430</v>
      </c>
      <c r="G6057" s="17">
        <v>64569</v>
      </c>
    </row>
    <row r="6058" spans="1:7">
      <c r="A6058" s="1" t="s">
        <v>17431</v>
      </c>
      <c r="B6058" s="1" t="s">
        <v>17432</v>
      </c>
      <c r="C6058">
        <f>(1-(B7/100))*1833.89</f>
        <v>1833.89</v>
      </c>
      <c r="D6058" s="1">
        <v>0</v>
      </c>
      <c r="E6058">
        <f>D6058*C6058</f>
        <v>0</v>
      </c>
      <c r="F6058" s="1" t="s">
        <v>17433</v>
      </c>
      <c r="G6058" s="17">
        <v>64570</v>
      </c>
    </row>
    <row r="6059" spans="1:7">
      <c r="A6059" s="1" t="s">
        <v>17434</v>
      </c>
      <c r="B6059" s="1" t="s">
        <v>17435</v>
      </c>
      <c r="C6059">
        <f>(1-(B7/100))*1816.3</f>
        <v>1816.3</v>
      </c>
      <c r="D6059" s="1">
        <v>0</v>
      </c>
      <c r="E6059">
        <f>D6059*C6059</f>
        <v>0</v>
      </c>
      <c r="F6059" s="1" t="s">
        <v>17436</v>
      </c>
      <c r="G6059" s="17">
        <v>64571</v>
      </c>
    </row>
    <row r="6060" spans="1:7">
      <c r="A6060" s="1" t="s">
        <v>17437</v>
      </c>
      <c r="B6060" s="1" t="s">
        <v>17438</v>
      </c>
      <c r="C6060">
        <f>(1-(B7/100))*1144.98</f>
        <v>1144.98</v>
      </c>
      <c r="D6060" s="1">
        <v>0</v>
      </c>
      <c r="E6060">
        <f>D6060*C6060</f>
        <v>0</v>
      </c>
      <c r="F6060" s="1" t="s">
        <v>17439</v>
      </c>
      <c r="G6060" s="17">
        <v>64573</v>
      </c>
    </row>
    <row r="6061" spans="1:7">
      <c r="A6061" s="1" t="s">
        <v>17440</v>
      </c>
      <c r="B6061" s="1" t="s">
        <v>17441</v>
      </c>
      <c r="C6061">
        <f>(1-(B7/100))*1191.51</f>
        <v>1191.51</v>
      </c>
      <c r="D6061" s="1">
        <v>0</v>
      </c>
      <c r="E6061">
        <f>D6061*C6061</f>
        <v>0</v>
      </c>
      <c r="F6061" s="1" t="s">
        <v>17442</v>
      </c>
      <c r="G6061" s="17">
        <v>64574</v>
      </c>
    </row>
    <row r="6062" spans="1:7">
      <c r="A6062" s="1" t="s">
        <v>17443</v>
      </c>
      <c r="B6062" s="1" t="s">
        <v>17444</v>
      </c>
      <c r="C6062">
        <f>(1-(B7/100))*1144.98</f>
        <v>1144.98</v>
      </c>
      <c r="D6062" s="1">
        <v>0</v>
      </c>
      <c r="E6062">
        <f>D6062*C6062</f>
        <v>0</v>
      </c>
      <c r="F6062" s="1" t="s">
        <v>17445</v>
      </c>
      <c r="G6062" s="17">
        <v>64575</v>
      </c>
    </row>
    <row r="6063" spans="1:7">
      <c r="A6063" s="1" t="s">
        <v>17446</v>
      </c>
      <c r="B6063" s="1" t="s">
        <v>17447</v>
      </c>
      <c r="C6063">
        <f>(1-(B7/100))*1144.98</f>
        <v>1144.98</v>
      </c>
      <c r="D6063" s="1">
        <v>0</v>
      </c>
      <c r="E6063">
        <f>D6063*C6063</f>
        <v>0</v>
      </c>
      <c r="F6063" s="1" t="s">
        <v>17448</v>
      </c>
      <c r="G6063" s="17">
        <v>64576</v>
      </c>
    </row>
    <row r="6064" spans="1:7">
      <c r="A6064" s="1" t="s">
        <v>17449</v>
      </c>
      <c r="B6064" s="1" t="s">
        <v>17450</v>
      </c>
      <c r="C6064">
        <f>(1-(B7/100))*375.45</f>
        <v>375.45</v>
      </c>
      <c r="D6064" s="1">
        <v>0</v>
      </c>
      <c r="E6064">
        <f>D6064*C6064</f>
        <v>0</v>
      </c>
      <c r="F6064" s="1" t="s">
        <v>17451</v>
      </c>
      <c r="G6064" s="17">
        <v>64583</v>
      </c>
    </row>
    <row r="6065" spans="1:7">
      <c r="A6065" s="1" t="s">
        <v>17452</v>
      </c>
      <c r="B6065" s="1" t="s">
        <v>17453</v>
      </c>
      <c r="C6065">
        <f>(1-(B7/100))*1726.02</f>
        <v>1726.02</v>
      </c>
      <c r="D6065" s="1">
        <v>0</v>
      </c>
      <c r="E6065">
        <f>D6065*C6065</f>
        <v>0</v>
      </c>
      <c r="F6065" s="1" t="s">
        <v>17454</v>
      </c>
      <c r="G6065" s="17">
        <v>64584</v>
      </c>
    </row>
    <row r="6066" spans="1:7">
      <c r="A6066" s="1" t="s">
        <v>17455</v>
      </c>
      <c r="B6066" s="1" t="s">
        <v>17456</v>
      </c>
      <c r="C6066">
        <f>(1-(B7/100))*1701.41</f>
        <v>1701.41</v>
      </c>
      <c r="D6066" s="1">
        <v>0</v>
      </c>
      <c r="E6066">
        <f>D6066*C6066</f>
        <v>0</v>
      </c>
      <c r="F6066" s="1" t="s">
        <v>17457</v>
      </c>
      <c r="G6066" s="17">
        <v>64586</v>
      </c>
    </row>
    <row r="6067" spans="1:7">
      <c r="A6067" s="1" t="s">
        <v>17458</v>
      </c>
      <c r="B6067" s="1" t="s">
        <v>17459</v>
      </c>
      <c r="C6067">
        <f>(1-(B7/100))*1833.89</f>
        <v>1833.89</v>
      </c>
      <c r="D6067" s="1">
        <v>0</v>
      </c>
      <c r="E6067">
        <f>D6067*C6067</f>
        <v>0</v>
      </c>
      <c r="F6067" s="1" t="s">
        <v>17460</v>
      </c>
      <c r="G6067" s="17">
        <v>64594</v>
      </c>
    </row>
    <row r="6068" spans="1:7">
      <c r="A6068" s="1" t="s">
        <v>17461</v>
      </c>
      <c r="B6068" s="1" t="s">
        <v>17462</v>
      </c>
      <c r="C6068">
        <f>(1-(B7/100))*375.45</f>
        <v>375.45</v>
      </c>
      <c r="D6068" s="1">
        <v>0</v>
      </c>
      <c r="E6068">
        <f>D6068*C6068</f>
        <v>0</v>
      </c>
      <c r="F6068" s="1" t="s">
        <v>17463</v>
      </c>
      <c r="G6068" s="17">
        <v>71006</v>
      </c>
    </row>
    <row r="6069" spans="1:7">
      <c r="A6069" s="1" t="s">
        <v>17464</v>
      </c>
      <c r="B6069" s="1" t="s">
        <v>17465</v>
      </c>
      <c r="C6069">
        <f>(1-(B7/100))*375.45</f>
        <v>375.45</v>
      </c>
      <c r="D6069" s="1">
        <v>0</v>
      </c>
      <c r="E6069">
        <f>D6069*C6069</f>
        <v>0</v>
      </c>
      <c r="F6069" s="1" t="s">
        <v>17466</v>
      </c>
      <c r="G6069" s="17">
        <v>71007</v>
      </c>
    </row>
    <row r="6070" spans="1:7">
      <c r="A6070" s="1" t="s">
        <v>17467</v>
      </c>
      <c r="B6070" s="1" t="s">
        <v>17468</v>
      </c>
      <c r="C6070">
        <f>(1-(B7/100))*375.45</f>
        <v>375.45</v>
      </c>
      <c r="D6070" s="1">
        <v>0</v>
      </c>
      <c r="E6070">
        <f>D6070*C6070</f>
        <v>0</v>
      </c>
      <c r="F6070" s="1" t="s">
        <v>17469</v>
      </c>
      <c r="G6070" s="17">
        <v>71008</v>
      </c>
    </row>
    <row r="6071" spans="1:7">
      <c r="A6071" s="1" t="s">
        <v>17470</v>
      </c>
      <c r="B6071" s="1" t="s">
        <v>17471</v>
      </c>
      <c r="C6071">
        <f>(1-(B7/100))*679.13</f>
        <v>679.13</v>
      </c>
      <c r="D6071" s="1">
        <v>0</v>
      </c>
      <c r="E6071">
        <f>D6071*C6071</f>
        <v>0</v>
      </c>
      <c r="F6071" s="1" t="s">
        <v>17472</v>
      </c>
      <c r="G6071" s="17">
        <v>72452</v>
      </c>
    </row>
    <row r="6072" spans="1:7">
      <c r="A6072" s="1" t="s">
        <v>17473</v>
      </c>
      <c r="B6072" s="1" t="s">
        <v>17474</v>
      </c>
      <c r="C6072">
        <f>(1-(B7/100))*375.45</f>
        <v>375.45</v>
      </c>
      <c r="D6072" s="1">
        <v>0</v>
      </c>
      <c r="E6072">
        <f>D6072*C6072</f>
        <v>0</v>
      </c>
      <c r="F6072" s="1" t="s">
        <v>17475</v>
      </c>
      <c r="G6072" s="17">
        <v>73462</v>
      </c>
    </row>
    <row r="6073" spans="1:7">
      <c r="A6073" s="1" t="s">
        <v>17476</v>
      </c>
      <c r="B6073" s="1" t="s">
        <v>17477</v>
      </c>
      <c r="C6073">
        <f>(1-(B7/100))*375.45</f>
        <v>375.45</v>
      </c>
      <c r="D6073" s="1">
        <v>0</v>
      </c>
      <c r="E6073">
        <f>D6073*C6073</f>
        <v>0</v>
      </c>
      <c r="F6073" s="1" t="s">
        <v>17478</v>
      </c>
      <c r="G6073" s="17">
        <v>73463</v>
      </c>
    </row>
    <row r="6074" spans="1:7">
      <c r="A6074" s="1" t="s">
        <v>17479</v>
      </c>
      <c r="B6074" s="1" t="s">
        <v>17480</v>
      </c>
      <c r="C6074">
        <f>(1-(B7/100))*375.45</f>
        <v>375.45</v>
      </c>
      <c r="D6074" s="1">
        <v>0</v>
      </c>
      <c r="E6074">
        <f>D6074*C6074</f>
        <v>0</v>
      </c>
      <c r="F6074" s="1" t="s">
        <v>17481</v>
      </c>
      <c r="G6074" s="17">
        <v>73464</v>
      </c>
    </row>
    <row r="6075" spans="1:7">
      <c r="A6075" s="1" t="s">
        <v>17482</v>
      </c>
      <c r="B6075" s="1" t="s">
        <v>17483</v>
      </c>
      <c r="C6075">
        <f>(1-(B7/100))*375.45</f>
        <v>375.45</v>
      </c>
      <c r="D6075" s="1">
        <v>0</v>
      </c>
      <c r="E6075">
        <f>D6075*C6075</f>
        <v>0</v>
      </c>
      <c r="F6075" s="1" t="s">
        <v>17484</v>
      </c>
      <c r="G6075" s="17">
        <v>73465</v>
      </c>
    </row>
    <row r="6076" spans="1:7">
      <c r="A6076" s="1" t="s">
        <v>17485</v>
      </c>
      <c r="B6076" s="1" t="s">
        <v>17486</v>
      </c>
      <c r="C6076">
        <f>(1-(B7/100))*375.45</f>
        <v>375.45</v>
      </c>
      <c r="D6076" s="1">
        <v>0</v>
      </c>
      <c r="E6076">
        <f>D6076*C6076</f>
        <v>0</v>
      </c>
      <c r="F6076" s="1" t="s">
        <v>17487</v>
      </c>
      <c r="G6076" s="17">
        <v>73466</v>
      </c>
    </row>
    <row r="6077" spans="1:7">
      <c r="A6077" s="1" t="s">
        <v>17488</v>
      </c>
      <c r="B6077" s="1" t="s">
        <v>17489</v>
      </c>
      <c r="C6077">
        <f>(1-(B7/100))*375.45</f>
        <v>375.45</v>
      </c>
      <c r="D6077" s="1">
        <v>0</v>
      </c>
      <c r="E6077">
        <f>D6077*C6077</f>
        <v>0</v>
      </c>
      <c r="F6077" s="1" t="s">
        <v>17490</v>
      </c>
      <c r="G6077" s="17">
        <v>73467</v>
      </c>
    </row>
    <row r="6078" spans="1:7">
      <c r="A6078" s="1" t="s">
        <v>17491</v>
      </c>
      <c r="B6078" s="1" t="s">
        <v>17492</v>
      </c>
      <c r="C6078">
        <f>(1-(B7/100))*375.45</f>
        <v>375.45</v>
      </c>
      <c r="D6078" s="1">
        <v>0</v>
      </c>
      <c r="E6078">
        <f>D6078*C6078</f>
        <v>0</v>
      </c>
      <c r="F6078" s="1" t="s">
        <v>17493</v>
      </c>
      <c r="G6078" s="17">
        <v>73468</v>
      </c>
    </row>
    <row r="6079" spans="1:7">
      <c r="A6079" s="16"/>
      <c r="B6079" s="16" t="s">
        <v>17494</v>
      </c>
      <c r="C6079" s="16"/>
      <c r="D6079" s="16"/>
      <c r="E6079" s="16"/>
      <c r="F6079" s="16"/>
    </row>
    <row r="6080" spans="1:7">
      <c r="A6080" s="16"/>
      <c r="B6080" s="16" t="s">
        <v>17495</v>
      </c>
      <c r="C6080" s="16"/>
      <c r="D6080" s="16"/>
      <c r="E6080" s="16"/>
      <c r="F6080" s="16"/>
    </row>
    <row r="6081" spans="1:7">
      <c r="A6081" s="1" t="s">
        <v>17496</v>
      </c>
      <c r="B6081" s="1" t="s">
        <v>17497</v>
      </c>
      <c r="C6081">
        <f>(1-(B7/100))*3829.6</f>
        <v>3829.6</v>
      </c>
      <c r="D6081" s="1">
        <v>0</v>
      </c>
      <c r="E6081">
        <f>D6081*C6081</f>
        <v>0</v>
      </c>
      <c r="F6081" s="1" t="s">
        <v>17498</v>
      </c>
      <c r="G6081" s="17">
        <v>63362</v>
      </c>
    </row>
    <row r="6082" spans="1:7">
      <c r="A6082" s="1" t="s">
        <v>17499</v>
      </c>
      <c r="B6082" s="1" t="s">
        <v>17500</v>
      </c>
      <c r="C6082">
        <f>(1-(B7/100))*971.95</f>
        <v>971.95</v>
      </c>
      <c r="D6082" s="1">
        <v>0</v>
      </c>
      <c r="E6082">
        <f>D6082*C6082</f>
        <v>0</v>
      </c>
      <c r="F6082" s="1" t="s">
        <v>17501</v>
      </c>
      <c r="G6082" s="17">
        <v>63496</v>
      </c>
    </row>
    <row r="6083" spans="1:7">
      <c r="A6083" s="1" t="s">
        <v>17502</v>
      </c>
      <c r="B6083" s="1" t="s">
        <v>17503</v>
      </c>
      <c r="C6083">
        <f>(1-(B7/100))*845.51</f>
        <v>845.51</v>
      </c>
      <c r="D6083" s="1">
        <v>0</v>
      </c>
      <c r="E6083">
        <f>D6083*C6083</f>
        <v>0</v>
      </c>
      <c r="F6083" s="1" t="s">
        <v>17504</v>
      </c>
      <c r="G6083" s="17">
        <v>64305</v>
      </c>
    </row>
    <row r="6084" spans="1:7">
      <c r="A6084" s="1" t="s">
        <v>17505</v>
      </c>
      <c r="B6084" s="1" t="s">
        <v>17506</v>
      </c>
      <c r="C6084">
        <f>(1-(B7/100))*788.58</f>
        <v>788.58</v>
      </c>
      <c r="D6084" s="1">
        <v>0</v>
      </c>
      <c r="E6084">
        <f>D6084*C6084</f>
        <v>0</v>
      </c>
      <c r="F6084" s="1" t="s">
        <v>16</v>
      </c>
      <c r="G6084" s="17">
        <v>70989</v>
      </c>
    </row>
    <row r="6085" spans="1:7">
      <c r="A6085" s="1" t="s">
        <v>17507</v>
      </c>
      <c r="B6085" s="1" t="s">
        <v>17508</v>
      </c>
      <c r="C6085">
        <f>(1-(B7/100))*5253.8</f>
        <v>5253.8</v>
      </c>
      <c r="D6085" s="1">
        <v>0</v>
      </c>
      <c r="E6085">
        <f>D6085*C6085</f>
        <v>0</v>
      </c>
      <c r="F6085" s="1" t="s">
        <v>17509</v>
      </c>
      <c r="G6085" s="17">
        <v>71139</v>
      </c>
    </row>
    <row r="6086" spans="1:7">
      <c r="A6086" s="1" t="s">
        <v>17510</v>
      </c>
      <c r="B6086" s="1" t="s">
        <v>17511</v>
      </c>
      <c r="C6086">
        <f>(1-(B7/100))*5000</f>
        <v>5000</v>
      </c>
      <c r="D6086" s="1">
        <v>0</v>
      </c>
      <c r="E6086">
        <f>D6086*C6086</f>
        <v>0</v>
      </c>
      <c r="F6086" s="1" t="s">
        <v>17512</v>
      </c>
      <c r="G6086" s="17">
        <v>71141</v>
      </c>
    </row>
    <row r="6087" spans="1:7">
      <c r="A6087" s="1" t="s">
        <v>17513</v>
      </c>
      <c r="B6087" s="1" t="s">
        <v>17514</v>
      </c>
      <c r="C6087">
        <f>(1-(B7/100))*5300</f>
        <v>5300</v>
      </c>
      <c r="D6087" s="1">
        <v>0</v>
      </c>
      <c r="E6087">
        <f>D6087*C6087</f>
        <v>0</v>
      </c>
      <c r="F6087" s="1" t="s">
        <v>17515</v>
      </c>
      <c r="G6087" s="17">
        <v>71142</v>
      </c>
    </row>
    <row r="6088" spans="1:7">
      <c r="A6088" s="1" t="s">
        <v>17516</v>
      </c>
      <c r="B6088" s="1" t="s">
        <v>17517</v>
      </c>
      <c r="C6088">
        <f>(1-(B7/100))*5000</f>
        <v>5000</v>
      </c>
      <c r="D6088" s="1">
        <v>0</v>
      </c>
      <c r="E6088">
        <f>D6088*C6088</f>
        <v>0</v>
      </c>
      <c r="F6088" s="1" t="s">
        <v>17518</v>
      </c>
      <c r="G6088" s="17">
        <v>71143</v>
      </c>
    </row>
    <row r="6089" spans="1:7">
      <c r="A6089" s="1" t="s">
        <v>17519</v>
      </c>
      <c r="B6089" s="1" t="s">
        <v>17520</v>
      </c>
      <c r="C6089">
        <f>(1-(B7/100))*5300</f>
        <v>5300</v>
      </c>
      <c r="D6089" s="1">
        <v>0</v>
      </c>
      <c r="E6089">
        <f>D6089*C6089</f>
        <v>0</v>
      </c>
      <c r="F6089" s="1" t="s">
        <v>17521</v>
      </c>
      <c r="G6089" s="17">
        <v>71144</v>
      </c>
    </row>
    <row r="6090" spans="1:7">
      <c r="A6090" s="1" t="s">
        <v>17522</v>
      </c>
      <c r="B6090" s="1" t="s">
        <v>17523</v>
      </c>
      <c r="C6090">
        <f>(1-(B7/100))*4735.71</f>
        <v>4735.71</v>
      </c>
      <c r="D6090" s="1">
        <v>0</v>
      </c>
      <c r="E6090">
        <f>D6090*C6090</f>
        <v>0</v>
      </c>
      <c r="F6090" s="1" t="s">
        <v>17524</v>
      </c>
      <c r="G6090" s="17">
        <v>71146</v>
      </c>
    </row>
    <row r="6091" spans="1:7">
      <c r="A6091" s="1" t="s">
        <v>17525</v>
      </c>
      <c r="B6091" s="1" t="s">
        <v>17526</v>
      </c>
      <c r="C6091">
        <f>(1-(B7/100))*5725.13</f>
        <v>5725.13</v>
      </c>
      <c r="D6091" s="1">
        <v>0</v>
      </c>
      <c r="E6091">
        <f>D6091*C6091</f>
        <v>0</v>
      </c>
      <c r="F6091" s="1" t="s">
        <v>17527</v>
      </c>
      <c r="G6091" s="17">
        <v>71150</v>
      </c>
    </row>
    <row r="6092" spans="1:7">
      <c r="A6092" s="1" t="s">
        <v>17528</v>
      </c>
      <c r="B6092" s="1" t="s">
        <v>17529</v>
      </c>
      <c r="C6092">
        <f>(1-(B7/100))*5382.97</f>
        <v>5382.97</v>
      </c>
      <c r="D6092" s="1">
        <v>0</v>
      </c>
      <c r="E6092">
        <f>D6092*C6092</f>
        <v>0</v>
      </c>
      <c r="F6092" s="1" t="s">
        <v>17530</v>
      </c>
      <c r="G6092" s="17">
        <v>71153</v>
      </c>
    </row>
    <row r="6093" spans="1:7">
      <c r="A6093" s="1" t="s">
        <v>17531</v>
      </c>
      <c r="B6093" s="1" t="s">
        <v>17532</v>
      </c>
      <c r="C6093">
        <f>(1-(B7/100))*5300</f>
        <v>5300</v>
      </c>
      <c r="D6093" s="1">
        <v>0</v>
      </c>
      <c r="E6093">
        <f>D6093*C6093</f>
        <v>0</v>
      </c>
      <c r="F6093" s="1" t="s">
        <v>17533</v>
      </c>
      <c r="G6093" s="17">
        <v>71154</v>
      </c>
    </row>
    <row r="6094" spans="1:7">
      <c r="A6094" s="1" t="s">
        <v>17534</v>
      </c>
      <c r="B6094" s="1" t="s">
        <v>17535</v>
      </c>
      <c r="C6094">
        <f>(1-(B7/100))*5073.99</f>
        <v>5073.99</v>
      </c>
      <c r="D6094" s="1">
        <v>0</v>
      </c>
      <c r="E6094">
        <f>D6094*C6094</f>
        <v>0</v>
      </c>
      <c r="F6094" s="1" t="s">
        <v>17536</v>
      </c>
      <c r="G6094" s="17">
        <v>71158</v>
      </c>
    </row>
    <row r="6095" spans="1:7">
      <c r="A6095" s="1" t="s">
        <v>17537</v>
      </c>
      <c r="B6095" s="1" t="s">
        <v>17538</v>
      </c>
      <c r="C6095">
        <f>(1-(B7/100))*5073.99</f>
        <v>5073.99</v>
      </c>
      <c r="D6095" s="1">
        <v>0</v>
      </c>
      <c r="E6095">
        <f>D6095*C6095</f>
        <v>0</v>
      </c>
      <c r="F6095" s="1" t="s">
        <v>17539</v>
      </c>
      <c r="G6095" s="17">
        <v>71160</v>
      </c>
    </row>
    <row r="6096" spans="1:7">
      <c r="A6096" s="1" t="s">
        <v>17540</v>
      </c>
      <c r="B6096" s="1" t="s">
        <v>17541</v>
      </c>
      <c r="C6096">
        <f>(1-(B7/100))*5447.02</f>
        <v>5447.02</v>
      </c>
      <c r="D6096" s="1">
        <v>0</v>
      </c>
      <c r="E6096">
        <f>D6096*C6096</f>
        <v>0</v>
      </c>
      <c r="F6096" s="1" t="s">
        <v>17542</v>
      </c>
      <c r="G6096" s="17">
        <v>71162</v>
      </c>
    </row>
    <row r="6097" spans="1:7">
      <c r="A6097" s="1" t="s">
        <v>17543</v>
      </c>
      <c r="B6097" s="1" t="s">
        <v>17544</v>
      </c>
      <c r="C6097">
        <f>(1-(B7/100))*5073.99</f>
        <v>5073.99</v>
      </c>
      <c r="D6097" s="1">
        <v>0</v>
      </c>
      <c r="E6097">
        <f>D6097*C6097</f>
        <v>0</v>
      </c>
      <c r="F6097" s="1" t="s">
        <v>17545</v>
      </c>
      <c r="G6097" s="17">
        <v>71164</v>
      </c>
    </row>
    <row r="6098" spans="1:7">
      <c r="A6098" s="1" t="s">
        <v>17546</v>
      </c>
      <c r="B6098" s="1" t="s">
        <v>17547</v>
      </c>
      <c r="C6098">
        <f>(1-(B7/100))*5725.13</f>
        <v>5725.13</v>
      </c>
      <c r="D6098" s="1">
        <v>0</v>
      </c>
      <c r="E6098">
        <f>D6098*C6098</f>
        <v>0</v>
      </c>
      <c r="F6098" s="1" t="s">
        <v>17548</v>
      </c>
      <c r="G6098" s="17">
        <v>71165</v>
      </c>
    </row>
    <row r="6099" spans="1:7">
      <c r="A6099" s="1" t="s">
        <v>17549</v>
      </c>
      <c r="B6099" s="1" t="s">
        <v>17550</v>
      </c>
      <c r="C6099">
        <f>(1-(B7/100))*4735.71</f>
        <v>4735.71</v>
      </c>
      <c r="D6099" s="1">
        <v>0</v>
      </c>
      <c r="E6099">
        <f>D6099*C6099</f>
        <v>0</v>
      </c>
      <c r="F6099" s="1" t="s">
        <v>17551</v>
      </c>
      <c r="G6099" s="17">
        <v>71166</v>
      </c>
    </row>
    <row r="6100" spans="1:7">
      <c r="A6100" s="1" t="s">
        <v>17552</v>
      </c>
      <c r="B6100" s="1" t="s">
        <v>17553</v>
      </c>
      <c r="C6100">
        <f>(1-(B7/100))*5300</f>
        <v>5300</v>
      </c>
      <c r="D6100" s="1">
        <v>0</v>
      </c>
      <c r="E6100">
        <f>D6100*C6100</f>
        <v>0</v>
      </c>
      <c r="F6100" s="1" t="s">
        <v>17554</v>
      </c>
      <c r="G6100" s="17">
        <v>71170</v>
      </c>
    </row>
    <row r="6101" spans="1:7">
      <c r="A6101" s="1" t="s">
        <v>17555</v>
      </c>
      <c r="B6101" s="1" t="s">
        <v>17556</v>
      </c>
      <c r="C6101">
        <f>(1-(B7/100))*5725.13</f>
        <v>5725.13</v>
      </c>
      <c r="D6101" s="1">
        <v>0</v>
      </c>
      <c r="E6101">
        <f>D6101*C6101</f>
        <v>0</v>
      </c>
      <c r="F6101" s="1" t="s">
        <v>17557</v>
      </c>
      <c r="G6101" s="17">
        <v>71171</v>
      </c>
    </row>
    <row r="6102" spans="1:7">
      <c r="A6102" s="1" t="s">
        <v>17558</v>
      </c>
      <c r="B6102" s="1" t="s">
        <v>17559</v>
      </c>
      <c r="C6102">
        <f>(1-(B7/100))*4735.71</f>
        <v>4735.71</v>
      </c>
      <c r="D6102" s="1">
        <v>0</v>
      </c>
      <c r="E6102">
        <f>D6102*C6102</f>
        <v>0</v>
      </c>
      <c r="F6102" s="1" t="s">
        <v>17560</v>
      </c>
      <c r="G6102" s="17">
        <v>71172</v>
      </c>
    </row>
    <row r="6103" spans="1:7">
      <c r="A6103" s="1" t="s">
        <v>17561</v>
      </c>
      <c r="B6103" s="1" t="s">
        <v>17562</v>
      </c>
      <c r="C6103">
        <f>(1-(B7/100))*5073.99</f>
        <v>5073.99</v>
      </c>
      <c r="D6103" s="1">
        <v>0</v>
      </c>
      <c r="E6103">
        <f>D6103*C6103</f>
        <v>0</v>
      </c>
      <c r="F6103" s="1" t="s">
        <v>17563</v>
      </c>
      <c r="G6103" s="17">
        <v>71173</v>
      </c>
    </row>
    <row r="6104" spans="1:7">
      <c r="A6104" s="1" t="s">
        <v>17564</v>
      </c>
      <c r="B6104" s="1" t="s">
        <v>17565</v>
      </c>
      <c r="C6104">
        <f>(1-(B7/100))*5725.13</f>
        <v>5725.13</v>
      </c>
      <c r="D6104" s="1">
        <v>0</v>
      </c>
      <c r="E6104">
        <f>D6104*C6104</f>
        <v>0</v>
      </c>
      <c r="F6104" s="1" t="s">
        <v>17566</v>
      </c>
      <c r="G6104" s="17">
        <v>71174</v>
      </c>
    </row>
    <row r="6105" spans="1:7">
      <c r="A6105" s="1" t="s">
        <v>17567</v>
      </c>
      <c r="B6105" s="1" t="s">
        <v>17568</v>
      </c>
      <c r="C6105">
        <f>(1-(B7/100))*6000</f>
        <v>6000</v>
      </c>
      <c r="D6105" s="1">
        <v>0</v>
      </c>
      <c r="E6105">
        <f>D6105*C6105</f>
        <v>0</v>
      </c>
      <c r="F6105" s="1" t="s">
        <v>17569</v>
      </c>
      <c r="G6105" s="17">
        <v>71261</v>
      </c>
    </row>
    <row r="6106" spans="1:7">
      <c r="A6106" s="1" t="s">
        <v>17570</v>
      </c>
      <c r="B6106" s="1" t="s">
        <v>17571</v>
      </c>
      <c r="C6106">
        <f>(1-(B7/100))*5073.99</f>
        <v>5073.99</v>
      </c>
      <c r="D6106" s="1">
        <v>0</v>
      </c>
      <c r="E6106">
        <f>D6106*C6106</f>
        <v>0</v>
      </c>
      <c r="F6106" s="1" t="s">
        <v>17572</v>
      </c>
      <c r="G6106" s="17">
        <v>71262</v>
      </c>
    </row>
    <row r="6107" spans="1:7">
      <c r="A6107" s="1" t="s">
        <v>17573</v>
      </c>
      <c r="B6107" s="1" t="s">
        <v>17574</v>
      </c>
      <c r="C6107">
        <f>(1-(B7/100))*5073.99</f>
        <v>5073.99</v>
      </c>
      <c r="D6107" s="1">
        <v>0</v>
      </c>
      <c r="E6107">
        <f>D6107*C6107</f>
        <v>0</v>
      </c>
      <c r="F6107" s="1" t="s">
        <v>17575</v>
      </c>
      <c r="G6107" s="17">
        <v>71263</v>
      </c>
    </row>
    <row r="6108" spans="1:7">
      <c r="A6108" s="1" t="s">
        <v>17576</v>
      </c>
      <c r="B6108" s="1" t="s">
        <v>17577</v>
      </c>
      <c r="C6108">
        <f>(1-(B7/100))*5073.99</f>
        <v>5073.99</v>
      </c>
      <c r="D6108" s="1">
        <v>0</v>
      </c>
      <c r="E6108">
        <f>D6108*C6108</f>
        <v>0</v>
      </c>
      <c r="F6108" s="1" t="s">
        <v>17578</v>
      </c>
      <c r="G6108" s="17">
        <v>71264</v>
      </c>
    </row>
    <row r="6109" spans="1:7">
      <c r="A6109" s="1" t="s">
        <v>17579</v>
      </c>
      <c r="B6109" s="1" t="s">
        <v>17580</v>
      </c>
      <c r="C6109">
        <f>(1-(B7/100))*5073.99</f>
        <v>5073.99</v>
      </c>
      <c r="D6109" s="1">
        <v>0</v>
      </c>
      <c r="E6109">
        <f>D6109*C6109</f>
        <v>0</v>
      </c>
      <c r="F6109" s="1" t="s">
        <v>17581</v>
      </c>
      <c r="G6109" s="17">
        <v>71265</v>
      </c>
    </row>
    <row r="6110" spans="1:7">
      <c r="A6110" s="1" t="s">
        <v>17582</v>
      </c>
      <c r="B6110" s="1" t="s">
        <v>17583</v>
      </c>
      <c r="C6110">
        <f>(1-(B7/100))*5073.99</f>
        <v>5073.99</v>
      </c>
      <c r="D6110" s="1">
        <v>0</v>
      </c>
      <c r="E6110">
        <f>D6110*C6110</f>
        <v>0</v>
      </c>
      <c r="F6110" s="1" t="s">
        <v>17584</v>
      </c>
      <c r="G6110" s="17">
        <v>71266</v>
      </c>
    </row>
    <row r="6111" spans="1:7">
      <c r="A6111" s="1" t="s">
        <v>17585</v>
      </c>
      <c r="B6111" s="1" t="s">
        <v>17586</v>
      </c>
      <c r="C6111">
        <f>(1-(B7/100))*5073.99</f>
        <v>5073.99</v>
      </c>
      <c r="D6111" s="1">
        <v>0</v>
      </c>
      <c r="E6111">
        <f>D6111*C6111</f>
        <v>0</v>
      </c>
      <c r="F6111" s="1" t="s">
        <v>17587</v>
      </c>
      <c r="G6111" s="17">
        <v>71267</v>
      </c>
    </row>
    <row r="6112" spans="1:7">
      <c r="A6112" s="1" t="s">
        <v>17588</v>
      </c>
      <c r="B6112" s="1" t="s">
        <v>17589</v>
      </c>
      <c r="C6112">
        <f>(1-(B7/100))*4848.48</f>
        <v>4848.48</v>
      </c>
      <c r="D6112" s="1">
        <v>0</v>
      </c>
      <c r="E6112">
        <f>D6112*C6112</f>
        <v>0</v>
      </c>
      <c r="F6112" s="1" t="s">
        <v>17590</v>
      </c>
      <c r="G6112" s="17">
        <v>71270</v>
      </c>
    </row>
    <row r="6113" spans="1:7">
      <c r="A6113" s="1" t="s">
        <v>17591</v>
      </c>
      <c r="B6113" s="1" t="s">
        <v>17592</v>
      </c>
      <c r="C6113">
        <f>(1-(B7/100))*5073.99</f>
        <v>5073.99</v>
      </c>
      <c r="D6113" s="1">
        <v>0</v>
      </c>
      <c r="E6113">
        <f>D6113*C6113</f>
        <v>0</v>
      </c>
      <c r="F6113" s="1" t="s">
        <v>17593</v>
      </c>
      <c r="G6113" s="17">
        <v>71273</v>
      </c>
    </row>
    <row r="6114" spans="1:7">
      <c r="A6114" s="1" t="s">
        <v>17594</v>
      </c>
      <c r="B6114" s="1" t="s">
        <v>17595</v>
      </c>
      <c r="C6114">
        <f>(1-(B7/100))*5290.2</f>
        <v>5290.2</v>
      </c>
      <c r="D6114" s="1">
        <v>0</v>
      </c>
      <c r="E6114">
        <f>D6114*C6114</f>
        <v>0</v>
      </c>
      <c r="F6114" s="1" t="s">
        <v>17596</v>
      </c>
      <c r="G6114" s="17">
        <v>71274</v>
      </c>
    </row>
    <row r="6115" spans="1:7">
      <c r="A6115" s="1" t="s">
        <v>17597</v>
      </c>
      <c r="B6115" s="1" t="s">
        <v>17598</v>
      </c>
      <c r="C6115">
        <f>(1-(B7/100))*5073.99</f>
        <v>5073.99</v>
      </c>
      <c r="D6115" s="1">
        <v>0</v>
      </c>
      <c r="E6115">
        <f>D6115*C6115</f>
        <v>0</v>
      </c>
      <c r="F6115" s="1" t="s">
        <v>17599</v>
      </c>
      <c r="G6115" s="17">
        <v>71275</v>
      </c>
    </row>
    <row r="6116" spans="1:7">
      <c r="A6116" s="1" t="s">
        <v>17600</v>
      </c>
      <c r="B6116" s="1" t="s">
        <v>17601</v>
      </c>
      <c r="C6116">
        <f>(1-(B7/100))*5073.99</f>
        <v>5073.99</v>
      </c>
      <c r="D6116" s="1">
        <v>0</v>
      </c>
      <c r="E6116">
        <f>D6116*C6116</f>
        <v>0</v>
      </c>
      <c r="F6116" s="1" t="s">
        <v>17602</v>
      </c>
      <c r="G6116" s="17">
        <v>71279</v>
      </c>
    </row>
    <row r="6117" spans="1:7">
      <c r="A6117" s="1" t="s">
        <v>17603</v>
      </c>
      <c r="B6117" s="1" t="s">
        <v>17604</v>
      </c>
      <c r="C6117">
        <f>(1-(B7/100))*5073.99</f>
        <v>5073.99</v>
      </c>
      <c r="D6117" s="1">
        <v>0</v>
      </c>
      <c r="E6117">
        <f>D6117*C6117</f>
        <v>0</v>
      </c>
      <c r="F6117" s="1" t="s">
        <v>17605</v>
      </c>
      <c r="G6117" s="17">
        <v>71280</v>
      </c>
    </row>
    <row r="6118" spans="1:7">
      <c r="A6118" s="1" t="s">
        <v>17606</v>
      </c>
      <c r="B6118" s="1" t="s">
        <v>17607</v>
      </c>
      <c r="C6118">
        <f>(1-(B7/100))*5073.99</f>
        <v>5073.99</v>
      </c>
      <c r="D6118" s="1">
        <v>0</v>
      </c>
      <c r="E6118">
        <f>D6118*C6118</f>
        <v>0</v>
      </c>
      <c r="F6118" s="1" t="s">
        <v>17608</v>
      </c>
      <c r="G6118" s="17">
        <v>71283</v>
      </c>
    </row>
    <row r="6119" spans="1:7">
      <c r="A6119" s="1" t="s">
        <v>17609</v>
      </c>
      <c r="B6119" s="1" t="s">
        <v>17610</v>
      </c>
      <c r="C6119">
        <f>(1-(B7/100))*5073.99</f>
        <v>5073.99</v>
      </c>
      <c r="D6119" s="1">
        <v>0</v>
      </c>
      <c r="E6119">
        <f>D6119*C6119</f>
        <v>0</v>
      </c>
      <c r="F6119" s="1" t="s">
        <v>17611</v>
      </c>
      <c r="G6119" s="17">
        <v>71284</v>
      </c>
    </row>
    <row r="6120" spans="1:7">
      <c r="A6120" s="1" t="s">
        <v>17612</v>
      </c>
      <c r="B6120" s="1" t="s">
        <v>17613</v>
      </c>
      <c r="C6120">
        <f>(1-(B7/100))*5073.99</f>
        <v>5073.99</v>
      </c>
      <c r="D6120" s="1">
        <v>0</v>
      </c>
      <c r="E6120">
        <f>D6120*C6120</f>
        <v>0</v>
      </c>
      <c r="F6120" s="1" t="s">
        <v>17614</v>
      </c>
      <c r="G6120" s="17">
        <v>71285</v>
      </c>
    </row>
    <row r="6121" spans="1:7">
      <c r="A6121" s="1" t="s">
        <v>17615</v>
      </c>
      <c r="B6121" s="1" t="s">
        <v>17616</v>
      </c>
      <c r="C6121">
        <f>(1-(B7/100))*6245.6</f>
        <v>6245.6</v>
      </c>
      <c r="D6121" s="1">
        <v>0</v>
      </c>
      <c r="E6121">
        <f>D6121*C6121</f>
        <v>0</v>
      </c>
      <c r="F6121" s="1" t="s">
        <v>16</v>
      </c>
      <c r="G6121" s="17">
        <v>71359</v>
      </c>
    </row>
    <row r="6122" spans="1:7">
      <c r="A6122" s="1" t="s">
        <v>17617</v>
      </c>
      <c r="B6122" s="1" t="s">
        <v>17618</v>
      </c>
      <c r="C6122">
        <f>(1-(B7/100))*3435.08</f>
        <v>3435.08</v>
      </c>
      <c r="D6122" s="1">
        <v>0</v>
      </c>
      <c r="E6122">
        <f>D6122*C6122</f>
        <v>0</v>
      </c>
      <c r="F6122" s="1" t="s">
        <v>16</v>
      </c>
      <c r="G6122" s="17">
        <v>71375</v>
      </c>
    </row>
    <row r="6123" spans="1:7">
      <c r="A6123" s="1" t="s">
        <v>17619</v>
      </c>
      <c r="B6123" s="1" t="s">
        <v>17620</v>
      </c>
      <c r="C6123">
        <f>(1-(B7/100))*676.61</f>
        <v>676.61</v>
      </c>
      <c r="D6123" s="1">
        <v>0</v>
      </c>
      <c r="E6123">
        <f>D6123*C6123</f>
        <v>0</v>
      </c>
      <c r="F6123" s="1" t="s">
        <v>16</v>
      </c>
      <c r="G6123" s="17">
        <v>71461</v>
      </c>
    </row>
    <row r="6124" spans="1:7">
      <c r="A6124" s="1" t="s">
        <v>17621</v>
      </c>
      <c r="B6124" s="1" t="s">
        <v>17622</v>
      </c>
      <c r="C6124">
        <f>(1-(B7/100))*728.65</f>
        <v>728.65</v>
      </c>
      <c r="D6124" s="1">
        <v>0</v>
      </c>
      <c r="E6124">
        <f>D6124*C6124</f>
        <v>0</v>
      </c>
      <c r="F6124" s="1" t="s">
        <v>16</v>
      </c>
      <c r="G6124" s="17">
        <v>71489</v>
      </c>
    </row>
    <row r="6125" spans="1:7">
      <c r="A6125" s="1" t="s">
        <v>17623</v>
      </c>
      <c r="B6125" s="1" t="s">
        <v>17624</v>
      </c>
      <c r="C6125">
        <f>(1-(B7/100))*3122.8</f>
        <v>3122.8</v>
      </c>
      <c r="D6125" s="1">
        <v>0</v>
      </c>
      <c r="E6125">
        <f>D6125*C6125</f>
        <v>0</v>
      </c>
      <c r="F6125" s="1" t="s">
        <v>16</v>
      </c>
      <c r="G6125" s="17">
        <v>71570</v>
      </c>
    </row>
    <row r="6126" spans="1:7">
      <c r="A6126" s="1" t="s">
        <v>17625</v>
      </c>
      <c r="B6126" s="1" t="s">
        <v>17624</v>
      </c>
      <c r="C6126">
        <f>(1-(B7/100))*3330.98</f>
        <v>3330.98</v>
      </c>
      <c r="D6126" s="1">
        <v>0</v>
      </c>
      <c r="E6126">
        <f>D6126*C6126</f>
        <v>0</v>
      </c>
      <c r="F6126" s="1" t="s">
        <v>16</v>
      </c>
      <c r="G6126" s="17">
        <v>71571</v>
      </c>
    </row>
    <row r="6127" spans="1:7">
      <c r="A6127" s="1" t="s">
        <v>17626</v>
      </c>
      <c r="B6127" s="1" t="s">
        <v>17627</v>
      </c>
      <c r="C6127">
        <f>(1-(B7/100))*2290.05</f>
        <v>2290.05</v>
      </c>
      <c r="D6127" s="1">
        <v>0</v>
      </c>
      <c r="E6127">
        <f>D6127*C6127</f>
        <v>0</v>
      </c>
      <c r="F6127" s="1" t="s">
        <v>16</v>
      </c>
      <c r="G6127" s="17">
        <v>71572</v>
      </c>
    </row>
    <row r="6128" spans="1:7">
      <c r="A6128" s="1" t="s">
        <v>17628</v>
      </c>
      <c r="B6128" s="1" t="s">
        <v>17629</v>
      </c>
      <c r="C6128">
        <f>(1-(B7/100))*3435.08</f>
        <v>3435.08</v>
      </c>
      <c r="D6128" s="1">
        <v>0</v>
      </c>
      <c r="E6128">
        <f>D6128*C6128</f>
        <v>0</v>
      </c>
      <c r="F6128" s="1" t="s">
        <v>16</v>
      </c>
      <c r="G6128" s="17">
        <v>71573</v>
      </c>
    </row>
    <row r="6129" spans="1:7">
      <c r="A6129" s="1" t="s">
        <v>17630</v>
      </c>
      <c r="B6129" s="1" t="s">
        <v>17631</v>
      </c>
      <c r="C6129">
        <f>(1-(B7/100))*832.75</f>
        <v>832.75</v>
      </c>
      <c r="D6129" s="1">
        <v>0</v>
      </c>
      <c r="E6129">
        <f>D6129*C6129</f>
        <v>0</v>
      </c>
      <c r="F6129" s="1" t="s">
        <v>16</v>
      </c>
      <c r="G6129" s="17">
        <v>71840</v>
      </c>
    </row>
    <row r="6130" spans="1:7">
      <c r="A6130" s="1" t="s">
        <v>17632</v>
      </c>
      <c r="B6130" s="1" t="s">
        <v>17633</v>
      </c>
      <c r="C6130">
        <f>(1-(B7/100))*6245.6</f>
        <v>6245.6</v>
      </c>
      <c r="D6130" s="1">
        <v>0</v>
      </c>
      <c r="E6130">
        <f>D6130*C6130</f>
        <v>0</v>
      </c>
      <c r="F6130" s="1" t="s">
        <v>16</v>
      </c>
      <c r="G6130" s="17">
        <v>72022</v>
      </c>
    </row>
    <row r="6131" spans="1:7">
      <c r="A6131" s="1" t="s">
        <v>17634</v>
      </c>
      <c r="B6131" s="1" t="s">
        <v>17635</v>
      </c>
      <c r="C6131">
        <f>(1-(B7/100))*5204.66</f>
        <v>5204.66</v>
      </c>
      <c r="D6131" s="1">
        <v>0</v>
      </c>
      <c r="E6131">
        <f>D6131*C6131</f>
        <v>0</v>
      </c>
      <c r="F6131" s="1" t="s">
        <v>16</v>
      </c>
      <c r="G6131" s="17">
        <v>72024</v>
      </c>
    </row>
    <row r="6132" spans="1:7">
      <c r="A6132" s="1" t="s">
        <v>17636</v>
      </c>
      <c r="B6132" s="1" t="s">
        <v>17637</v>
      </c>
      <c r="C6132">
        <f>(1-(B7/100))*5933.32</f>
        <v>5933.32</v>
      </c>
      <c r="D6132" s="1">
        <v>0</v>
      </c>
      <c r="E6132">
        <f>D6132*C6132</f>
        <v>0</v>
      </c>
      <c r="F6132" s="1" t="s">
        <v>16</v>
      </c>
      <c r="G6132" s="17">
        <v>72037</v>
      </c>
    </row>
    <row r="6133" spans="1:7">
      <c r="A6133" s="1" t="s">
        <v>17638</v>
      </c>
      <c r="B6133" s="1" t="s">
        <v>17639</v>
      </c>
      <c r="C6133">
        <f>(1-(B7/100))*2810.52</f>
        <v>2810.52</v>
      </c>
      <c r="D6133" s="1">
        <v>0</v>
      </c>
      <c r="E6133">
        <f>D6133*C6133</f>
        <v>0</v>
      </c>
      <c r="F6133" s="1" t="s">
        <v>16</v>
      </c>
      <c r="G6133" s="17">
        <v>72064</v>
      </c>
    </row>
    <row r="6134" spans="1:7">
      <c r="A6134" s="1" t="s">
        <v>17640</v>
      </c>
      <c r="B6134" s="1" t="s">
        <v>17641</v>
      </c>
      <c r="C6134">
        <f>(1-(B7/100))*700</f>
        <v>700</v>
      </c>
      <c r="D6134" s="1">
        <v>0</v>
      </c>
      <c r="E6134">
        <f>D6134*C6134</f>
        <v>0</v>
      </c>
      <c r="F6134" s="1" t="s">
        <v>16</v>
      </c>
      <c r="G6134" s="17">
        <v>72151</v>
      </c>
    </row>
    <row r="6135" spans="1:7">
      <c r="A6135" s="1" t="s">
        <v>17642</v>
      </c>
      <c r="B6135" s="1" t="s">
        <v>17643</v>
      </c>
      <c r="C6135">
        <f>(1-(B7/100))*550</f>
        <v>550</v>
      </c>
      <c r="D6135" s="1">
        <v>0</v>
      </c>
      <c r="E6135">
        <f>D6135*C6135</f>
        <v>0</v>
      </c>
      <c r="F6135" s="1" t="s">
        <v>16</v>
      </c>
      <c r="G6135" s="17">
        <v>72152</v>
      </c>
    </row>
    <row r="6136" spans="1:7">
      <c r="A6136" s="1" t="s">
        <v>17644</v>
      </c>
      <c r="B6136" s="1" t="s">
        <v>17645</v>
      </c>
      <c r="C6136">
        <f>(1-(B7/100))*520.47</f>
        <v>520.47</v>
      </c>
      <c r="D6136" s="1">
        <v>0</v>
      </c>
      <c r="E6136">
        <f>D6136*C6136</f>
        <v>0</v>
      </c>
      <c r="F6136" s="1" t="s">
        <v>16</v>
      </c>
      <c r="G6136" s="17">
        <v>72194</v>
      </c>
    </row>
    <row r="6137" spans="1:7">
      <c r="A6137" s="1" t="s">
        <v>17646</v>
      </c>
      <c r="B6137" s="1" t="s">
        <v>17647</v>
      </c>
      <c r="C6137">
        <f>(1-(B7/100))*13417.86</f>
        <v>13417.86</v>
      </c>
      <c r="D6137" s="1">
        <v>0</v>
      </c>
      <c r="E6137">
        <f>D6137*C6137</f>
        <v>0</v>
      </c>
      <c r="F6137" s="1" t="s">
        <v>17648</v>
      </c>
      <c r="G6137" s="17">
        <v>72218</v>
      </c>
    </row>
    <row r="6138" spans="1:7">
      <c r="A6138" s="1" t="s">
        <v>17649</v>
      </c>
      <c r="B6138" s="1" t="s">
        <v>17650</v>
      </c>
      <c r="C6138">
        <f>(1-(B7/100))*13417.86</f>
        <v>13417.86</v>
      </c>
      <c r="D6138" s="1">
        <v>0</v>
      </c>
      <c r="E6138">
        <f>D6138*C6138</f>
        <v>0</v>
      </c>
      <c r="F6138" s="1" t="s">
        <v>17651</v>
      </c>
      <c r="G6138" s="17">
        <v>72219</v>
      </c>
    </row>
    <row r="6139" spans="1:7">
      <c r="A6139" s="1" t="s">
        <v>17652</v>
      </c>
      <c r="B6139" s="1" t="s">
        <v>17653</v>
      </c>
      <c r="C6139">
        <f>(1-(B7/100))*8541.1</f>
        <v>8541.1</v>
      </c>
      <c r="D6139" s="1">
        <v>0</v>
      </c>
      <c r="E6139">
        <f>D6139*C6139</f>
        <v>0</v>
      </c>
      <c r="F6139" s="1" t="s">
        <v>17654</v>
      </c>
      <c r="G6139" s="17">
        <v>72220</v>
      </c>
    </row>
    <row r="6140" spans="1:7">
      <c r="A6140" s="1" t="s">
        <v>17655</v>
      </c>
      <c r="B6140" s="1" t="s">
        <v>17656</v>
      </c>
      <c r="C6140">
        <f>(1-(B7/100))*8541.1</f>
        <v>8541.1</v>
      </c>
      <c r="D6140" s="1">
        <v>0</v>
      </c>
      <c r="E6140">
        <f>D6140*C6140</f>
        <v>0</v>
      </c>
      <c r="F6140" s="1" t="s">
        <v>17657</v>
      </c>
      <c r="G6140" s="17">
        <v>72221</v>
      </c>
    </row>
    <row r="6141" spans="1:7">
      <c r="A6141" s="1" t="s">
        <v>17658</v>
      </c>
      <c r="B6141" s="1" t="s">
        <v>17659</v>
      </c>
      <c r="C6141">
        <f>(1-(B7/100))*3829.6</f>
        <v>3829.6</v>
      </c>
      <c r="D6141" s="1">
        <v>0</v>
      </c>
      <c r="E6141">
        <f>D6141*C6141</f>
        <v>0</v>
      </c>
      <c r="F6141" s="1" t="s">
        <v>17660</v>
      </c>
      <c r="G6141" s="17">
        <v>72781</v>
      </c>
    </row>
    <row r="6142" spans="1:7">
      <c r="A6142" s="1" t="s">
        <v>17661</v>
      </c>
      <c r="B6142" s="1" t="s">
        <v>17662</v>
      </c>
      <c r="C6142">
        <f>(1-(B7/100))*3829.6</f>
        <v>3829.6</v>
      </c>
      <c r="D6142" s="1">
        <v>0</v>
      </c>
      <c r="E6142">
        <f>D6142*C6142</f>
        <v>0</v>
      </c>
      <c r="F6142" s="1" t="s">
        <v>17663</v>
      </c>
      <c r="G6142" s="17">
        <v>72794</v>
      </c>
    </row>
    <row r="6143" spans="1:7">
      <c r="A6143" s="1" t="s">
        <v>17664</v>
      </c>
      <c r="B6143" s="1" t="s">
        <v>17665</v>
      </c>
      <c r="C6143">
        <f>(1-(B7/100))*4753.91</f>
        <v>4753.91</v>
      </c>
      <c r="D6143" s="1">
        <v>0</v>
      </c>
      <c r="E6143">
        <f>D6143*C6143</f>
        <v>0</v>
      </c>
      <c r="F6143" s="1" t="s">
        <v>16</v>
      </c>
      <c r="G6143" s="17">
        <v>72804</v>
      </c>
    </row>
    <row r="6144" spans="1:7">
      <c r="A6144" s="1" t="s">
        <v>17666</v>
      </c>
      <c r="B6144" s="1" t="s">
        <v>17667</v>
      </c>
      <c r="C6144">
        <f>(1-(B7/100))*3829.6</f>
        <v>3829.6</v>
      </c>
      <c r="D6144" s="1">
        <v>0</v>
      </c>
      <c r="E6144">
        <f>D6144*C6144</f>
        <v>0</v>
      </c>
      <c r="F6144" s="1" t="s">
        <v>17668</v>
      </c>
      <c r="G6144" s="17">
        <v>72978</v>
      </c>
    </row>
    <row r="6145" spans="1:7">
      <c r="A6145" s="1" t="s">
        <v>17669</v>
      </c>
      <c r="B6145" s="1" t="s">
        <v>17670</v>
      </c>
      <c r="C6145">
        <f>(1-(B7/100))*3829.6</f>
        <v>3829.6</v>
      </c>
      <c r="D6145" s="1">
        <v>0</v>
      </c>
      <c r="E6145">
        <f>D6145*C6145</f>
        <v>0</v>
      </c>
      <c r="F6145" s="1" t="s">
        <v>17671</v>
      </c>
      <c r="G6145" s="17">
        <v>72979</v>
      </c>
    </row>
    <row r="6146" spans="1:7">
      <c r="A6146" s="1" t="s">
        <v>17672</v>
      </c>
      <c r="B6146" s="1" t="s">
        <v>17673</v>
      </c>
      <c r="C6146">
        <f>(1-(B7/100))*3829.6</f>
        <v>3829.6</v>
      </c>
      <c r="D6146" s="1">
        <v>0</v>
      </c>
      <c r="E6146">
        <f>D6146*C6146</f>
        <v>0</v>
      </c>
      <c r="F6146" s="1" t="s">
        <v>17674</v>
      </c>
      <c r="G6146" s="17">
        <v>72980</v>
      </c>
    </row>
    <row r="6147" spans="1:7">
      <c r="A6147" s="1" t="s">
        <v>17675</v>
      </c>
      <c r="B6147" s="1" t="s">
        <v>17676</v>
      </c>
      <c r="C6147">
        <f>(1-(B7/100))*3829.6</f>
        <v>3829.6</v>
      </c>
      <c r="D6147" s="1">
        <v>0</v>
      </c>
      <c r="E6147">
        <f>D6147*C6147</f>
        <v>0</v>
      </c>
      <c r="F6147" s="1" t="s">
        <v>17677</v>
      </c>
      <c r="G6147" s="17">
        <v>72981</v>
      </c>
    </row>
    <row r="6148" spans="1:7">
      <c r="A6148" s="1" t="s">
        <v>17678</v>
      </c>
      <c r="B6148" s="1" t="s">
        <v>17679</v>
      </c>
      <c r="C6148">
        <f>(1-(B7/100))*3829.6</f>
        <v>3829.6</v>
      </c>
      <c r="D6148" s="1">
        <v>0</v>
      </c>
      <c r="E6148">
        <f>D6148*C6148</f>
        <v>0</v>
      </c>
      <c r="F6148" s="1" t="s">
        <v>17680</v>
      </c>
      <c r="G6148" s="17">
        <v>72982</v>
      </c>
    </row>
    <row r="6149" spans="1:7">
      <c r="A6149" s="1" t="s">
        <v>17681</v>
      </c>
      <c r="B6149" s="1" t="s">
        <v>17682</v>
      </c>
      <c r="C6149">
        <f>(1-(B7/100))*3829.6</f>
        <v>3829.6</v>
      </c>
      <c r="D6149" s="1">
        <v>0</v>
      </c>
      <c r="E6149">
        <f>D6149*C6149</f>
        <v>0</v>
      </c>
      <c r="F6149" s="1" t="s">
        <v>17683</v>
      </c>
      <c r="G6149" s="17">
        <v>72983</v>
      </c>
    </row>
    <row r="6150" spans="1:7">
      <c r="A6150" s="1" t="s">
        <v>17684</v>
      </c>
      <c r="B6150" s="1" t="s">
        <v>17685</v>
      </c>
      <c r="C6150">
        <f>(1-(B7/100))*3829.67</f>
        <v>3829.67</v>
      </c>
      <c r="D6150" s="1">
        <v>0</v>
      </c>
      <c r="E6150">
        <f>D6150*C6150</f>
        <v>0</v>
      </c>
      <c r="F6150" s="1" t="s">
        <v>17686</v>
      </c>
      <c r="G6150" s="17">
        <v>72984</v>
      </c>
    </row>
    <row r="6151" spans="1:7">
      <c r="A6151" s="1" t="s">
        <v>17687</v>
      </c>
      <c r="B6151" s="1" t="s">
        <v>17688</v>
      </c>
      <c r="C6151">
        <f>(1-(B7/100))*3829.6</f>
        <v>3829.6</v>
      </c>
      <c r="D6151" s="1">
        <v>0</v>
      </c>
      <c r="E6151">
        <f>D6151*C6151</f>
        <v>0</v>
      </c>
      <c r="F6151" s="1" t="s">
        <v>17689</v>
      </c>
      <c r="G6151" s="17">
        <v>85994</v>
      </c>
    </row>
    <row r="6152" spans="1:7">
      <c r="A6152" s="1" t="s">
        <v>17690</v>
      </c>
      <c r="B6152" s="1" t="s">
        <v>17691</v>
      </c>
      <c r="C6152">
        <f>(1-(B7/100))*3829.6</f>
        <v>3829.6</v>
      </c>
      <c r="D6152" s="1">
        <v>0</v>
      </c>
      <c r="E6152">
        <f>D6152*C6152</f>
        <v>0</v>
      </c>
      <c r="F6152" s="1" t="s">
        <v>17692</v>
      </c>
      <c r="G6152" s="17">
        <v>85999</v>
      </c>
    </row>
    <row r="6153" spans="1:7">
      <c r="A6153" s="1" t="s">
        <v>17693</v>
      </c>
      <c r="B6153" s="1" t="s">
        <v>17694</v>
      </c>
      <c r="C6153">
        <f>(1-(B7/100))*3829.6</f>
        <v>3829.6</v>
      </c>
      <c r="D6153" s="1">
        <v>0</v>
      </c>
      <c r="E6153">
        <f>D6153*C6153</f>
        <v>0</v>
      </c>
      <c r="F6153" s="1" t="s">
        <v>17695</v>
      </c>
      <c r="G6153" s="17">
        <v>86000</v>
      </c>
    </row>
    <row r="6154" spans="1:7">
      <c r="A6154" s="1" t="s">
        <v>17696</v>
      </c>
      <c r="B6154" s="1" t="s">
        <v>17697</v>
      </c>
      <c r="C6154">
        <f>(1-(B7/100))*3829.6</f>
        <v>3829.6</v>
      </c>
      <c r="D6154" s="1">
        <v>0</v>
      </c>
      <c r="E6154">
        <f>D6154*C6154</f>
        <v>0</v>
      </c>
      <c r="F6154" s="1" t="s">
        <v>17698</v>
      </c>
      <c r="G6154" s="17">
        <v>86001</v>
      </c>
    </row>
    <row r="6155" spans="1:7">
      <c r="A6155" s="1" t="s">
        <v>17699</v>
      </c>
      <c r="B6155" s="1" t="s">
        <v>17700</v>
      </c>
      <c r="C6155">
        <f>(1-(B7/100))*3829.6</f>
        <v>3829.6</v>
      </c>
      <c r="D6155" s="1">
        <v>0</v>
      </c>
      <c r="E6155">
        <f>D6155*C6155</f>
        <v>0</v>
      </c>
      <c r="F6155" s="1" t="s">
        <v>17701</v>
      </c>
      <c r="G6155" s="17">
        <v>86002</v>
      </c>
    </row>
    <row r="6156" spans="1:7">
      <c r="A6156" s="1" t="s">
        <v>17702</v>
      </c>
      <c r="B6156" s="1" t="s">
        <v>17703</v>
      </c>
      <c r="C6156">
        <f>(1-(B7/100))*3829.6</f>
        <v>3829.6</v>
      </c>
      <c r="D6156" s="1">
        <v>0</v>
      </c>
      <c r="E6156">
        <f>D6156*C6156</f>
        <v>0</v>
      </c>
      <c r="F6156" s="1" t="s">
        <v>17704</v>
      </c>
      <c r="G6156" s="17">
        <v>86003</v>
      </c>
    </row>
    <row r="6157" spans="1:7">
      <c r="A6157" s="1" t="s">
        <v>17705</v>
      </c>
      <c r="B6157" s="1" t="s">
        <v>17706</v>
      </c>
      <c r="C6157">
        <f>(1-(B7/100))*3829.6</f>
        <v>3829.6</v>
      </c>
      <c r="D6157" s="1">
        <v>0</v>
      </c>
      <c r="E6157">
        <f>D6157*C6157</f>
        <v>0</v>
      </c>
      <c r="F6157" s="1" t="s">
        <v>17707</v>
      </c>
      <c r="G6157" s="17">
        <v>86006</v>
      </c>
    </row>
    <row r="6158" spans="1:7">
      <c r="A6158" s="1" t="s">
        <v>17708</v>
      </c>
      <c r="B6158" s="1" t="s">
        <v>17709</v>
      </c>
      <c r="C6158">
        <f>(1-(B7/100))*3829.6</f>
        <v>3829.6</v>
      </c>
      <c r="D6158" s="1">
        <v>0</v>
      </c>
      <c r="E6158">
        <f>D6158*C6158</f>
        <v>0</v>
      </c>
      <c r="F6158" s="1" t="s">
        <v>17710</v>
      </c>
      <c r="G6158" s="17">
        <v>86182</v>
      </c>
    </row>
    <row r="6159" spans="1:7">
      <c r="A6159" s="1" t="s">
        <v>17711</v>
      </c>
      <c r="B6159" s="1" t="s">
        <v>17712</v>
      </c>
      <c r="C6159">
        <f>(1-(B7/100))*3829.6</f>
        <v>3829.6</v>
      </c>
      <c r="D6159" s="1">
        <v>0</v>
      </c>
      <c r="E6159">
        <f>D6159*C6159</f>
        <v>0</v>
      </c>
      <c r="F6159" s="1" t="s">
        <v>17713</v>
      </c>
      <c r="G6159" s="17">
        <v>86183</v>
      </c>
    </row>
    <row r="6160" spans="1:7">
      <c r="A6160" s="1" t="s">
        <v>17714</v>
      </c>
      <c r="B6160" s="1" t="s">
        <v>17715</v>
      </c>
      <c r="C6160">
        <f>(1-(B7/100))*3829.6</f>
        <v>3829.6</v>
      </c>
      <c r="D6160" s="1">
        <v>0</v>
      </c>
      <c r="E6160">
        <f>D6160*C6160</f>
        <v>0</v>
      </c>
      <c r="F6160" s="1" t="s">
        <v>17716</v>
      </c>
      <c r="G6160" s="17">
        <v>86186</v>
      </c>
    </row>
    <row r="6161" spans="1:7">
      <c r="A6161" s="1" t="s">
        <v>17717</v>
      </c>
      <c r="B6161" s="1" t="s">
        <v>17718</v>
      </c>
      <c r="C6161">
        <f>(1-(B7/100))*6766.06</f>
        <v>6766.06</v>
      </c>
      <c r="D6161" s="1">
        <v>0</v>
      </c>
      <c r="E6161">
        <f>D6161*C6161</f>
        <v>0</v>
      </c>
      <c r="F6161" s="1" t="s">
        <v>17719</v>
      </c>
      <c r="G6161" s="17">
        <v>86896</v>
      </c>
    </row>
    <row r="6162" spans="1:7">
      <c r="A6162" s="1" t="s">
        <v>17720</v>
      </c>
      <c r="B6162" s="1" t="s">
        <v>17721</v>
      </c>
      <c r="C6162">
        <f>(1-(B7/100))*6974.25</f>
        <v>6974.25</v>
      </c>
      <c r="D6162" s="1">
        <v>0</v>
      </c>
      <c r="E6162">
        <f>D6162*C6162</f>
        <v>0</v>
      </c>
      <c r="F6162" s="1" t="s">
        <v>17722</v>
      </c>
      <c r="G6162" s="17">
        <v>86897</v>
      </c>
    </row>
    <row r="6163" spans="1:7">
      <c r="A6163" s="1" t="s">
        <v>17723</v>
      </c>
      <c r="B6163" s="1" t="s">
        <v>17724</v>
      </c>
      <c r="C6163">
        <f>(1-(B7/100))*6791.28</f>
        <v>6791.28</v>
      </c>
      <c r="D6163" s="1">
        <v>0</v>
      </c>
      <c r="E6163">
        <f>D6163*C6163</f>
        <v>0</v>
      </c>
      <c r="F6163" s="1" t="s">
        <v>17725</v>
      </c>
      <c r="G6163" s="17">
        <v>86898</v>
      </c>
    </row>
    <row r="6164" spans="1:7">
      <c r="A6164" s="1" t="s">
        <v>17726</v>
      </c>
      <c r="B6164" s="1" t="s">
        <v>17727</v>
      </c>
      <c r="C6164">
        <f>(1-(B7/100))*6974.25</f>
        <v>6974.25</v>
      </c>
      <c r="D6164" s="1">
        <v>0</v>
      </c>
      <c r="E6164">
        <f>D6164*C6164</f>
        <v>0</v>
      </c>
      <c r="F6164" s="1" t="s">
        <v>17728</v>
      </c>
      <c r="G6164" s="17">
        <v>86900</v>
      </c>
    </row>
    <row r="6165" spans="1:7">
      <c r="A6165" s="1" t="s">
        <v>17729</v>
      </c>
      <c r="B6165" s="1" t="s">
        <v>17730</v>
      </c>
      <c r="C6165">
        <f>(1-(B7/100))*6974.25</f>
        <v>6974.25</v>
      </c>
      <c r="D6165" s="1">
        <v>0</v>
      </c>
      <c r="E6165">
        <f>D6165*C6165</f>
        <v>0</v>
      </c>
      <c r="F6165" s="1" t="s">
        <v>17731</v>
      </c>
      <c r="G6165" s="17">
        <v>86902</v>
      </c>
    </row>
    <row r="6166" spans="1:7">
      <c r="A6166" s="1" t="s">
        <v>17732</v>
      </c>
      <c r="B6166" s="1" t="s">
        <v>17733</v>
      </c>
      <c r="C6166">
        <f>(1-(B7/100))*6791.28</f>
        <v>6791.28</v>
      </c>
      <c r="D6166" s="1">
        <v>0</v>
      </c>
      <c r="E6166">
        <f>D6166*C6166</f>
        <v>0</v>
      </c>
      <c r="F6166" s="1" t="s">
        <v>17734</v>
      </c>
      <c r="G6166" s="17">
        <v>86904</v>
      </c>
    </row>
    <row r="6167" spans="1:7">
      <c r="A6167" s="1" t="s">
        <v>17735</v>
      </c>
      <c r="B6167" s="1" t="s">
        <v>17736</v>
      </c>
      <c r="C6167">
        <f>(1-(B7/100))*676.61</f>
        <v>676.61</v>
      </c>
      <c r="D6167" s="1">
        <v>0</v>
      </c>
      <c r="E6167">
        <f>D6167*C6167</f>
        <v>0</v>
      </c>
      <c r="F6167" s="1" t="s">
        <v>16</v>
      </c>
      <c r="G6167" s="17">
        <v>87890</v>
      </c>
    </row>
    <row r="6168" spans="1:7">
      <c r="A6168" s="16"/>
      <c r="B6168" s="16" t="s">
        <v>17737</v>
      </c>
      <c r="C6168" s="16"/>
      <c r="D6168" s="16"/>
      <c r="E6168" s="16"/>
      <c r="F6168" s="16"/>
    </row>
    <row r="6169" spans="1:7">
      <c r="A6169" s="1" t="s">
        <v>17738</v>
      </c>
      <c r="B6169" s="1" t="s">
        <v>17739</v>
      </c>
      <c r="C6169">
        <f>(1-(B7/100))*3500</f>
        <v>3500</v>
      </c>
      <c r="D6169" s="1">
        <v>0</v>
      </c>
      <c r="E6169">
        <f>D6169*C6169</f>
        <v>0</v>
      </c>
      <c r="F6169" s="1" t="s">
        <v>17740</v>
      </c>
      <c r="G6169" s="17">
        <v>63117</v>
      </c>
    </row>
    <row r="6170" spans="1:7">
      <c r="A6170" s="1" t="s">
        <v>17741</v>
      </c>
      <c r="B6170" s="1" t="s">
        <v>17742</v>
      </c>
      <c r="C6170">
        <f>(1-(B7/100))*3491.05</f>
        <v>3491.05</v>
      </c>
      <c r="D6170" s="1">
        <v>0</v>
      </c>
      <c r="E6170">
        <f>D6170*C6170</f>
        <v>0</v>
      </c>
      <c r="F6170" s="1" t="s">
        <v>17743</v>
      </c>
      <c r="G6170" s="17">
        <v>71241</v>
      </c>
    </row>
    <row r="6171" spans="1:7">
      <c r="A6171" s="1" t="s">
        <v>17744</v>
      </c>
      <c r="B6171" s="1" t="s">
        <v>17745</v>
      </c>
      <c r="C6171">
        <f>(1-(B7/100))*3491.05</f>
        <v>3491.05</v>
      </c>
      <c r="D6171" s="1">
        <v>0</v>
      </c>
      <c r="E6171">
        <f>D6171*C6171</f>
        <v>0</v>
      </c>
      <c r="F6171" s="1" t="s">
        <v>17746</v>
      </c>
      <c r="G6171" s="17">
        <v>71244</v>
      </c>
    </row>
    <row r="6172" spans="1:7">
      <c r="A6172" s="1" t="s">
        <v>17747</v>
      </c>
      <c r="B6172" s="1" t="s">
        <v>17748</v>
      </c>
      <c r="C6172">
        <f>(1-(B7/100))*3500</f>
        <v>3500</v>
      </c>
      <c r="D6172" s="1">
        <v>0</v>
      </c>
      <c r="E6172">
        <f>D6172*C6172</f>
        <v>0</v>
      </c>
      <c r="F6172" s="1" t="s">
        <v>17749</v>
      </c>
      <c r="G6172" s="17">
        <v>71251</v>
      </c>
    </row>
    <row r="6173" spans="1:7">
      <c r="A6173" s="1" t="s">
        <v>17750</v>
      </c>
      <c r="B6173" s="1" t="s">
        <v>17751</v>
      </c>
      <c r="C6173">
        <f>(1-(B7/100))*3491.05</f>
        <v>3491.05</v>
      </c>
      <c r="D6173" s="1">
        <v>0</v>
      </c>
      <c r="E6173">
        <f>D6173*C6173</f>
        <v>0</v>
      </c>
      <c r="F6173" s="1" t="s">
        <v>17752</v>
      </c>
      <c r="G6173" s="17">
        <v>71253</v>
      </c>
    </row>
    <row r="6174" spans="1:7">
      <c r="A6174" s="1" t="s">
        <v>17753</v>
      </c>
      <c r="B6174" s="1" t="s">
        <v>17754</v>
      </c>
      <c r="C6174">
        <f>(1-(B7/100))*3491.05</f>
        <v>3491.05</v>
      </c>
      <c r="D6174" s="1">
        <v>0</v>
      </c>
      <c r="E6174">
        <f>D6174*C6174</f>
        <v>0</v>
      </c>
      <c r="F6174" s="1" t="s">
        <v>17755</v>
      </c>
      <c r="G6174" s="17">
        <v>71256</v>
      </c>
    </row>
    <row r="6175" spans="1:7">
      <c r="A6175" s="1" t="s">
        <v>17756</v>
      </c>
      <c r="B6175" s="1" t="s">
        <v>17757</v>
      </c>
      <c r="C6175">
        <f>(1-(B7/100))*3513.34</f>
        <v>3513.34</v>
      </c>
      <c r="D6175" s="1">
        <v>0</v>
      </c>
      <c r="E6175">
        <f>D6175*C6175</f>
        <v>0</v>
      </c>
      <c r="F6175" s="1" t="s">
        <v>17758</v>
      </c>
      <c r="G6175" s="17">
        <v>71290</v>
      </c>
    </row>
    <row r="6176" spans="1:7">
      <c r="A6176" s="1" t="s">
        <v>17759</v>
      </c>
      <c r="B6176" s="1" t="s">
        <v>17760</v>
      </c>
      <c r="C6176">
        <f>(1-(B7/100))*3122.8</f>
        <v>3122.8</v>
      </c>
      <c r="D6176" s="1">
        <v>0</v>
      </c>
      <c r="E6176">
        <f>D6176*C6176</f>
        <v>0</v>
      </c>
      <c r="F6176" s="1" t="s">
        <v>16</v>
      </c>
      <c r="G6176" s="17">
        <v>71574</v>
      </c>
    </row>
    <row r="6177" spans="1:7">
      <c r="A6177" s="1" t="s">
        <v>17761</v>
      </c>
      <c r="B6177" s="1" t="s">
        <v>17762</v>
      </c>
      <c r="C6177">
        <f>(1-(B7/100))*2963.39</f>
        <v>2963.39</v>
      </c>
      <c r="D6177" s="1">
        <v>0</v>
      </c>
      <c r="E6177">
        <f>D6177*C6177</f>
        <v>0</v>
      </c>
      <c r="F6177" s="1" t="s">
        <v>16</v>
      </c>
      <c r="G6177" s="17">
        <v>72046</v>
      </c>
    </row>
    <row r="6178" spans="1:7">
      <c r="A6178" s="1" t="s">
        <v>17763</v>
      </c>
      <c r="B6178" s="1" t="s">
        <v>17764</v>
      </c>
      <c r="C6178">
        <f>(1-(B7/100))*4157.5</f>
        <v>4157.5</v>
      </c>
      <c r="D6178" s="1">
        <v>0</v>
      </c>
      <c r="E6178">
        <f>D6178*C6178</f>
        <v>0</v>
      </c>
      <c r="F6178" s="1" t="s">
        <v>16</v>
      </c>
      <c r="G6178" s="17">
        <v>72357</v>
      </c>
    </row>
    <row r="6179" spans="1:7">
      <c r="A6179" s="1" t="s">
        <v>17765</v>
      </c>
      <c r="B6179" s="1" t="s">
        <v>17764</v>
      </c>
      <c r="C6179">
        <f>(1-(B7/100))*4402.04</f>
        <v>4402.04</v>
      </c>
      <c r="D6179" s="1">
        <v>0</v>
      </c>
      <c r="E6179">
        <f>D6179*C6179</f>
        <v>0</v>
      </c>
      <c r="F6179" s="1" t="s">
        <v>16</v>
      </c>
      <c r="G6179" s="17">
        <v>72359</v>
      </c>
    </row>
    <row r="6180" spans="1:7">
      <c r="A6180" s="1" t="s">
        <v>17766</v>
      </c>
      <c r="B6180" s="1" t="s">
        <v>17767</v>
      </c>
      <c r="C6180">
        <f>(1-(B7/100))*4402.04</f>
        <v>4402.04</v>
      </c>
      <c r="D6180" s="1">
        <v>0</v>
      </c>
      <c r="E6180">
        <f>D6180*C6180</f>
        <v>0</v>
      </c>
      <c r="F6180" s="1" t="s">
        <v>16</v>
      </c>
      <c r="G6180" s="17">
        <v>72360</v>
      </c>
    </row>
    <row r="6181" spans="1:7">
      <c r="A6181" s="1" t="s">
        <v>17768</v>
      </c>
      <c r="B6181" s="1" t="s">
        <v>17769</v>
      </c>
      <c r="C6181">
        <f>(1-(B7/100))*3500</f>
        <v>3500</v>
      </c>
      <c r="D6181" s="1">
        <v>0</v>
      </c>
      <c r="E6181">
        <f>D6181*C6181</f>
        <v>0</v>
      </c>
      <c r="F6181" s="1" t="s">
        <v>17770</v>
      </c>
      <c r="G6181" s="17">
        <v>73424</v>
      </c>
    </row>
    <row r="6182" spans="1:7">
      <c r="A6182" s="1" t="s">
        <v>17771</v>
      </c>
      <c r="B6182" s="1" t="s">
        <v>17772</v>
      </c>
      <c r="C6182">
        <f>(1-(B7/100))*3525.58</f>
        <v>3525.58</v>
      </c>
      <c r="D6182" s="1">
        <v>0</v>
      </c>
      <c r="E6182">
        <f>D6182*C6182</f>
        <v>0</v>
      </c>
      <c r="F6182" s="1" t="s">
        <v>17773</v>
      </c>
      <c r="G6182" s="17">
        <v>73425</v>
      </c>
    </row>
    <row r="6183" spans="1:7">
      <c r="A6183" s="1" t="s">
        <v>17774</v>
      </c>
      <c r="B6183" s="1" t="s">
        <v>17775</v>
      </c>
      <c r="C6183">
        <f>(1-(B7/100))*5600</f>
        <v>5600</v>
      </c>
      <c r="D6183" s="1">
        <v>0</v>
      </c>
      <c r="E6183">
        <f>D6183*C6183</f>
        <v>0</v>
      </c>
      <c r="F6183" s="1" t="s">
        <v>17776</v>
      </c>
      <c r="G6183" s="17">
        <v>73427</v>
      </c>
    </row>
    <row r="6184" spans="1:7">
      <c r="A6184" s="1" t="s">
        <v>17777</v>
      </c>
      <c r="B6184" s="1" t="s">
        <v>17778</v>
      </c>
      <c r="C6184">
        <f>(1-(B7/100))*3500</f>
        <v>3500</v>
      </c>
      <c r="D6184" s="1">
        <v>0</v>
      </c>
      <c r="E6184">
        <f>D6184*C6184</f>
        <v>0</v>
      </c>
      <c r="F6184" s="1" t="s">
        <v>17779</v>
      </c>
      <c r="G6184" s="17">
        <v>73430</v>
      </c>
    </row>
    <row r="6185" spans="1:7">
      <c r="A6185" s="1" t="s">
        <v>17780</v>
      </c>
      <c r="B6185" s="1" t="s">
        <v>17781</v>
      </c>
      <c r="C6185">
        <f>(1-(B7/100))*3525.58</f>
        <v>3525.58</v>
      </c>
      <c r="D6185" s="1">
        <v>0</v>
      </c>
      <c r="E6185">
        <f>D6185*C6185</f>
        <v>0</v>
      </c>
      <c r="F6185" s="1" t="s">
        <v>17782</v>
      </c>
      <c r="G6185" s="17">
        <v>73431</v>
      </c>
    </row>
    <row r="6186" spans="1:7">
      <c r="A6186" s="1" t="s">
        <v>17783</v>
      </c>
      <c r="B6186" s="1" t="s">
        <v>17784</v>
      </c>
      <c r="C6186">
        <f>(1-(B7/100))*3525.58</f>
        <v>3525.58</v>
      </c>
      <c r="D6186" s="1">
        <v>0</v>
      </c>
      <c r="E6186">
        <f>D6186*C6186</f>
        <v>0</v>
      </c>
      <c r="F6186" s="1" t="s">
        <v>17785</v>
      </c>
      <c r="G6186" s="17">
        <v>73433</v>
      </c>
    </row>
    <row r="6187" spans="1:7">
      <c r="A6187" s="1" t="s">
        <v>17786</v>
      </c>
      <c r="B6187" s="1" t="s">
        <v>17787</v>
      </c>
      <c r="C6187">
        <f>(1-(B7/100))*3513.34</f>
        <v>3513.34</v>
      </c>
      <c r="D6187" s="1">
        <v>0</v>
      </c>
      <c r="E6187">
        <f>D6187*C6187</f>
        <v>0</v>
      </c>
      <c r="F6187" s="1" t="s">
        <v>17788</v>
      </c>
      <c r="G6187" s="17">
        <v>73434</v>
      </c>
    </row>
    <row r="6188" spans="1:7">
      <c r="A6188" s="1" t="s">
        <v>17789</v>
      </c>
      <c r="B6188" s="1" t="s">
        <v>17790</v>
      </c>
      <c r="C6188">
        <f>(1-(B7/100))*3525.58</f>
        <v>3525.58</v>
      </c>
      <c r="D6188" s="1">
        <v>0</v>
      </c>
      <c r="E6188">
        <f>D6188*C6188</f>
        <v>0</v>
      </c>
      <c r="F6188" s="1" t="s">
        <v>17791</v>
      </c>
      <c r="G6188" s="17">
        <v>73436</v>
      </c>
    </row>
    <row r="6189" spans="1:7">
      <c r="A6189" s="1" t="s">
        <v>17792</v>
      </c>
      <c r="B6189" s="1" t="s">
        <v>17793</v>
      </c>
      <c r="C6189">
        <f>(1-(B7/100))*3525.58</f>
        <v>3525.58</v>
      </c>
      <c r="D6189" s="1">
        <v>0</v>
      </c>
      <c r="E6189">
        <f>D6189*C6189</f>
        <v>0</v>
      </c>
      <c r="F6189" s="1" t="s">
        <v>17794</v>
      </c>
      <c r="G6189" s="17">
        <v>73437</v>
      </c>
    </row>
    <row r="6190" spans="1:7">
      <c r="A6190" s="1" t="s">
        <v>17795</v>
      </c>
      <c r="B6190" s="1" t="s">
        <v>17796</v>
      </c>
      <c r="C6190">
        <f>(1-(B7/100))*3525.58</f>
        <v>3525.58</v>
      </c>
      <c r="D6190" s="1">
        <v>0</v>
      </c>
      <c r="E6190">
        <f>D6190*C6190</f>
        <v>0</v>
      </c>
      <c r="F6190" s="1" t="s">
        <v>17797</v>
      </c>
      <c r="G6190" s="17">
        <v>73439</v>
      </c>
    </row>
    <row r="6191" spans="1:7">
      <c r="A6191" s="1" t="s">
        <v>17798</v>
      </c>
      <c r="B6191" s="1" t="s">
        <v>17799</v>
      </c>
      <c r="C6191">
        <f>(1-(B7/100))*3525.58</f>
        <v>3525.58</v>
      </c>
      <c r="D6191" s="1">
        <v>0</v>
      </c>
      <c r="E6191">
        <f>D6191*C6191</f>
        <v>0</v>
      </c>
      <c r="F6191" s="1" t="s">
        <v>17800</v>
      </c>
      <c r="G6191" s="17">
        <v>73440</v>
      </c>
    </row>
    <row r="6192" spans="1:7">
      <c r="A6192" s="1" t="s">
        <v>17801</v>
      </c>
      <c r="B6192" s="1" t="s">
        <v>17802</v>
      </c>
      <c r="C6192">
        <f>(1-(B7/100))*3491.05</f>
        <v>3491.05</v>
      </c>
      <c r="D6192" s="1">
        <v>0</v>
      </c>
      <c r="E6192">
        <f>D6192*C6192</f>
        <v>0</v>
      </c>
      <c r="F6192" s="1" t="s">
        <v>17803</v>
      </c>
      <c r="G6192" s="17">
        <v>73441</v>
      </c>
    </row>
    <row r="6193" spans="1:7">
      <c r="A6193" s="1" t="s">
        <v>17804</v>
      </c>
      <c r="B6193" s="1" t="s">
        <v>17805</v>
      </c>
      <c r="C6193">
        <f>(1-(B7/100))*3500</f>
        <v>3500</v>
      </c>
      <c r="D6193" s="1">
        <v>0</v>
      </c>
      <c r="E6193">
        <f>D6193*C6193</f>
        <v>0</v>
      </c>
      <c r="F6193" s="1" t="s">
        <v>17806</v>
      </c>
      <c r="G6193" s="17">
        <v>73442</v>
      </c>
    </row>
    <row r="6194" spans="1:7">
      <c r="A6194" s="1" t="s">
        <v>17807</v>
      </c>
      <c r="B6194" s="1" t="s">
        <v>17808</v>
      </c>
      <c r="C6194">
        <f>(1-(B7/100))*3491.05</f>
        <v>3491.05</v>
      </c>
      <c r="D6194" s="1">
        <v>0</v>
      </c>
      <c r="E6194">
        <f>D6194*C6194</f>
        <v>0</v>
      </c>
      <c r="F6194" s="1" t="s">
        <v>17809</v>
      </c>
      <c r="G6194" s="17">
        <v>73443</v>
      </c>
    </row>
    <row r="6195" spans="1:7">
      <c r="A6195" s="1" t="s">
        <v>17810</v>
      </c>
      <c r="B6195" s="1" t="s">
        <v>17811</v>
      </c>
      <c r="C6195">
        <f>(1-(B7/100))*3491.05</f>
        <v>3491.05</v>
      </c>
      <c r="D6195" s="1">
        <v>0</v>
      </c>
      <c r="E6195">
        <f>D6195*C6195</f>
        <v>0</v>
      </c>
      <c r="F6195" s="1" t="s">
        <v>17812</v>
      </c>
      <c r="G6195" s="17">
        <v>73444</v>
      </c>
    </row>
    <row r="6196" spans="1:7">
      <c r="A6196" s="1" t="s">
        <v>17813</v>
      </c>
      <c r="B6196" s="1" t="s">
        <v>17814</v>
      </c>
      <c r="C6196">
        <f>(1-(B7/100))*3525.58</f>
        <v>3525.58</v>
      </c>
      <c r="D6196" s="1">
        <v>0</v>
      </c>
      <c r="E6196">
        <f>D6196*C6196</f>
        <v>0</v>
      </c>
      <c r="F6196" s="1" t="s">
        <v>17815</v>
      </c>
      <c r="G6196" s="17">
        <v>73445</v>
      </c>
    </row>
    <row r="6197" spans="1:7">
      <c r="A6197" s="1" t="s">
        <v>17816</v>
      </c>
      <c r="B6197" s="1" t="s">
        <v>17817</v>
      </c>
      <c r="C6197">
        <f>(1-(B7/100))*3525.58</f>
        <v>3525.58</v>
      </c>
      <c r="D6197" s="1">
        <v>0</v>
      </c>
      <c r="E6197">
        <f>D6197*C6197</f>
        <v>0</v>
      </c>
      <c r="F6197" s="1" t="s">
        <v>17818</v>
      </c>
      <c r="G6197" s="17">
        <v>73446</v>
      </c>
    </row>
    <row r="6198" spans="1:7">
      <c r="A6198" s="1" t="s">
        <v>17819</v>
      </c>
      <c r="B6198" s="1" t="s">
        <v>17820</v>
      </c>
      <c r="C6198">
        <f>(1-(B7/100))*3500</f>
        <v>3500</v>
      </c>
      <c r="D6198" s="1">
        <v>0</v>
      </c>
      <c r="E6198">
        <f>D6198*C6198</f>
        <v>0</v>
      </c>
      <c r="F6198" s="1" t="s">
        <v>17821</v>
      </c>
      <c r="G6198" s="17">
        <v>73448</v>
      </c>
    </row>
    <row r="6199" spans="1:7">
      <c r="A6199" s="1" t="s">
        <v>17822</v>
      </c>
      <c r="B6199" s="1" t="s">
        <v>17823</v>
      </c>
      <c r="C6199">
        <f>(1-(B7/100))*3491.05</f>
        <v>3491.05</v>
      </c>
      <c r="D6199" s="1">
        <v>0</v>
      </c>
      <c r="E6199">
        <f>D6199*C6199</f>
        <v>0</v>
      </c>
      <c r="F6199" s="1" t="s">
        <v>17824</v>
      </c>
      <c r="G6199" s="17">
        <v>73449</v>
      </c>
    </row>
    <row r="6200" spans="1:7">
      <c r="A6200" s="1" t="s">
        <v>17825</v>
      </c>
      <c r="B6200" s="1" t="s">
        <v>17826</v>
      </c>
      <c r="C6200">
        <f>(1-(B7/100))*3491.05</f>
        <v>3491.05</v>
      </c>
      <c r="D6200" s="1">
        <v>0</v>
      </c>
      <c r="E6200">
        <f>D6200*C6200</f>
        <v>0</v>
      </c>
      <c r="F6200" s="1" t="s">
        <v>17827</v>
      </c>
      <c r="G6200" s="17">
        <v>73450</v>
      </c>
    </row>
    <row r="6201" spans="1:7">
      <c r="A6201" s="1" t="s">
        <v>17828</v>
      </c>
      <c r="B6201" s="1" t="s">
        <v>17829</v>
      </c>
      <c r="C6201">
        <f>(1-(B7/100))*3525.58</f>
        <v>3525.58</v>
      </c>
      <c r="D6201" s="1">
        <v>0</v>
      </c>
      <c r="E6201">
        <f>D6201*C6201</f>
        <v>0</v>
      </c>
      <c r="F6201" s="1" t="s">
        <v>17830</v>
      </c>
      <c r="G6201" s="17">
        <v>73451</v>
      </c>
    </row>
    <row r="6202" spans="1:7">
      <c r="A6202" s="1" t="s">
        <v>17831</v>
      </c>
      <c r="B6202" s="1" t="s">
        <v>17832</v>
      </c>
      <c r="C6202">
        <f>(1-(B7/100))*4892.38</f>
        <v>4892.38</v>
      </c>
      <c r="D6202" s="1">
        <v>0</v>
      </c>
      <c r="E6202">
        <f>D6202*C6202</f>
        <v>0</v>
      </c>
      <c r="F6202" s="1" t="s">
        <v>17833</v>
      </c>
      <c r="G6202" s="17">
        <v>74268</v>
      </c>
    </row>
    <row r="6203" spans="1:7">
      <c r="A6203" s="1" t="s">
        <v>17834</v>
      </c>
      <c r="B6203" s="1" t="s">
        <v>17835</v>
      </c>
      <c r="C6203">
        <f>(1-(B7/100))*4892.38</f>
        <v>4892.38</v>
      </c>
      <c r="D6203" s="1">
        <v>0</v>
      </c>
      <c r="E6203">
        <f>D6203*C6203</f>
        <v>0</v>
      </c>
      <c r="F6203" s="1" t="s">
        <v>17836</v>
      </c>
      <c r="G6203" s="17">
        <v>74269</v>
      </c>
    </row>
    <row r="6204" spans="1:7">
      <c r="A6204" s="1" t="s">
        <v>17837</v>
      </c>
      <c r="B6204" s="1" t="s">
        <v>17838</v>
      </c>
      <c r="C6204">
        <f>(1-(B7/100))*4892.38</f>
        <v>4892.38</v>
      </c>
      <c r="D6204" s="1">
        <v>0</v>
      </c>
      <c r="E6204">
        <f>D6204*C6204</f>
        <v>0</v>
      </c>
      <c r="F6204" s="1" t="s">
        <v>17839</v>
      </c>
      <c r="G6204" s="17">
        <v>74270</v>
      </c>
    </row>
    <row r="6205" spans="1:7">
      <c r="A6205" s="1" t="s">
        <v>17840</v>
      </c>
      <c r="B6205" s="1" t="s">
        <v>17841</v>
      </c>
      <c r="C6205">
        <f>(1-(B7/100))*4892.38</f>
        <v>4892.38</v>
      </c>
      <c r="D6205" s="1">
        <v>0</v>
      </c>
      <c r="E6205">
        <f>D6205*C6205</f>
        <v>0</v>
      </c>
      <c r="F6205" s="1" t="s">
        <v>17842</v>
      </c>
      <c r="G6205" s="17">
        <v>74271</v>
      </c>
    </row>
    <row r="6206" spans="1:7">
      <c r="A6206" s="1" t="s">
        <v>17843</v>
      </c>
      <c r="B6206" s="1" t="s">
        <v>17844</v>
      </c>
      <c r="C6206">
        <f>(1-(B7/100))*4892.38</f>
        <v>4892.38</v>
      </c>
      <c r="D6206" s="1">
        <v>0</v>
      </c>
      <c r="E6206">
        <f>D6206*C6206</f>
        <v>0</v>
      </c>
      <c r="F6206" s="1" t="s">
        <v>17845</v>
      </c>
      <c r="G6206" s="17">
        <v>74272</v>
      </c>
    </row>
    <row r="6207" spans="1:7">
      <c r="A6207" s="1" t="s">
        <v>17846</v>
      </c>
      <c r="B6207" s="1" t="s">
        <v>17847</v>
      </c>
      <c r="C6207">
        <f>(1-(B7/100))*4892.38</f>
        <v>4892.38</v>
      </c>
      <c r="D6207" s="1">
        <v>0</v>
      </c>
      <c r="E6207">
        <f>D6207*C6207</f>
        <v>0</v>
      </c>
      <c r="F6207" s="1" t="s">
        <v>17848</v>
      </c>
      <c r="G6207" s="17">
        <v>74273</v>
      </c>
    </row>
    <row r="6208" spans="1:7">
      <c r="A6208" s="1" t="s">
        <v>17849</v>
      </c>
      <c r="B6208" s="1" t="s">
        <v>17850</v>
      </c>
      <c r="C6208">
        <f>(1-(B7/100))*4892.38</f>
        <v>4892.38</v>
      </c>
      <c r="D6208" s="1">
        <v>0</v>
      </c>
      <c r="E6208">
        <f>D6208*C6208</f>
        <v>0</v>
      </c>
      <c r="F6208" s="1" t="s">
        <v>17851</v>
      </c>
      <c r="G6208" s="17">
        <v>74274</v>
      </c>
    </row>
    <row r="6209" spans="1:7">
      <c r="A6209" s="1" t="s">
        <v>17852</v>
      </c>
      <c r="B6209" s="1" t="s">
        <v>17853</v>
      </c>
      <c r="C6209">
        <f>(1-(B7/100))*4892.38</f>
        <v>4892.38</v>
      </c>
      <c r="D6209" s="1">
        <v>0</v>
      </c>
      <c r="E6209">
        <f>D6209*C6209</f>
        <v>0</v>
      </c>
      <c r="F6209" s="1" t="s">
        <v>17854</v>
      </c>
      <c r="G6209" s="17">
        <v>74275</v>
      </c>
    </row>
    <row r="6210" spans="1:7">
      <c r="A6210" s="1" t="s">
        <v>17855</v>
      </c>
      <c r="B6210" s="1" t="s">
        <v>17856</v>
      </c>
      <c r="C6210">
        <f>(1-(B7/100))*4892.38</f>
        <v>4892.38</v>
      </c>
      <c r="D6210" s="1">
        <v>0</v>
      </c>
      <c r="E6210">
        <f>D6210*C6210</f>
        <v>0</v>
      </c>
      <c r="F6210" s="1" t="s">
        <v>17857</v>
      </c>
      <c r="G6210" s="17">
        <v>74278</v>
      </c>
    </row>
    <row r="6211" spans="1:7">
      <c r="A6211" s="1" t="s">
        <v>17858</v>
      </c>
      <c r="B6211" s="1" t="s">
        <v>17841</v>
      </c>
      <c r="C6211">
        <f>(1-(B7/100))*4892.38</f>
        <v>4892.38</v>
      </c>
      <c r="D6211" s="1">
        <v>0</v>
      </c>
      <c r="E6211">
        <f>D6211*C6211</f>
        <v>0</v>
      </c>
      <c r="F6211" s="1" t="s">
        <v>17859</v>
      </c>
      <c r="G6211" s="17">
        <v>74283</v>
      </c>
    </row>
    <row r="6212" spans="1:7">
      <c r="A6212" s="1" t="s">
        <v>17860</v>
      </c>
      <c r="B6212" s="1" t="s">
        <v>17832</v>
      </c>
      <c r="C6212">
        <f>(1-(B7/100))*4892.38</f>
        <v>4892.38</v>
      </c>
      <c r="D6212" s="1">
        <v>0</v>
      </c>
      <c r="E6212">
        <f>D6212*C6212</f>
        <v>0</v>
      </c>
      <c r="F6212" s="1" t="s">
        <v>17861</v>
      </c>
      <c r="G6212" s="17">
        <v>74284</v>
      </c>
    </row>
    <row r="6213" spans="1:7">
      <c r="A6213" s="1" t="s">
        <v>17862</v>
      </c>
      <c r="B6213" s="1" t="s">
        <v>17835</v>
      </c>
      <c r="C6213">
        <f>(1-(B7/100))*4892.38</f>
        <v>4892.38</v>
      </c>
      <c r="D6213" s="1">
        <v>0</v>
      </c>
      <c r="E6213">
        <f>D6213*C6213</f>
        <v>0</v>
      </c>
      <c r="F6213" s="1" t="s">
        <v>17863</v>
      </c>
      <c r="G6213" s="17">
        <v>74285</v>
      </c>
    </row>
    <row r="6214" spans="1:7">
      <c r="A6214" s="1" t="s">
        <v>17864</v>
      </c>
      <c r="B6214" s="1" t="s">
        <v>17838</v>
      </c>
      <c r="C6214">
        <f>(1-(B7/100))*4892.38</f>
        <v>4892.38</v>
      </c>
      <c r="D6214" s="1">
        <v>0</v>
      </c>
      <c r="E6214">
        <f>D6214*C6214</f>
        <v>0</v>
      </c>
      <c r="F6214" s="1" t="s">
        <v>17865</v>
      </c>
      <c r="G6214" s="17">
        <v>74286</v>
      </c>
    </row>
    <row r="6215" spans="1:7">
      <c r="A6215" s="1" t="s">
        <v>17866</v>
      </c>
      <c r="B6215" s="1" t="s">
        <v>17841</v>
      </c>
      <c r="C6215">
        <f>(1-(B7/100))*4892.38</f>
        <v>4892.38</v>
      </c>
      <c r="D6215" s="1">
        <v>0</v>
      </c>
      <c r="E6215">
        <f>D6215*C6215</f>
        <v>0</v>
      </c>
      <c r="F6215" s="1" t="s">
        <v>17867</v>
      </c>
      <c r="G6215" s="17">
        <v>74287</v>
      </c>
    </row>
    <row r="6216" spans="1:7">
      <c r="A6216" s="1" t="s">
        <v>17868</v>
      </c>
      <c r="B6216" s="1" t="s">
        <v>17869</v>
      </c>
      <c r="C6216">
        <f>(1-(B7/100))*4892.38</f>
        <v>4892.38</v>
      </c>
      <c r="D6216" s="1">
        <v>0</v>
      </c>
      <c r="E6216">
        <f>D6216*C6216</f>
        <v>0</v>
      </c>
      <c r="F6216" s="1" t="s">
        <v>17870</v>
      </c>
      <c r="G6216" s="17">
        <v>74288</v>
      </c>
    </row>
    <row r="6217" spans="1:7">
      <c r="A6217" s="1" t="s">
        <v>17871</v>
      </c>
      <c r="B6217" s="1" t="s">
        <v>17872</v>
      </c>
      <c r="C6217">
        <f>(1-(B7/100))*4892.38</f>
        <v>4892.38</v>
      </c>
      <c r="D6217" s="1">
        <v>0</v>
      </c>
      <c r="E6217">
        <f>D6217*C6217</f>
        <v>0</v>
      </c>
      <c r="F6217" s="1" t="s">
        <v>17873</v>
      </c>
      <c r="G6217" s="17">
        <v>74289</v>
      </c>
    </row>
    <row r="6218" spans="1:7">
      <c r="A6218" s="1" t="s">
        <v>17874</v>
      </c>
      <c r="B6218" s="1" t="s">
        <v>17856</v>
      </c>
      <c r="C6218">
        <f>(1-(B7/100))*4892.38</f>
        <v>4892.38</v>
      </c>
      <c r="D6218" s="1">
        <v>0</v>
      </c>
      <c r="E6218">
        <f>D6218*C6218</f>
        <v>0</v>
      </c>
      <c r="F6218" s="1" t="s">
        <v>17875</v>
      </c>
      <c r="G6218" s="17">
        <v>74291</v>
      </c>
    </row>
    <row r="6219" spans="1:7">
      <c r="A6219" s="1" t="s">
        <v>17876</v>
      </c>
      <c r="B6219" s="1" t="s">
        <v>17877</v>
      </c>
      <c r="C6219">
        <f>(1-(B7/100))*4892.38</f>
        <v>4892.38</v>
      </c>
      <c r="D6219" s="1">
        <v>0</v>
      </c>
      <c r="E6219">
        <f>D6219*C6219</f>
        <v>0</v>
      </c>
      <c r="F6219" s="1" t="s">
        <v>17878</v>
      </c>
      <c r="G6219" s="17">
        <v>74292</v>
      </c>
    </row>
    <row r="6220" spans="1:7">
      <c r="A6220" s="1" t="s">
        <v>17879</v>
      </c>
      <c r="B6220" s="1" t="s">
        <v>17880</v>
      </c>
      <c r="C6220">
        <f>(1-(B7/100))*4892.38</f>
        <v>4892.38</v>
      </c>
      <c r="D6220" s="1">
        <v>0</v>
      </c>
      <c r="E6220">
        <f>D6220*C6220</f>
        <v>0</v>
      </c>
      <c r="F6220" s="1" t="s">
        <v>17881</v>
      </c>
      <c r="G6220" s="17">
        <v>74293</v>
      </c>
    </row>
    <row r="6221" spans="1:7">
      <c r="A6221" s="1" t="s">
        <v>17882</v>
      </c>
      <c r="B6221" s="1" t="s">
        <v>17883</v>
      </c>
      <c r="C6221">
        <f>(1-(B7/100))*4892.38</f>
        <v>4892.38</v>
      </c>
      <c r="D6221" s="1">
        <v>0</v>
      </c>
      <c r="E6221">
        <f>D6221*C6221</f>
        <v>0</v>
      </c>
      <c r="F6221" s="1" t="s">
        <v>17884</v>
      </c>
      <c r="G6221" s="17">
        <v>74295</v>
      </c>
    </row>
    <row r="6222" spans="1:7">
      <c r="A6222" s="1" t="s">
        <v>17885</v>
      </c>
      <c r="B6222" s="1" t="s">
        <v>17886</v>
      </c>
      <c r="C6222">
        <f>(1-(B7/100))*5700</f>
        <v>5700</v>
      </c>
      <c r="D6222" s="1">
        <v>0</v>
      </c>
      <c r="E6222">
        <f>D6222*C6222</f>
        <v>0</v>
      </c>
      <c r="F6222" s="1" t="s">
        <v>17887</v>
      </c>
      <c r="G6222" s="17">
        <v>86875</v>
      </c>
    </row>
    <row r="6223" spans="1:7">
      <c r="A6223" s="1" t="s">
        <v>17888</v>
      </c>
      <c r="B6223" s="1" t="s">
        <v>17889</v>
      </c>
      <c r="C6223">
        <f>(1-(B7/100))*5700</f>
        <v>5700</v>
      </c>
      <c r="D6223" s="1">
        <v>0</v>
      </c>
      <c r="E6223">
        <f>D6223*C6223</f>
        <v>0</v>
      </c>
      <c r="F6223" s="1" t="s">
        <v>17890</v>
      </c>
      <c r="G6223" s="17">
        <v>86876</v>
      </c>
    </row>
    <row r="6224" spans="1:7">
      <c r="A6224" s="1" t="s">
        <v>17891</v>
      </c>
      <c r="B6224" s="1" t="s">
        <v>17892</v>
      </c>
      <c r="C6224">
        <f>(1-(B7/100))*5700</f>
        <v>5700</v>
      </c>
      <c r="D6224" s="1">
        <v>0</v>
      </c>
      <c r="E6224">
        <f>D6224*C6224</f>
        <v>0</v>
      </c>
      <c r="F6224" s="1" t="s">
        <v>17893</v>
      </c>
      <c r="G6224" s="17">
        <v>86877</v>
      </c>
    </row>
    <row r="6225" spans="1:7">
      <c r="A6225" s="1" t="s">
        <v>17894</v>
      </c>
      <c r="B6225" s="1" t="s">
        <v>17895</v>
      </c>
      <c r="C6225">
        <f>(1-(B7/100))*5600</f>
        <v>5600</v>
      </c>
      <c r="D6225" s="1">
        <v>0</v>
      </c>
      <c r="E6225">
        <f>D6225*C6225</f>
        <v>0</v>
      </c>
      <c r="F6225" s="1" t="s">
        <v>17896</v>
      </c>
      <c r="G6225" s="17">
        <v>86884</v>
      </c>
    </row>
    <row r="6226" spans="1:7">
      <c r="A6226" s="1" t="s">
        <v>17897</v>
      </c>
      <c r="B6226" s="1" t="s">
        <v>17898</v>
      </c>
      <c r="C6226">
        <f>(1-(B7/100))*5600</f>
        <v>5600</v>
      </c>
      <c r="D6226" s="1">
        <v>0</v>
      </c>
      <c r="E6226">
        <f>D6226*C6226</f>
        <v>0</v>
      </c>
      <c r="F6226" s="1" t="s">
        <v>17899</v>
      </c>
      <c r="G6226" s="17">
        <v>86885</v>
      </c>
    </row>
    <row r="6227" spans="1:7">
      <c r="A6227" s="1" t="s">
        <v>17900</v>
      </c>
      <c r="B6227" s="1" t="s">
        <v>17901</v>
      </c>
      <c r="C6227">
        <f>(1-(B7/100))*5600</f>
        <v>5600</v>
      </c>
      <c r="D6227" s="1">
        <v>0</v>
      </c>
      <c r="E6227">
        <f>D6227*C6227</f>
        <v>0</v>
      </c>
      <c r="F6227" s="1" t="s">
        <v>17902</v>
      </c>
      <c r="G6227" s="17">
        <v>86886</v>
      </c>
    </row>
    <row r="6228" spans="1:7">
      <c r="A6228" s="16"/>
      <c r="B6228" s="16" t="s">
        <v>17903</v>
      </c>
      <c r="C6228" s="16"/>
      <c r="D6228" s="16"/>
      <c r="E6228" s="16"/>
      <c r="F6228" s="16"/>
    </row>
    <row r="6229" spans="1:7">
      <c r="A6229" s="1" t="s">
        <v>17904</v>
      </c>
      <c r="B6229" s="1" t="s">
        <v>17905</v>
      </c>
      <c r="C6229">
        <f>(1-(B7/100))*1740.18</f>
        <v>1740.18</v>
      </c>
      <c r="D6229" s="1">
        <v>0</v>
      </c>
      <c r="E6229">
        <f>D6229*C6229</f>
        <v>0</v>
      </c>
      <c r="F6229" s="1" t="s">
        <v>16</v>
      </c>
      <c r="G6229" s="17">
        <v>72319</v>
      </c>
    </row>
    <row r="6230" spans="1:7">
      <c r="A6230" s="1" t="s">
        <v>17906</v>
      </c>
      <c r="B6230" s="1" t="s">
        <v>17907</v>
      </c>
      <c r="C6230">
        <f>(1-(B7/100))*1143.55</f>
        <v>1143.55</v>
      </c>
      <c r="D6230" s="1">
        <v>0</v>
      </c>
      <c r="E6230">
        <f>D6230*C6230</f>
        <v>0</v>
      </c>
      <c r="F6230" s="1" t="s">
        <v>17908</v>
      </c>
      <c r="G6230" s="17">
        <v>77278</v>
      </c>
    </row>
    <row r="6231" spans="1:7">
      <c r="A6231" s="1" t="s">
        <v>17909</v>
      </c>
      <c r="B6231" s="1" t="s">
        <v>17910</v>
      </c>
      <c r="C6231">
        <f>(1-(B7/100))*1970.76</f>
        <v>1970.76</v>
      </c>
      <c r="D6231" s="1">
        <v>0</v>
      </c>
      <c r="E6231">
        <f>D6231*C6231</f>
        <v>0</v>
      </c>
      <c r="F6231" s="1" t="s">
        <v>17911</v>
      </c>
      <c r="G6231" s="17">
        <v>86871</v>
      </c>
    </row>
    <row r="6232" spans="1:7">
      <c r="A6232" s="1" t="s">
        <v>17912</v>
      </c>
      <c r="B6232" s="1" t="s">
        <v>17913</v>
      </c>
      <c r="C6232">
        <f>(1-(B7/100))*2927.98</f>
        <v>2927.98</v>
      </c>
      <c r="D6232" s="1">
        <v>0</v>
      </c>
      <c r="E6232">
        <f>D6232*C6232</f>
        <v>0</v>
      </c>
      <c r="F6232" s="1" t="s">
        <v>17914</v>
      </c>
      <c r="G6232" s="17">
        <v>86887</v>
      </c>
    </row>
    <row r="6233" spans="1:7">
      <c r="A6233" s="1" t="s">
        <v>17915</v>
      </c>
      <c r="B6233" s="1" t="s">
        <v>17916</v>
      </c>
      <c r="C6233">
        <f>(1-(B7/100))*3498.74</f>
        <v>3498.74</v>
      </c>
      <c r="D6233" s="1">
        <v>0</v>
      </c>
      <c r="E6233">
        <f>D6233*C6233</f>
        <v>0</v>
      </c>
      <c r="F6233" s="1" t="s">
        <v>17917</v>
      </c>
      <c r="G6233" s="17">
        <v>86888</v>
      </c>
    </row>
    <row r="6234" spans="1:7">
      <c r="A6234" s="1" t="s">
        <v>17918</v>
      </c>
      <c r="B6234" s="1" t="s">
        <v>17919</v>
      </c>
      <c r="C6234">
        <f>(1-(B7/100))*3476.81</f>
        <v>3476.81</v>
      </c>
      <c r="D6234" s="1">
        <v>0</v>
      </c>
      <c r="E6234">
        <f>D6234*C6234</f>
        <v>0</v>
      </c>
      <c r="F6234" s="1" t="s">
        <v>17920</v>
      </c>
      <c r="G6234" s="17">
        <v>86890</v>
      </c>
    </row>
    <row r="6235" spans="1:7">
      <c r="A6235" s="1" t="s">
        <v>17921</v>
      </c>
      <c r="B6235" s="1" t="s">
        <v>17922</v>
      </c>
      <c r="C6235">
        <f>(1-(B7/100))*3485.79</f>
        <v>3485.79</v>
      </c>
      <c r="D6235" s="1">
        <v>0</v>
      </c>
      <c r="E6235">
        <f>D6235*C6235</f>
        <v>0</v>
      </c>
      <c r="F6235" s="1" t="s">
        <v>17923</v>
      </c>
      <c r="G6235" s="17">
        <v>86891</v>
      </c>
    </row>
    <row r="6236" spans="1:7">
      <c r="A6236" s="1" t="s">
        <v>17924</v>
      </c>
      <c r="B6236" s="1" t="s">
        <v>17925</v>
      </c>
      <c r="C6236">
        <f>(1-(B7/100))*3498.74</f>
        <v>3498.74</v>
      </c>
      <c r="D6236" s="1">
        <v>0</v>
      </c>
      <c r="E6236">
        <f>D6236*C6236</f>
        <v>0</v>
      </c>
      <c r="F6236" s="1" t="s">
        <v>17926</v>
      </c>
      <c r="G6236" s="17">
        <v>86892</v>
      </c>
    </row>
    <row r="6237" spans="1:7">
      <c r="A6237" s="1" t="s">
        <v>17927</v>
      </c>
      <c r="B6237" s="1" t="s">
        <v>17928</v>
      </c>
      <c r="C6237">
        <f>(1-(B7/100))*3476.81</f>
        <v>3476.81</v>
      </c>
      <c r="D6237" s="1">
        <v>0</v>
      </c>
      <c r="E6237">
        <f>D6237*C6237</f>
        <v>0</v>
      </c>
      <c r="F6237" s="1" t="s">
        <v>17929</v>
      </c>
      <c r="G6237" s="17">
        <v>86893</v>
      </c>
    </row>
    <row r="6238" spans="1:7">
      <c r="A6238" s="1" t="s">
        <v>17930</v>
      </c>
      <c r="B6238" s="1" t="s">
        <v>17931</v>
      </c>
      <c r="C6238">
        <f>(1-(B7/100))*2927.98</f>
        <v>2927.98</v>
      </c>
      <c r="D6238" s="1">
        <v>0</v>
      </c>
      <c r="E6238">
        <f>D6238*C6238</f>
        <v>0</v>
      </c>
      <c r="F6238" s="1" t="s">
        <v>17932</v>
      </c>
      <c r="G6238" s="17">
        <v>86894</v>
      </c>
    </row>
    <row r="6239" spans="1:7">
      <c r="A6239" s="1" t="s">
        <v>17933</v>
      </c>
      <c r="B6239" s="1" t="s">
        <v>17934</v>
      </c>
      <c r="C6239">
        <f>(1-(B7/100))*1991.12</f>
        <v>1991.12</v>
      </c>
      <c r="D6239" s="1">
        <v>0</v>
      </c>
      <c r="E6239">
        <f>D6239*C6239</f>
        <v>0</v>
      </c>
      <c r="F6239" s="1" t="s">
        <v>17935</v>
      </c>
      <c r="G6239" s="17">
        <v>86906</v>
      </c>
    </row>
    <row r="6240" spans="1:7">
      <c r="A6240" s="1" t="s">
        <v>17936</v>
      </c>
      <c r="B6240" s="1" t="s">
        <v>17937</v>
      </c>
      <c r="C6240">
        <f>(1-(B7/100))*1609.9</f>
        <v>1609.9</v>
      </c>
      <c r="D6240" s="1">
        <v>0</v>
      </c>
      <c r="E6240">
        <f>D6240*C6240</f>
        <v>0</v>
      </c>
      <c r="F6240" s="1" t="s">
        <v>17938</v>
      </c>
      <c r="G6240" s="17">
        <v>86907</v>
      </c>
    </row>
    <row r="6241" spans="1:7">
      <c r="A6241" s="1" t="s">
        <v>17939</v>
      </c>
      <c r="B6241" s="1" t="s">
        <v>17940</v>
      </c>
      <c r="C6241">
        <f>(1-(B7/100))*1609.9</f>
        <v>1609.9</v>
      </c>
      <c r="D6241" s="1">
        <v>0</v>
      </c>
      <c r="E6241">
        <f>D6241*C6241</f>
        <v>0</v>
      </c>
      <c r="F6241" s="1" t="s">
        <v>17941</v>
      </c>
      <c r="G6241" s="17">
        <v>86908</v>
      </c>
    </row>
    <row r="6242" spans="1:7">
      <c r="A6242" s="1" t="s">
        <v>17942</v>
      </c>
      <c r="B6242" s="1" t="s">
        <v>17943</v>
      </c>
      <c r="C6242">
        <f>(1-(B7/100))*2281.37</f>
        <v>2281.37</v>
      </c>
      <c r="D6242" s="1">
        <v>0</v>
      </c>
      <c r="E6242">
        <f>D6242*C6242</f>
        <v>0</v>
      </c>
      <c r="F6242" s="1" t="s">
        <v>17944</v>
      </c>
      <c r="G6242" s="17">
        <v>86910</v>
      </c>
    </row>
    <row r="6243" spans="1:7">
      <c r="A6243" s="1" t="s">
        <v>17945</v>
      </c>
      <c r="B6243" s="1" t="s">
        <v>17946</v>
      </c>
      <c r="C6243">
        <f>(1-(B7/100))*1970.76</f>
        <v>1970.76</v>
      </c>
      <c r="D6243" s="1">
        <v>0</v>
      </c>
      <c r="E6243">
        <f>D6243*C6243</f>
        <v>0</v>
      </c>
      <c r="F6243" s="1" t="s">
        <v>17947</v>
      </c>
      <c r="G6243" s="17">
        <v>86915</v>
      </c>
    </row>
    <row r="6244" spans="1:7">
      <c r="A6244" s="16"/>
      <c r="B6244" s="16" t="s">
        <v>17948</v>
      </c>
      <c r="C6244" s="16"/>
      <c r="D6244" s="16"/>
      <c r="E6244" s="16"/>
      <c r="F6244" s="16"/>
    </row>
    <row r="6245" spans="1:7">
      <c r="A6245" s="1" t="s">
        <v>17949</v>
      </c>
      <c r="B6245" s="1" t="s">
        <v>17950</v>
      </c>
      <c r="C6245">
        <f>(1-(B7/100))*1040.93</f>
        <v>1040.93</v>
      </c>
      <c r="D6245" s="1">
        <v>0</v>
      </c>
      <c r="E6245">
        <f>D6245*C6245</f>
        <v>0</v>
      </c>
      <c r="F6245" s="1" t="s">
        <v>17951</v>
      </c>
      <c r="G6245" s="17">
        <v>63741</v>
      </c>
    </row>
    <row r="6246" spans="1:7">
      <c r="A6246" s="1" t="s">
        <v>17952</v>
      </c>
      <c r="B6246" s="1" t="s">
        <v>17953</v>
      </c>
      <c r="C6246">
        <f>(1-(B7/100))*1040.93</f>
        <v>1040.93</v>
      </c>
      <c r="D6246" s="1">
        <v>0</v>
      </c>
      <c r="E6246">
        <f>D6246*C6246</f>
        <v>0</v>
      </c>
      <c r="F6246" s="1" t="s">
        <v>17954</v>
      </c>
      <c r="G6246" s="17">
        <v>63743</v>
      </c>
    </row>
    <row r="6247" spans="1:7">
      <c r="A6247" s="1" t="s">
        <v>17955</v>
      </c>
      <c r="B6247" s="1" t="s">
        <v>17956</v>
      </c>
      <c r="C6247">
        <f>(1-(B7/100))*991</f>
        <v>991</v>
      </c>
      <c r="D6247" s="1">
        <v>0</v>
      </c>
      <c r="E6247">
        <f>D6247*C6247</f>
        <v>0</v>
      </c>
      <c r="F6247" s="1" t="s">
        <v>17957</v>
      </c>
      <c r="G6247" s="17">
        <v>64990</v>
      </c>
    </row>
    <row r="6248" spans="1:7">
      <c r="A6248" s="1" t="s">
        <v>17958</v>
      </c>
      <c r="B6248" s="1" t="s">
        <v>17959</v>
      </c>
      <c r="C6248">
        <f>(1-(B7/100))*991</f>
        <v>991</v>
      </c>
      <c r="D6248" s="1">
        <v>0</v>
      </c>
      <c r="E6248">
        <f>D6248*C6248</f>
        <v>0</v>
      </c>
      <c r="F6248" s="1" t="s">
        <v>17960</v>
      </c>
      <c r="G6248" s="17">
        <v>64991</v>
      </c>
    </row>
    <row r="6249" spans="1:7">
      <c r="A6249" s="1" t="s">
        <v>17961</v>
      </c>
      <c r="B6249" s="1" t="s">
        <v>17962</v>
      </c>
      <c r="C6249">
        <f>(1-(B7/100))*990.21</f>
        <v>990.21</v>
      </c>
      <c r="D6249" s="1">
        <v>0</v>
      </c>
      <c r="E6249">
        <f>D6249*C6249</f>
        <v>0</v>
      </c>
      <c r="F6249" s="1" t="s">
        <v>17963</v>
      </c>
      <c r="G6249" s="17">
        <v>64992</v>
      </c>
    </row>
    <row r="6250" spans="1:7">
      <c r="A6250" s="1" t="s">
        <v>17964</v>
      </c>
      <c r="B6250" s="1" t="s">
        <v>17965</v>
      </c>
      <c r="C6250">
        <f>(1-(B7/100))*676.61</f>
        <v>676.61</v>
      </c>
      <c r="D6250" s="1">
        <v>0</v>
      </c>
      <c r="E6250">
        <f>D6250*C6250</f>
        <v>0</v>
      </c>
      <c r="F6250" s="1" t="s">
        <v>16</v>
      </c>
      <c r="G6250" s="17">
        <v>71557</v>
      </c>
    </row>
    <row r="6251" spans="1:7">
      <c r="A6251" s="1" t="s">
        <v>17966</v>
      </c>
      <c r="B6251" s="1" t="s">
        <v>17967</v>
      </c>
      <c r="C6251">
        <f>(1-(B7/100))*572.51</f>
        <v>572.51</v>
      </c>
      <c r="D6251" s="1">
        <v>0</v>
      </c>
      <c r="E6251">
        <f>D6251*C6251</f>
        <v>0</v>
      </c>
      <c r="F6251" s="1" t="s">
        <v>16</v>
      </c>
      <c r="G6251" s="17">
        <v>71558</v>
      </c>
    </row>
    <row r="6252" spans="1:7">
      <c r="A6252" s="1" t="s">
        <v>17968</v>
      </c>
      <c r="B6252" s="1" t="s">
        <v>17969</v>
      </c>
      <c r="C6252">
        <f>(1-(B7/100))*676.61</f>
        <v>676.61</v>
      </c>
      <c r="D6252" s="1">
        <v>0</v>
      </c>
      <c r="E6252">
        <f>D6252*C6252</f>
        <v>0</v>
      </c>
      <c r="F6252" s="1" t="s">
        <v>16</v>
      </c>
      <c r="G6252" s="17">
        <v>71559</v>
      </c>
    </row>
    <row r="6253" spans="1:7">
      <c r="A6253" s="1" t="s">
        <v>17970</v>
      </c>
      <c r="B6253" s="1" t="s">
        <v>17971</v>
      </c>
      <c r="C6253">
        <f>(1-(B7/100))*676.61</f>
        <v>676.61</v>
      </c>
      <c r="D6253" s="1">
        <v>0</v>
      </c>
      <c r="E6253">
        <f>D6253*C6253</f>
        <v>0</v>
      </c>
      <c r="F6253" s="1" t="s">
        <v>16</v>
      </c>
      <c r="G6253" s="17">
        <v>71560</v>
      </c>
    </row>
    <row r="6254" spans="1:7">
      <c r="A6254" s="1" t="s">
        <v>17972</v>
      </c>
      <c r="B6254" s="1" t="s">
        <v>17973</v>
      </c>
      <c r="C6254">
        <f>(1-(B7/100))*676.61</f>
        <v>676.61</v>
      </c>
      <c r="D6254" s="1">
        <v>0</v>
      </c>
      <c r="E6254">
        <f>D6254*C6254</f>
        <v>0</v>
      </c>
      <c r="F6254" s="1" t="s">
        <v>16</v>
      </c>
      <c r="G6254" s="17">
        <v>71561</v>
      </c>
    </row>
    <row r="6255" spans="1:7">
      <c r="A6255" s="1" t="s">
        <v>17974</v>
      </c>
      <c r="B6255" s="1" t="s">
        <v>17975</v>
      </c>
      <c r="C6255">
        <f>(1-(B7/100))*728.65</f>
        <v>728.65</v>
      </c>
      <c r="D6255" s="1">
        <v>0</v>
      </c>
      <c r="E6255">
        <f>D6255*C6255</f>
        <v>0</v>
      </c>
      <c r="F6255" s="1" t="s">
        <v>16</v>
      </c>
      <c r="G6255" s="17">
        <v>71562</v>
      </c>
    </row>
    <row r="6256" spans="1:7">
      <c r="A6256" s="1" t="s">
        <v>17976</v>
      </c>
      <c r="B6256" s="1" t="s">
        <v>17969</v>
      </c>
      <c r="C6256">
        <f>(1-(B7/100))*676.61</f>
        <v>676.61</v>
      </c>
      <c r="D6256" s="1">
        <v>0</v>
      </c>
      <c r="E6256">
        <f>D6256*C6256</f>
        <v>0</v>
      </c>
      <c r="F6256" s="1" t="s">
        <v>16</v>
      </c>
      <c r="G6256" s="17">
        <v>71564</v>
      </c>
    </row>
    <row r="6257" spans="1:7">
      <c r="A6257" s="1" t="s">
        <v>17977</v>
      </c>
      <c r="B6257" s="1" t="s">
        <v>17969</v>
      </c>
      <c r="C6257">
        <f>(1-(B7/100))*624.56</f>
        <v>624.56</v>
      </c>
      <c r="D6257" s="1">
        <v>0</v>
      </c>
      <c r="E6257">
        <f>D6257*C6257</f>
        <v>0</v>
      </c>
      <c r="F6257" s="1" t="s">
        <v>16</v>
      </c>
      <c r="G6257" s="17">
        <v>71565</v>
      </c>
    </row>
    <row r="6258" spans="1:7">
      <c r="A6258" s="1" t="s">
        <v>17978</v>
      </c>
      <c r="B6258" s="1" t="s">
        <v>17979</v>
      </c>
      <c r="C6258">
        <f>(1-(B7/100))*676.61</f>
        <v>676.61</v>
      </c>
      <c r="D6258" s="1">
        <v>0</v>
      </c>
      <c r="E6258">
        <f>D6258*C6258</f>
        <v>0</v>
      </c>
      <c r="F6258" s="1" t="s">
        <v>16</v>
      </c>
      <c r="G6258" s="17">
        <v>71566</v>
      </c>
    </row>
    <row r="6259" spans="1:7">
      <c r="A6259" s="1" t="s">
        <v>17980</v>
      </c>
      <c r="B6259" s="1" t="s">
        <v>17981</v>
      </c>
      <c r="C6259">
        <f>(1-(B7/100))*676.61</f>
        <v>676.61</v>
      </c>
      <c r="D6259" s="1">
        <v>0</v>
      </c>
      <c r="E6259">
        <f>D6259*C6259</f>
        <v>0</v>
      </c>
      <c r="F6259" s="1" t="s">
        <v>16</v>
      </c>
      <c r="G6259" s="17">
        <v>71567</v>
      </c>
    </row>
    <row r="6260" spans="1:7">
      <c r="A6260" s="1" t="s">
        <v>17982</v>
      </c>
      <c r="B6260" s="1" t="s">
        <v>17969</v>
      </c>
      <c r="C6260">
        <f>(1-(B7/100))*624.56</f>
        <v>624.56</v>
      </c>
      <c r="D6260" s="1">
        <v>0</v>
      </c>
      <c r="E6260">
        <f>D6260*C6260</f>
        <v>0</v>
      </c>
      <c r="F6260" s="1" t="s">
        <v>16</v>
      </c>
      <c r="G6260" s="17">
        <v>71568</v>
      </c>
    </row>
    <row r="6261" spans="1:7">
      <c r="A6261" s="1" t="s">
        <v>17983</v>
      </c>
      <c r="B6261" s="1" t="s">
        <v>17984</v>
      </c>
      <c r="C6261">
        <f>(1-(B7/100))*832.75</f>
        <v>832.75</v>
      </c>
      <c r="D6261" s="1">
        <v>0</v>
      </c>
      <c r="E6261">
        <f>D6261*C6261</f>
        <v>0</v>
      </c>
      <c r="F6261" s="1" t="s">
        <v>16</v>
      </c>
      <c r="G6261" s="17">
        <v>71569</v>
      </c>
    </row>
    <row r="6262" spans="1:7">
      <c r="A6262" s="1" t="s">
        <v>17985</v>
      </c>
      <c r="B6262" s="1" t="s">
        <v>17986</v>
      </c>
      <c r="C6262">
        <f>(1-(B7/100))*572.51</f>
        <v>572.51</v>
      </c>
      <c r="D6262" s="1">
        <v>0</v>
      </c>
      <c r="E6262">
        <f>D6262*C6262</f>
        <v>0</v>
      </c>
      <c r="F6262" s="1" t="s">
        <v>16</v>
      </c>
      <c r="G6262" s="17">
        <v>72035</v>
      </c>
    </row>
    <row r="6263" spans="1:7">
      <c r="A6263" s="1" t="s">
        <v>17987</v>
      </c>
      <c r="B6263" s="1" t="s">
        <v>17988</v>
      </c>
      <c r="C6263">
        <f>(1-(B7/100))*718.25</f>
        <v>718.25</v>
      </c>
      <c r="D6263" s="1">
        <v>0</v>
      </c>
      <c r="E6263">
        <f>D6263*C6263</f>
        <v>0</v>
      </c>
      <c r="F6263" s="1" t="s">
        <v>16</v>
      </c>
      <c r="G6263" s="17">
        <v>72316</v>
      </c>
    </row>
    <row r="6264" spans="1:7">
      <c r="A6264" s="1">
        <v>20060105</v>
      </c>
      <c r="B6264" s="1" t="s">
        <v>17989</v>
      </c>
      <c r="C6264">
        <f>(1-(B7/100))*968.48</f>
        <v>968.48</v>
      </c>
      <c r="D6264" s="1">
        <v>0</v>
      </c>
      <c r="E6264">
        <f>D6264*C6264</f>
        <v>0</v>
      </c>
      <c r="F6264" s="1" t="s">
        <v>17990</v>
      </c>
      <c r="G6264" s="17">
        <v>74141</v>
      </c>
    </row>
    <row r="6265" spans="1:7">
      <c r="A6265" s="1" t="s">
        <v>17991</v>
      </c>
      <c r="B6265" s="1" t="s">
        <v>17992</v>
      </c>
      <c r="C6265">
        <f>(1-(B7/100))*968.48</f>
        <v>968.48</v>
      </c>
      <c r="D6265" s="1">
        <v>0</v>
      </c>
      <c r="E6265">
        <f>D6265*C6265</f>
        <v>0</v>
      </c>
      <c r="F6265" s="1" t="s">
        <v>17993</v>
      </c>
      <c r="G6265" s="17">
        <v>74164</v>
      </c>
    </row>
    <row r="6266" spans="1:7">
      <c r="A6266" s="1" t="s">
        <v>17994</v>
      </c>
      <c r="B6266" s="1" t="s">
        <v>17965</v>
      </c>
      <c r="C6266">
        <f>(1-(B7/100))*968.48</f>
        <v>968.48</v>
      </c>
      <c r="D6266" s="1">
        <v>0</v>
      </c>
      <c r="E6266">
        <f>D6266*C6266</f>
        <v>0</v>
      </c>
      <c r="F6266" s="1" t="s">
        <v>17995</v>
      </c>
      <c r="G6266" s="17">
        <v>85665</v>
      </c>
    </row>
    <row r="6267" spans="1:7">
      <c r="A6267" s="1" t="s">
        <v>17996</v>
      </c>
      <c r="B6267" s="1" t="s">
        <v>17997</v>
      </c>
      <c r="C6267">
        <f>(1-(B7/100))*968.48</f>
        <v>968.48</v>
      </c>
      <c r="D6267" s="1">
        <v>0</v>
      </c>
      <c r="E6267">
        <f>D6267*C6267</f>
        <v>0</v>
      </c>
      <c r="F6267" s="1" t="s">
        <v>17998</v>
      </c>
      <c r="G6267" s="17">
        <v>85666</v>
      </c>
    </row>
    <row r="6268" spans="1:7">
      <c r="A6268" s="1" t="s">
        <v>17999</v>
      </c>
      <c r="B6268" s="1" t="s">
        <v>18000</v>
      </c>
      <c r="C6268">
        <f>(1-(B7/100))*968.48</f>
        <v>968.48</v>
      </c>
      <c r="D6268" s="1">
        <v>0</v>
      </c>
      <c r="E6268">
        <f>D6268*C6268</f>
        <v>0</v>
      </c>
      <c r="F6268" s="1" t="s">
        <v>18001</v>
      </c>
      <c r="G6268" s="17">
        <v>85667</v>
      </c>
    </row>
    <row r="6269" spans="1:7">
      <c r="A6269" s="16"/>
      <c r="B6269" s="16" t="s">
        <v>18002</v>
      </c>
      <c r="C6269" s="16"/>
      <c r="D6269" s="16"/>
      <c r="E6269" s="16"/>
      <c r="F6269" s="16"/>
    </row>
    <row r="6270" spans="1:7">
      <c r="A6270" s="1" t="s">
        <v>18003</v>
      </c>
      <c r="B6270" s="1" t="s">
        <v>18004</v>
      </c>
      <c r="C6270">
        <f>(1-(B7/100))*292.79</f>
        <v>292.79</v>
      </c>
      <c r="D6270" s="1">
        <v>0</v>
      </c>
      <c r="E6270">
        <f>D6270*C6270</f>
        <v>0</v>
      </c>
      <c r="F6270" s="1" t="s">
        <v>18005</v>
      </c>
      <c r="G6270" s="17">
        <v>72298</v>
      </c>
    </row>
    <row r="6271" spans="1:7">
      <c r="A6271" s="16"/>
      <c r="B6271" s="16" t="s">
        <v>18006</v>
      </c>
      <c r="C6271" s="16"/>
      <c r="D6271" s="16"/>
      <c r="E6271" s="16"/>
      <c r="F6271" s="16"/>
    </row>
    <row r="6272" spans="1:7">
      <c r="A6272" s="16"/>
      <c r="B6272" s="16" t="s">
        <v>18007</v>
      </c>
      <c r="C6272" s="16"/>
      <c r="D6272" s="16"/>
      <c r="E6272" s="16"/>
      <c r="F6272" s="16"/>
    </row>
    <row r="6273" spans="1:7">
      <c r="A6273" s="1" t="s">
        <v>18008</v>
      </c>
      <c r="B6273" s="1" t="s">
        <v>18009</v>
      </c>
      <c r="C6273">
        <f>(1-(B7/100))*5100.57</f>
        <v>5100.57</v>
      </c>
      <c r="D6273" s="1">
        <v>0</v>
      </c>
      <c r="E6273">
        <f>D6273*C6273</f>
        <v>0</v>
      </c>
      <c r="F6273" s="1" t="s">
        <v>18010</v>
      </c>
      <c r="G6273" s="17">
        <v>70986</v>
      </c>
    </row>
    <row r="6274" spans="1:7">
      <c r="A6274" s="1" t="s">
        <v>18011</v>
      </c>
      <c r="B6274" s="1" t="s">
        <v>18012</v>
      </c>
      <c r="C6274">
        <f>(1-(B7/100))*4964.57</f>
        <v>4964.57</v>
      </c>
      <c r="D6274" s="1">
        <v>0</v>
      </c>
      <c r="E6274">
        <f>D6274*C6274</f>
        <v>0</v>
      </c>
      <c r="F6274" s="1" t="s">
        <v>18013</v>
      </c>
      <c r="G6274" s="17">
        <v>70987</v>
      </c>
    </row>
    <row r="6275" spans="1:7">
      <c r="A6275" s="1" t="s">
        <v>18014</v>
      </c>
      <c r="B6275" s="1" t="s">
        <v>18015</v>
      </c>
      <c r="C6275">
        <f>(1-(B7/100))*2290.05</f>
        <v>2290.05</v>
      </c>
      <c r="D6275" s="1">
        <v>0</v>
      </c>
      <c r="E6275">
        <f>D6275*C6275</f>
        <v>0</v>
      </c>
      <c r="F6275" s="1" t="s">
        <v>16</v>
      </c>
      <c r="G6275" s="17">
        <v>71286</v>
      </c>
    </row>
    <row r="6276" spans="1:7">
      <c r="A6276" s="1" t="s">
        <v>18016</v>
      </c>
      <c r="B6276" s="1" t="s">
        <v>18017</v>
      </c>
      <c r="C6276">
        <f>(1-(B7/100))*3643.26</f>
        <v>3643.26</v>
      </c>
      <c r="D6276" s="1">
        <v>0</v>
      </c>
      <c r="E6276">
        <f>D6276*C6276</f>
        <v>0</v>
      </c>
      <c r="F6276" s="1" t="s">
        <v>16</v>
      </c>
      <c r="G6276" s="17">
        <v>71358</v>
      </c>
    </row>
    <row r="6277" spans="1:7">
      <c r="A6277" s="1" t="s">
        <v>18018</v>
      </c>
      <c r="B6277" s="1" t="s">
        <v>18019</v>
      </c>
      <c r="C6277">
        <f>(1-(B7/100))*2758.47</f>
        <v>2758.47</v>
      </c>
      <c r="D6277" s="1">
        <v>0</v>
      </c>
      <c r="E6277">
        <f>D6277*C6277</f>
        <v>0</v>
      </c>
      <c r="F6277" s="1" t="s">
        <v>16</v>
      </c>
      <c r="G6277" s="17">
        <v>71575</v>
      </c>
    </row>
    <row r="6278" spans="1:7">
      <c r="A6278" s="1" t="s">
        <v>18020</v>
      </c>
      <c r="B6278" s="1" t="s">
        <v>18021</v>
      </c>
      <c r="C6278">
        <f>(1-(B7/100))*7200</f>
        <v>7200</v>
      </c>
      <c r="D6278" s="1">
        <v>0</v>
      </c>
      <c r="E6278">
        <f>D6278*C6278</f>
        <v>0</v>
      </c>
      <c r="F6278" s="1" t="s">
        <v>18022</v>
      </c>
      <c r="G6278" s="17">
        <v>72213</v>
      </c>
    </row>
    <row r="6279" spans="1:7">
      <c r="A6279" s="1" t="s">
        <v>18023</v>
      </c>
      <c r="B6279" s="1" t="s">
        <v>18024</v>
      </c>
      <c r="C6279">
        <f>(1-(B7/100))*7200</f>
        <v>7200</v>
      </c>
      <c r="D6279" s="1">
        <v>0</v>
      </c>
      <c r="E6279">
        <f>D6279*C6279</f>
        <v>0</v>
      </c>
      <c r="F6279" s="1" t="s">
        <v>18025</v>
      </c>
      <c r="G6279" s="17">
        <v>74039</v>
      </c>
    </row>
    <row r="6280" spans="1:7">
      <c r="A6280" s="1" t="s">
        <v>18026</v>
      </c>
      <c r="B6280" s="1" t="s">
        <v>18027</v>
      </c>
      <c r="C6280">
        <f>(1-(B7/100))*4964.57</f>
        <v>4964.57</v>
      </c>
      <c r="D6280" s="1">
        <v>0</v>
      </c>
      <c r="E6280">
        <f>D6280*C6280</f>
        <v>0</v>
      </c>
      <c r="F6280" s="1" t="s">
        <v>18028</v>
      </c>
      <c r="G6280" s="17">
        <v>86143</v>
      </c>
    </row>
    <row r="6281" spans="1:7">
      <c r="A6281" s="1" t="s">
        <v>18029</v>
      </c>
      <c r="B6281" s="1" t="s">
        <v>18030</v>
      </c>
      <c r="C6281">
        <f>(1-(B7/100))*5100.57</f>
        <v>5100.57</v>
      </c>
      <c r="D6281" s="1">
        <v>0</v>
      </c>
      <c r="E6281">
        <f>D6281*C6281</f>
        <v>0</v>
      </c>
      <c r="F6281" s="1" t="s">
        <v>18031</v>
      </c>
      <c r="G6281" s="17">
        <v>86146</v>
      </c>
    </row>
    <row r="6282" spans="1:7">
      <c r="A6282" s="1" t="s">
        <v>18032</v>
      </c>
      <c r="B6282" s="1" t="s">
        <v>18033</v>
      </c>
      <c r="C6282">
        <f>(1-(B7/100))*5100.57</f>
        <v>5100.57</v>
      </c>
      <c r="D6282" s="1">
        <v>0</v>
      </c>
      <c r="E6282">
        <f>D6282*C6282</f>
        <v>0</v>
      </c>
      <c r="F6282" s="1" t="s">
        <v>18034</v>
      </c>
      <c r="G6282" s="17">
        <v>86147</v>
      </c>
    </row>
    <row r="6283" spans="1:7">
      <c r="A6283" s="1" t="s">
        <v>18035</v>
      </c>
      <c r="B6283" s="1" t="s">
        <v>18036</v>
      </c>
      <c r="C6283">
        <f>(1-(B7/100))*5100.57</f>
        <v>5100.57</v>
      </c>
      <c r="D6283" s="1">
        <v>0</v>
      </c>
      <c r="E6283">
        <f>D6283*C6283</f>
        <v>0</v>
      </c>
      <c r="F6283" s="1" t="s">
        <v>18037</v>
      </c>
      <c r="G6283" s="17">
        <v>86148</v>
      </c>
    </row>
    <row r="6284" spans="1:7">
      <c r="A6284" s="1" t="s">
        <v>18038</v>
      </c>
      <c r="B6284" s="1" t="s">
        <v>18039</v>
      </c>
      <c r="C6284">
        <f>(1-(B7/100))*4735.71</f>
        <v>4735.71</v>
      </c>
      <c r="D6284" s="1">
        <v>0</v>
      </c>
      <c r="E6284">
        <f>D6284*C6284</f>
        <v>0</v>
      </c>
      <c r="F6284" s="1" t="s">
        <v>18040</v>
      </c>
      <c r="G6284" s="17">
        <v>86149</v>
      </c>
    </row>
    <row r="6285" spans="1:7">
      <c r="A6285" s="1" t="s">
        <v>18041</v>
      </c>
      <c r="B6285" s="1" t="s">
        <v>18042</v>
      </c>
      <c r="C6285">
        <f>(1-(B7/100))*4735.71</f>
        <v>4735.71</v>
      </c>
      <c r="D6285" s="1">
        <v>0</v>
      </c>
      <c r="E6285">
        <f>D6285*C6285</f>
        <v>0</v>
      </c>
      <c r="F6285" s="1" t="s">
        <v>18043</v>
      </c>
      <c r="G6285" s="17">
        <v>86150</v>
      </c>
    </row>
    <row r="6286" spans="1:7">
      <c r="A6286" s="1" t="s">
        <v>18044</v>
      </c>
      <c r="B6286" s="1" t="s">
        <v>18045</v>
      </c>
      <c r="C6286">
        <f>(1-(B7/100))*4735.71</f>
        <v>4735.71</v>
      </c>
      <c r="D6286" s="1">
        <v>0</v>
      </c>
      <c r="E6286">
        <f>D6286*C6286</f>
        <v>0</v>
      </c>
      <c r="F6286" s="1" t="s">
        <v>18046</v>
      </c>
      <c r="G6286" s="17">
        <v>86151</v>
      </c>
    </row>
    <row r="6287" spans="1:7">
      <c r="A6287" s="1" t="s">
        <v>18047</v>
      </c>
      <c r="B6287" s="1" t="s">
        <v>18048</v>
      </c>
      <c r="C6287">
        <f>(1-(B7/100))*5100.57</f>
        <v>5100.57</v>
      </c>
      <c r="D6287" s="1">
        <v>0</v>
      </c>
      <c r="E6287">
        <f>D6287*C6287</f>
        <v>0</v>
      </c>
      <c r="F6287" s="1" t="s">
        <v>18049</v>
      </c>
      <c r="G6287" s="17">
        <v>86152</v>
      </c>
    </row>
    <row r="6288" spans="1:7">
      <c r="A6288" s="1" t="s">
        <v>18050</v>
      </c>
      <c r="B6288" s="1" t="s">
        <v>18051</v>
      </c>
      <c r="C6288">
        <f>(1-(B7/100))*4735.71</f>
        <v>4735.71</v>
      </c>
      <c r="D6288" s="1">
        <v>0</v>
      </c>
      <c r="E6288">
        <f>D6288*C6288</f>
        <v>0</v>
      </c>
      <c r="F6288" s="1" t="s">
        <v>18052</v>
      </c>
      <c r="G6288" s="17">
        <v>86155</v>
      </c>
    </row>
    <row r="6289" spans="1:7">
      <c r="A6289" s="1" t="s">
        <v>18053</v>
      </c>
      <c r="B6289" s="1" t="s">
        <v>18054</v>
      </c>
      <c r="C6289">
        <f>(1-(B7/100))*4735.71</f>
        <v>4735.71</v>
      </c>
      <c r="D6289" s="1">
        <v>0</v>
      </c>
      <c r="E6289">
        <f>D6289*C6289</f>
        <v>0</v>
      </c>
      <c r="F6289" s="1" t="s">
        <v>18055</v>
      </c>
      <c r="G6289" s="17">
        <v>86156</v>
      </c>
    </row>
    <row r="6290" spans="1:7">
      <c r="A6290" s="1" t="s">
        <v>18056</v>
      </c>
      <c r="B6290" s="1" t="s">
        <v>18057</v>
      </c>
      <c r="C6290">
        <f>(1-(B7/100))*5100.57</f>
        <v>5100.57</v>
      </c>
      <c r="D6290" s="1">
        <v>0</v>
      </c>
      <c r="E6290">
        <f>D6290*C6290</f>
        <v>0</v>
      </c>
      <c r="F6290" s="1" t="s">
        <v>18058</v>
      </c>
      <c r="G6290" s="17">
        <v>86157</v>
      </c>
    </row>
    <row r="6291" spans="1:7">
      <c r="A6291" s="16"/>
      <c r="B6291" s="16" t="s">
        <v>18059</v>
      </c>
      <c r="C6291" s="16"/>
      <c r="D6291" s="16"/>
      <c r="E6291" s="16"/>
      <c r="F6291" s="16"/>
    </row>
    <row r="6292" spans="1:7">
      <c r="A6292" s="1" t="s">
        <v>18060</v>
      </c>
      <c r="B6292" s="1" t="s">
        <v>18061</v>
      </c>
      <c r="C6292">
        <f>(1-(B7/100))*709.57</f>
        <v>709.57</v>
      </c>
      <c r="D6292" s="1">
        <v>0</v>
      </c>
      <c r="E6292">
        <f>D6292*C6292</f>
        <v>0</v>
      </c>
      <c r="F6292" s="1" t="s">
        <v>18062</v>
      </c>
      <c r="G6292" s="17">
        <v>62970</v>
      </c>
    </row>
    <row r="6293" spans="1:7">
      <c r="A6293" s="1" t="s">
        <v>18063</v>
      </c>
      <c r="B6293" s="1" t="s">
        <v>18064</v>
      </c>
      <c r="C6293">
        <f>(1-(B7/100))*427.47</f>
        <v>427.47</v>
      </c>
      <c r="D6293" s="1">
        <v>0</v>
      </c>
      <c r="E6293">
        <f>D6293*C6293</f>
        <v>0</v>
      </c>
      <c r="F6293" s="1" t="s">
        <v>18065</v>
      </c>
      <c r="G6293" s="17">
        <v>64183</v>
      </c>
    </row>
    <row r="6294" spans="1:7">
      <c r="A6294" s="1" t="s">
        <v>18066</v>
      </c>
      <c r="B6294" s="1" t="s">
        <v>18067</v>
      </c>
      <c r="C6294">
        <f>(1-(B7/100))*481.14</f>
        <v>481.14</v>
      </c>
      <c r="D6294" s="1">
        <v>0</v>
      </c>
      <c r="E6294">
        <f>D6294*C6294</f>
        <v>0</v>
      </c>
      <c r="F6294" s="1" t="s">
        <v>18068</v>
      </c>
      <c r="G6294" s="17">
        <v>71076</v>
      </c>
    </row>
    <row r="6295" spans="1:7">
      <c r="A6295" s="1" t="s">
        <v>18069</v>
      </c>
      <c r="B6295" s="1" t="s">
        <v>18070</v>
      </c>
      <c r="C6295">
        <f>(1-(B7/100))*481.14</f>
        <v>481.14</v>
      </c>
      <c r="D6295" s="1">
        <v>0</v>
      </c>
      <c r="E6295">
        <f>D6295*C6295</f>
        <v>0</v>
      </c>
      <c r="F6295" s="1" t="s">
        <v>18071</v>
      </c>
      <c r="G6295" s="17">
        <v>73281</v>
      </c>
    </row>
    <row r="6296" spans="1:7">
      <c r="A6296" s="1" t="s">
        <v>18072</v>
      </c>
      <c r="B6296" s="1" t="s">
        <v>18073</v>
      </c>
      <c r="C6296">
        <f>(1-(B7/100))*675.68</f>
        <v>675.68</v>
      </c>
      <c r="D6296" s="1">
        <v>0</v>
      </c>
      <c r="E6296">
        <f>D6296*C6296</f>
        <v>0</v>
      </c>
      <c r="F6296" s="1" t="s">
        <v>18074</v>
      </c>
      <c r="G6296" s="17">
        <v>73283</v>
      </c>
    </row>
    <row r="6297" spans="1:7">
      <c r="A6297" s="1" t="s">
        <v>18075</v>
      </c>
      <c r="B6297" s="1" t="s">
        <v>18076</v>
      </c>
      <c r="C6297">
        <f>(1-(B7/100))*673.59</f>
        <v>673.59</v>
      </c>
      <c r="D6297" s="1">
        <v>0</v>
      </c>
      <c r="E6297">
        <f>D6297*C6297</f>
        <v>0</v>
      </c>
      <c r="F6297" s="1" t="s">
        <v>18077</v>
      </c>
      <c r="G6297" s="17">
        <v>73285</v>
      </c>
    </row>
    <row r="6298" spans="1:7">
      <c r="A6298" s="1" t="s">
        <v>18078</v>
      </c>
      <c r="B6298" s="1" t="s">
        <v>18079</v>
      </c>
      <c r="C6298">
        <f>(1-(B7/100))*670.6</f>
        <v>670.6</v>
      </c>
      <c r="D6298" s="1">
        <v>0</v>
      </c>
      <c r="E6298">
        <f>D6298*C6298</f>
        <v>0</v>
      </c>
      <c r="F6298" s="1" t="s">
        <v>18080</v>
      </c>
      <c r="G6298" s="17">
        <v>73287</v>
      </c>
    </row>
    <row r="6299" spans="1:7">
      <c r="A6299" s="1" t="s">
        <v>18081</v>
      </c>
      <c r="B6299" s="1" t="s">
        <v>18082</v>
      </c>
      <c r="C6299">
        <f>(1-(B7/100))*517.55</f>
        <v>517.55</v>
      </c>
      <c r="D6299" s="1">
        <v>0</v>
      </c>
      <c r="E6299">
        <f>D6299*C6299</f>
        <v>0</v>
      </c>
      <c r="F6299" s="1" t="s">
        <v>18083</v>
      </c>
      <c r="G6299" s="17">
        <v>73288</v>
      </c>
    </row>
    <row r="6300" spans="1:7">
      <c r="A6300" s="1" t="s">
        <v>18084</v>
      </c>
      <c r="B6300" s="1" t="s">
        <v>18085</v>
      </c>
      <c r="C6300">
        <f>(1-(B7/100))*517.55</f>
        <v>517.55</v>
      </c>
      <c r="D6300" s="1">
        <v>0</v>
      </c>
      <c r="E6300">
        <f>D6300*C6300</f>
        <v>0</v>
      </c>
      <c r="F6300" s="1" t="s">
        <v>18086</v>
      </c>
      <c r="G6300" s="17">
        <v>73289</v>
      </c>
    </row>
    <row r="6301" spans="1:7">
      <c r="A6301" s="1" t="s">
        <v>18087</v>
      </c>
      <c r="B6301" s="1" t="s">
        <v>18088</v>
      </c>
      <c r="C6301">
        <f>(1-(B7/100))*670.6</f>
        <v>670.6</v>
      </c>
      <c r="D6301" s="1">
        <v>0</v>
      </c>
      <c r="E6301">
        <f>D6301*C6301</f>
        <v>0</v>
      </c>
      <c r="F6301" s="1" t="s">
        <v>18089</v>
      </c>
      <c r="G6301" s="17">
        <v>73291</v>
      </c>
    </row>
    <row r="6302" spans="1:7">
      <c r="A6302" s="1" t="s">
        <v>18090</v>
      </c>
      <c r="B6302" s="1" t="s">
        <v>18088</v>
      </c>
      <c r="C6302">
        <f>(1-(B7/100))*517.55</f>
        <v>517.55</v>
      </c>
      <c r="D6302" s="1">
        <v>0</v>
      </c>
      <c r="E6302">
        <f>D6302*C6302</f>
        <v>0</v>
      </c>
      <c r="F6302" s="1" t="s">
        <v>18091</v>
      </c>
      <c r="G6302" s="17">
        <v>73292</v>
      </c>
    </row>
    <row r="6303" spans="1:7">
      <c r="A6303" s="1" t="s">
        <v>18092</v>
      </c>
      <c r="B6303" s="1" t="s">
        <v>18093</v>
      </c>
      <c r="C6303">
        <f>(1-(B7/100))*478.71</f>
        <v>478.71</v>
      </c>
      <c r="D6303" s="1">
        <v>0</v>
      </c>
      <c r="E6303">
        <f>D6303*C6303</f>
        <v>0</v>
      </c>
      <c r="F6303" s="1" t="s">
        <v>18094</v>
      </c>
      <c r="G6303" s="17">
        <v>73296</v>
      </c>
    </row>
    <row r="6304" spans="1:7">
      <c r="A6304" s="1" t="s">
        <v>18095</v>
      </c>
      <c r="B6304" s="1" t="s">
        <v>18096</v>
      </c>
      <c r="C6304">
        <f>(1-(B7/100))*408.69</f>
        <v>408.69</v>
      </c>
      <c r="D6304" s="1">
        <v>0</v>
      </c>
      <c r="E6304">
        <f>D6304*C6304</f>
        <v>0</v>
      </c>
      <c r="F6304" s="1" t="s">
        <v>16</v>
      </c>
      <c r="G6304" s="17">
        <v>73298</v>
      </c>
    </row>
    <row r="6305" spans="1:7">
      <c r="A6305" s="1" t="s">
        <v>18097</v>
      </c>
      <c r="B6305" s="1" t="s">
        <v>18098</v>
      </c>
      <c r="C6305">
        <f>(1-(B7/100))*427.47</f>
        <v>427.47</v>
      </c>
      <c r="D6305" s="1">
        <v>0</v>
      </c>
      <c r="E6305">
        <f>D6305*C6305</f>
        <v>0</v>
      </c>
      <c r="F6305" s="1" t="s">
        <v>18099</v>
      </c>
      <c r="G6305" s="17">
        <v>73302</v>
      </c>
    </row>
    <row r="6306" spans="1:7">
      <c r="A6306" s="1" t="s">
        <v>18100</v>
      </c>
      <c r="B6306" s="1" t="s">
        <v>18101</v>
      </c>
      <c r="C6306">
        <f>(1-(B7/100))*676.89</f>
        <v>676.89</v>
      </c>
      <c r="D6306" s="1">
        <v>0</v>
      </c>
      <c r="E6306">
        <f>D6306*C6306</f>
        <v>0</v>
      </c>
      <c r="F6306" s="1" t="s">
        <v>18102</v>
      </c>
      <c r="G6306" s="17">
        <v>73303</v>
      </c>
    </row>
    <row r="6307" spans="1:7">
      <c r="A6307" s="1" t="s">
        <v>18103</v>
      </c>
      <c r="B6307" s="1" t="s">
        <v>18104</v>
      </c>
      <c r="C6307">
        <f>(1-(B7/100))*427.94</f>
        <v>427.94</v>
      </c>
      <c r="D6307" s="1">
        <v>0</v>
      </c>
      <c r="E6307">
        <f>D6307*C6307</f>
        <v>0</v>
      </c>
      <c r="F6307" s="1" t="s">
        <v>18105</v>
      </c>
      <c r="G6307" s="17">
        <v>73306</v>
      </c>
    </row>
    <row r="6308" spans="1:7">
      <c r="A6308" s="1" t="s">
        <v>18106</v>
      </c>
      <c r="B6308" s="1" t="s">
        <v>18107</v>
      </c>
      <c r="C6308">
        <f>(1-(B7/100))*457.55</f>
        <v>457.55</v>
      </c>
      <c r="D6308" s="1">
        <v>0</v>
      </c>
      <c r="E6308">
        <f>D6308*C6308</f>
        <v>0</v>
      </c>
      <c r="F6308" s="1" t="s">
        <v>18108</v>
      </c>
      <c r="G6308" s="17">
        <v>73308</v>
      </c>
    </row>
    <row r="6309" spans="1:7">
      <c r="A6309" s="1" t="s">
        <v>18109</v>
      </c>
      <c r="B6309" s="1" t="s">
        <v>18110</v>
      </c>
      <c r="C6309">
        <f>(1-(B7/100))*445.82</f>
        <v>445.82</v>
      </c>
      <c r="D6309" s="1">
        <v>0</v>
      </c>
      <c r="E6309">
        <f>D6309*C6309</f>
        <v>0</v>
      </c>
      <c r="F6309" s="1" t="s">
        <v>18111</v>
      </c>
      <c r="G6309" s="17">
        <v>73310</v>
      </c>
    </row>
    <row r="6310" spans="1:7">
      <c r="A6310" s="1" t="s">
        <v>18112</v>
      </c>
      <c r="B6310" s="1" t="s">
        <v>18113</v>
      </c>
      <c r="C6310">
        <f>(1-(B7/100))*460.43</f>
        <v>460.43</v>
      </c>
      <c r="D6310" s="1">
        <v>0</v>
      </c>
      <c r="E6310">
        <f>D6310*C6310</f>
        <v>0</v>
      </c>
      <c r="F6310" s="1" t="s">
        <v>18114</v>
      </c>
      <c r="G6310" s="17">
        <v>73312</v>
      </c>
    </row>
    <row r="6311" spans="1:7">
      <c r="A6311" s="1" t="s">
        <v>18115</v>
      </c>
      <c r="B6311" s="1" t="s">
        <v>18116</v>
      </c>
      <c r="C6311">
        <f>(1-(B7/100))*377.42</f>
        <v>377.42</v>
      </c>
      <c r="D6311" s="1">
        <v>0</v>
      </c>
      <c r="E6311">
        <f>D6311*C6311</f>
        <v>0</v>
      </c>
      <c r="F6311" s="1" t="s">
        <v>18117</v>
      </c>
      <c r="G6311" s="17">
        <v>73313</v>
      </c>
    </row>
    <row r="6312" spans="1:7">
      <c r="A6312" s="1" t="s">
        <v>18118</v>
      </c>
      <c r="B6312" s="1" t="s">
        <v>18119</v>
      </c>
      <c r="C6312">
        <f>(1-(B7/100))*477.03</f>
        <v>477.03</v>
      </c>
      <c r="D6312" s="1">
        <v>0</v>
      </c>
      <c r="E6312">
        <f>D6312*C6312</f>
        <v>0</v>
      </c>
      <c r="F6312" s="1" t="s">
        <v>18120</v>
      </c>
      <c r="G6312" s="17">
        <v>73317</v>
      </c>
    </row>
    <row r="6313" spans="1:7">
      <c r="A6313" s="1" t="s">
        <v>18121</v>
      </c>
      <c r="B6313" s="1" t="s">
        <v>18122</v>
      </c>
      <c r="C6313">
        <f>(1-(B7/100))*447.06</f>
        <v>447.06</v>
      </c>
      <c r="D6313" s="1">
        <v>0</v>
      </c>
      <c r="E6313">
        <f>D6313*C6313</f>
        <v>0</v>
      </c>
      <c r="F6313" s="1" t="s">
        <v>18123</v>
      </c>
      <c r="G6313" s="17">
        <v>73319</v>
      </c>
    </row>
    <row r="6314" spans="1:7">
      <c r="A6314" s="1" t="s">
        <v>18124</v>
      </c>
      <c r="B6314" s="1" t="s">
        <v>18125</v>
      </c>
      <c r="C6314">
        <f>(1-(B7/100))*293.3</f>
        <v>293.3</v>
      </c>
      <c r="D6314" s="1">
        <v>0</v>
      </c>
      <c r="E6314">
        <f>D6314*C6314</f>
        <v>0</v>
      </c>
      <c r="F6314" s="1" t="s">
        <v>16</v>
      </c>
      <c r="G6314" s="17">
        <v>73320</v>
      </c>
    </row>
    <row r="6315" spans="1:7">
      <c r="A6315" s="1" t="s">
        <v>18126</v>
      </c>
      <c r="B6315" s="1" t="s">
        <v>18127</v>
      </c>
      <c r="C6315">
        <f>(1-(B7/100))*477.03</f>
        <v>477.03</v>
      </c>
      <c r="D6315" s="1">
        <v>0</v>
      </c>
      <c r="E6315">
        <f>D6315*C6315</f>
        <v>0</v>
      </c>
      <c r="F6315" s="1" t="s">
        <v>18128</v>
      </c>
      <c r="G6315" s="17">
        <v>73321</v>
      </c>
    </row>
    <row r="6316" spans="1:7">
      <c r="A6316" s="1" t="s">
        <v>18129</v>
      </c>
      <c r="B6316" s="1" t="s">
        <v>18130</v>
      </c>
      <c r="C6316">
        <f>(1-(B7/100))*447.06</f>
        <v>447.06</v>
      </c>
      <c r="D6316" s="1">
        <v>0</v>
      </c>
      <c r="E6316">
        <f>D6316*C6316</f>
        <v>0</v>
      </c>
      <c r="F6316" s="1" t="s">
        <v>18131</v>
      </c>
      <c r="G6316" s="17">
        <v>73322</v>
      </c>
    </row>
    <row r="6317" spans="1:7">
      <c r="A6317" s="1" t="s">
        <v>18132</v>
      </c>
      <c r="B6317" s="1" t="s">
        <v>18133</v>
      </c>
      <c r="C6317">
        <f>(1-(B7/100))*619.39</f>
        <v>619.39</v>
      </c>
      <c r="D6317" s="1">
        <v>0</v>
      </c>
      <c r="E6317">
        <f>D6317*C6317</f>
        <v>0</v>
      </c>
      <c r="F6317" s="1" t="s">
        <v>18134</v>
      </c>
      <c r="G6317" s="17">
        <v>73325</v>
      </c>
    </row>
    <row r="6318" spans="1:7">
      <c r="A6318" s="1" t="s">
        <v>18135</v>
      </c>
      <c r="B6318" s="1" t="s">
        <v>18136</v>
      </c>
      <c r="C6318">
        <f>(1-(B7/100))*443.36</f>
        <v>443.36</v>
      </c>
      <c r="D6318" s="1">
        <v>0</v>
      </c>
      <c r="E6318">
        <f>D6318*C6318</f>
        <v>0</v>
      </c>
      <c r="F6318" s="1" t="s">
        <v>18137</v>
      </c>
      <c r="G6318" s="17">
        <v>73326</v>
      </c>
    </row>
    <row r="6319" spans="1:7">
      <c r="A6319" s="1" t="s">
        <v>18138</v>
      </c>
      <c r="B6319" s="1" t="s">
        <v>18139</v>
      </c>
      <c r="C6319">
        <f>(1-(B7/100))*653.16</f>
        <v>653.16</v>
      </c>
      <c r="D6319" s="1">
        <v>0</v>
      </c>
      <c r="E6319">
        <f>D6319*C6319</f>
        <v>0</v>
      </c>
      <c r="F6319" s="1" t="s">
        <v>18140</v>
      </c>
      <c r="G6319" s="17">
        <v>73327</v>
      </c>
    </row>
    <row r="6320" spans="1:7">
      <c r="A6320" s="1" t="s">
        <v>18141</v>
      </c>
      <c r="B6320" s="1" t="s">
        <v>18142</v>
      </c>
      <c r="C6320">
        <f>(1-(B7/100))*656.84</f>
        <v>656.84</v>
      </c>
      <c r="D6320" s="1">
        <v>0</v>
      </c>
      <c r="E6320">
        <f>D6320*C6320</f>
        <v>0</v>
      </c>
      <c r="F6320" s="1" t="s">
        <v>18143</v>
      </c>
      <c r="G6320" s="17">
        <v>73328</v>
      </c>
    </row>
    <row r="6321" spans="1:7">
      <c r="A6321" s="1" t="s">
        <v>18144</v>
      </c>
      <c r="B6321" s="1" t="s">
        <v>18145</v>
      </c>
      <c r="C6321">
        <f>(1-(B7/100))*656.84</f>
        <v>656.84</v>
      </c>
      <c r="D6321" s="1">
        <v>0</v>
      </c>
      <c r="E6321">
        <f>D6321*C6321</f>
        <v>0</v>
      </c>
      <c r="F6321" s="1" t="s">
        <v>18146</v>
      </c>
      <c r="G6321" s="17">
        <v>73329</v>
      </c>
    </row>
    <row r="6322" spans="1:7">
      <c r="A6322" s="1" t="s">
        <v>18147</v>
      </c>
      <c r="B6322" s="1" t="s">
        <v>18148</v>
      </c>
      <c r="C6322">
        <f>(1-(B7/100))*656.84</f>
        <v>656.84</v>
      </c>
      <c r="D6322" s="1">
        <v>0</v>
      </c>
      <c r="E6322">
        <f>D6322*C6322</f>
        <v>0</v>
      </c>
      <c r="F6322" s="1" t="s">
        <v>18149</v>
      </c>
      <c r="G6322" s="17">
        <v>73330</v>
      </c>
    </row>
    <row r="6323" spans="1:7">
      <c r="A6323" s="1" t="s">
        <v>18150</v>
      </c>
      <c r="B6323" s="1" t="s">
        <v>18151</v>
      </c>
      <c r="C6323">
        <f>(1-(B7/100))*481.14</f>
        <v>481.14</v>
      </c>
      <c r="D6323" s="1">
        <v>0</v>
      </c>
      <c r="E6323">
        <f>D6323*C6323</f>
        <v>0</v>
      </c>
      <c r="F6323" s="1" t="s">
        <v>18152</v>
      </c>
      <c r="G6323" s="17">
        <v>73636</v>
      </c>
    </row>
    <row r="6324" spans="1:7">
      <c r="A6324" s="1" t="s">
        <v>18153</v>
      </c>
      <c r="B6324" s="1" t="s">
        <v>18154</v>
      </c>
      <c r="C6324">
        <f>(1-(B7/100))*240.02</f>
        <v>240.02</v>
      </c>
      <c r="D6324" s="1">
        <v>0</v>
      </c>
      <c r="E6324">
        <f>D6324*C6324</f>
        <v>0</v>
      </c>
      <c r="F6324" s="1" t="s">
        <v>18155</v>
      </c>
      <c r="G6324" s="17">
        <v>74319</v>
      </c>
    </row>
    <row r="6325" spans="1:7">
      <c r="A6325" s="1" t="s">
        <v>18156</v>
      </c>
      <c r="B6325" s="1" t="s">
        <v>18157</v>
      </c>
      <c r="C6325">
        <f>(1-(B7/100))*565.69</f>
        <v>565.69</v>
      </c>
      <c r="D6325" s="1">
        <v>0</v>
      </c>
      <c r="E6325">
        <f>D6325*C6325</f>
        <v>0</v>
      </c>
      <c r="F6325" s="1" t="s">
        <v>18158</v>
      </c>
      <c r="G6325" s="17">
        <v>74323</v>
      </c>
    </row>
    <row r="6326" spans="1:7">
      <c r="A6326" s="1" t="s">
        <v>18159</v>
      </c>
      <c r="B6326" s="1" t="s">
        <v>18160</v>
      </c>
      <c r="C6326">
        <f>(1-(B7/100))*565.69</f>
        <v>565.69</v>
      </c>
      <c r="D6326" s="1">
        <v>0</v>
      </c>
      <c r="E6326">
        <f>D6326*C6326</f>
        <v>0</v>
      </c>
      <c r="F6326" s="1" t="s">
        <v>18161</v>
      </c>
      <c r="G6326" s="17">
        <v>74324</v>
      </c>
    </row>
    <row r="6327" spans="1:7">
      <c r="A6327" s="1" t="s">
        <v>18162</v>
      </c>
      <c r="B6327" s="1" t="s">
        <v>18163</v>
      </c>
      <c r="C6327">
        <f>(1-(B7/100))*450.46</f>
        <v>450.46</v>
      </c>
      <c r="D6327" s="1">
        <v>0</v>
      </c>
      <c r="E6327">
        <f>D6327*C6327</f>
        <v>0</v>
      </c>
      <c r="F6327" s="1" t="s">
        <v>18164</v>
      </c>
      <c r="G6327" s="17">
        <v>74325</v>
      </c>
    </row>
    <row r="6328" spans="1:7">
      <c r="A6328" s="1" t="s">
        <v>18165</v>
      </c>
      <c r="B6328" s="1" t="s">
        <v>18166</v>
      </c>
      <c r="C6328">
        <f>(1-(B7/100))*450.46</f>
        <v>450.46</v>
      </c>
      <c r="D6328" s="1">
        <v>0</v>
      </c>
      <c r="E6328">
        <f>D6328*C6328</f>
        <v>0</v>
      </c>
      <c r="F6328" s="1" t="s">
        <v>18167</v>
      </c>
      <c r="G6328" s="17">
        <v>74327</v>
      </c>
    </row>
    <row r="6329" spans="1:7">
      <c r="A6329" s="1" t="s">
        <v>18168</v>
      </c>
      <c r="B6329" s="1" t="s">
        <v>18169</v>
      </c>
      <c r="C6329">
        <f>(1-(B7/100))*464.91</f>
        <v>464.91</v>
      </c>
      <c r="D6329" s="1">
        <v>0</v>
      </c>
      <c r="E6329">
        <f>D6329*C6329</f>
        <v>0</v>
      </c>
      <c r="F6329" s="1" t="s">
        <v>16</v>
      </c>
      <c r="G6329" s="17">
        <v>74334</v>
      </c>
    </row>
    <row r="6330" spans="1:7">
      <c r="A6330" s="1" t="s">
        <v>18170</v>
      </c>
      <c r="B6330" s="1" t="s">
        <v>18171</v>
      </c>
      <c r="C6330">
        <f>(1-(B7/100))*455.98</f>
        <v>455.98</v>
      </c>
      <c r="D6330" s="1">
        <v>0</v>
      </c>
      <c r="E6330">
        <f>D6330*C6330</f>
        <v>0</v>
      </c>
      <c r="F6330" s="1" t="s">
        <v>18172</v>
      </c>
      <c r="G6330" s="17">
        <v>74335</v>
      </c>
    </row>
    <row r="6331" spans="1:7">
      <c r="A6331" s="1" t="s">
        <v>18173</v>
      </c>
      <c r="B6331" s="1" t="s">
        <v>18174</v>
      </c>
      <c r="C6331">
        <f>(1-(B7/100))*265.39</f>
        <v>265.39</v>
      </c>
      <c r="D6331" s="1">
        <v>0</v>
      </c>
      <c r="E6331">
        <f>D6331*C6331</f>
        <v>0</v>
      </c>
      <c r="F6331" s="1" t="s">
        <v>18175</v>
      </c>
      <c r="G6331" s="17">
        <v>74336</v>
      </c>
    </row>
    <row r="6332" spans="1:7">
      <c r="A6332" s="1" t="s">
        <v>18176</v>
      </c>
      <c r="B6332" s="1" t="s">
        <v>18177</v>
      </c>
      <c r="C6332">
        <f>(1-(B7/100))*504.65</f>
        <v>504.65</v>
      </c>
      <c r="D6332" s="1">
        <v>0</v>
      </c>
      <c r="E6332">
        <f>D6332*C6332</f>
        <v>0</v>
      </c>
      <c r="F6332" s="1" t="s">
        <v>18178</v>
      </c>
      <c r="G6332" s="17">
        <v>74340</v>
      </c>
    </row>
    <row r="6333" spans="1:7">
      <c r="A6333" s="1" t="s">
        <v>18179</v>
      </c>
      <c r="B6333" s="1" t="s">
        <v>18180</v>
      </c>
      <c r="C6333">
        <f>(1-(B7/100))*584.23</f>
        <v>584.23</v>
      </c>
      <c r="D6333" s="1">
        <v>0</v>
      </c>
      <c r="E6333">
        <f>D6333*C6333</f>
        <v>0</v>
      </c>
      <c r="F6333" s="1" t="s">
        <v>18181</v>
      </c>
      <c r="G6333" s="17">
        <v>74345</v>
      </c>
    </row>
    <row r="6334" spans="1:7">
      <c r="A6334" s="1" t="s">
        <v>18182</v>
      </c>
      <c r="B6334" s="1" t="s">
        <v>18183</v>
      </c>
      <c r="C6334">
        <f>(1-(B7/100))*746.75</f>
        <v>746.75</v>
      </c>
      <c r="D6334" s="1">
        <v>0</v>
      </c>
      <c r="E6334">
        <f>D6334*C6334</f>
        <v>0</v>
      </c>
      <c r="F6334" s="1" t="s">
        <v>18184</v>
      </c>
      <c r="G6334" s="17">
        <v>85708</v>
      </c>
    </row>
    <row r="6335" spans="1:7">
      <c r="A6335" s="1" t="s">
        <v>18185</v>
      </c>
      <c r="B6335" s="1" t="s">
        <v>18186</v>
      </c>
      <c r="C6335">
        <f>(1-(B7/100))*543.45</f>
        <v>543.45</v>
      </c>
      <c r="D6335" s="1">
        <v>0</v>
      </c>
      <c r="E6335">
        <f>D6335*C6335</f>
        <v>0</v>
      </c>
      <c r="F6335" s="1" t="s">
        <v>18187</v>
      </c>
      <c r="G6335" s="17">
        <v>85711</v>
      </c>
    </row>
    <row r="6336" spans="1:7">
      <c r="A6336" s="1" t="s">
        <v>18188</v>
      </c>
      <c r="B6336" s="1" t="s">
        <v>18189</v>
      </c>
      <c r="C6336">
        <f>(1-(B7/100))*746.75</f>
        <v>746.75</v>
      </c>
      <c r="D6336" s="1">
        <v>0</v>
      </c>
      <c r="E6336">
        <f>D6336*C6336</f>
        <v>0</v>
      </c>
      <c r="F6336" s="1" t="s">
        <v>18190</v>
      </c>
      <c r="G6336" s="17">
        <v>85715</v>
      </c>
    </row>
    <row r="6337" spans="1:7">
      <c r="A6337" s="1" t="s">
        <v>18191</v>
      </c>
      <c r="B6337" s="1" t="s">
        <v>18192</v>
      </c>
      <c r="C6337">
        <f>(1-(B7/100))*543.45</f>
        <v>543.45</v>
      </c>
      <c r="D6337" s="1">
        <v>0</v>
      </c>
      <c r="E6337">
        <f>D6337*C6337</f>
        <v>0</v>
      </c>
      <c r="F6337" s="1" t="s">
        <v>16</v>
      </c>
      <c r="G6337" s="17">
        <v>85724</v>
      </c>
    </row>
    <row r="6338" spans="1:7">
      <c r="A6338" s="1" t="s">
        <v>18193</v>
      </c>
      <c r="B6338" s="1" t="s">
        <v>18194</v>
      </c>
      <c r="C6338">
        <f>(1-(B7/100))*746.75</f>
        <v>746.75</v>
      </c>
      <c r="D6338" s="1">
        <v>0</v>
      </c>
      <c r="E6338">
        <f>D6338*C6338</f>
        <v>0</v>
      </c>
      <c r="F6338" s="1" t="s">
        <v>18195</v>
      </c>
      <c r="G6338" s="17">
        <v>85732</v>
      </c>
    </row>
    <row r="6339" spans="1:7">
      <c r="A6339" s="16"/>
      <c r="B6339" s="16" t="s">
        <v>18196</v>
      </c>
      <c r="C6339" s="16"/>
      <c r="D6339" s="16"/>
      <c r="E6339" s="16"/>
      <c r="F6339" s="16"/>
    </row>
    <row r="6340" spans="1:7">
      <c r="A6340" s="1" t="s">
        <v>18197</v>
      </c>
      <c r="B6340" s="1" t="s">
        <v>18198</v>
      </c>
      <c r="C6340">
        <f>(1-(B7/100))*910.05</f>
        <v>910.05</v>
      </c>
      <c r="D6340" s="1">
        <v>0</v>
      </c>
      <c r="E6340">
        <f>D6340*C6340</f>
        <v>0</v>
      </c>
      <c r="F6340" s="1" t="s">
        <v>18199</v>
      </c>
      <c r="G6340" s="17">
        <v>64811</v>
      </c>
    </row>
    <row r="6341" spans="1:7">
      <c r="A6341" s="1" t="s">
        <v>18200</v>
      </c>
      <c r="B6341" s="1" t="s">
        <v>18201</v>
      </c>
      <c r="C6341">
        <f>(1-(B7/100))*1168.56</f>
        <v>1168.56</v>
      </c>
      <c r="D6341" s="1">
        <v>0</v>
      </c>
      <c r="E6341">
        <f>D6341*C6341</f>
        <v>0</v>
      </c>
      <c r="F6341" s="1" t="s">
        <v>18202</v>
      </c>
      <c r="G6341" s="17">
        <v>64816</v>
      </c>
    </row>
    <row r="6342" spans="1:7">
      <c r="A6342" s="1" t="s">
        <v>18203</v>
      </c>
      <c r="B6342" s="1" t="s">
        <v>18204</v>
      </c>
      <c r="C6342">
        <f>(1-(B7/100))*541.09</f>
        <v>541.09</v>
      </c>
      <c r="D6342" s="1">
        <v>0</v>
      </c>
      <c r="E6342">
        <f>D6342*C6342</f>
        <v>0</v>
      </c>
      <c r="F6342" s="1" t="s">
        <v>18205</v>
      </c>
      <c r="G6342" s="17">
        <v>84974</v>
      </c>
    </row>
    <row r="6343" spans="1:7">
      <c r="A6343" s="1" t="s">
        <v>18206</v>
      </c>
      <c r="B6343" s="1" t="s">
        <v>18207</v>
      </c>
      <c r="C6343">
        <f>(1-(B7/100))*541.09</f>
        <v>541.09</v>
      </c>
      <c r="D6343" s="1">
        <v>0</v>
      </c>
      <c r="E6343">
        <f>D6343*C6343</f>
        <v>0</v>
      </c>
      <c r="F6343" s="1" t="s">
        <v>18208</v>
      </c>
      <c r="G6343" s="17">
        <v>84976</v>
      </c>
    </row>
    <row r="6344" spans="1:7">
      <c r="A6344" s="1" t="s">
        <v>18209</v>
      </c>
      <c r="B6344" s="1" t="s">
        <v>18210</v>
      </c>
      <c r="C6344">
        <f>(1-(B7/100))*541.09</f>
        <v>541.09</v>
      </c>
      <c r="D6344" s="1">
        <v>0</v>
      </c>
      <c r="E6344">
        <f>D6344*C6344</f>
        <v>0</v>
      </c>
      <c r="F6344" s="1" t="s">
        <v>18211</v>
      </c>
      <c r="G6344" s="17">
        <v>84977</v>
      </c>
    </row>
    <row r="6345" spans="1:7">
      <c r="A6345" s="16"/>
      <c r="B6345" s="16" t="s">
        <v>18212</v>
      </c>
      <c r="C6345" s="16"/>
      <c r="D6345" s="16"/>
      <c r="E6345" s="16"/>
      <c r="F6345" s="16"/>
    </row>
    <row r="6346" spans="1:7">
      <c r="A6346" s="1" t="s">
        <v>18213</v>
      </c>
      <c r="B6346" s="1" t="s">
        <v>18214</v>
      </c>
      <c r="C6346">
        <f>(1-(B7/100))*2838.08</f>
        <v>2838.08</v>
      </c>
      <c r="D6346" s="1">
        <v>0</v>
      </c>
      <c r="E6346">
        <f>D6346*C6346</f>
        <v>0</v>
      </c>
      <c r="F6346" s="1" t="s">
        <v>18215</v>
      </c>
      <c r="G6346" s="17">
        <v>62952</v>
      </c>
    </row>
    <row r="6347" spans="1:7">
      <c r="A6347" s="1" t="s">
        <v>18216</v>
      </c>
      <c r="B6347" s="1" t="s">
        <v>18217</v>
      </c>
      <c r="C6347">
        <f>(1-(B7/100))*1890.32</f>
        <v>1890.32</v>
      </c>
      <c r="D6347" s="1">
        <v>0</v>
      </c>
      <c r="E6347">
        <f>D6347*C6347</f>
        <v>0</v>
      </c>
      <c r="F6347" s="1" t="s">
        <v>18218</v>
      </c>
      <c r="G6347" s="17">
        <v>62968</v>
      </c>
    </row>
    <row r="6348" spans="1:7">
      <c r="A6348" s="1" t="s">
        <v>18219</v>
      </c>
      <c r="B6348" s="1" t="s">
        <v>18220</v>
      </c>
      <c r="C6348">
        <f>(1-(B7/100))*3378.43</f>
        <v>3378.43</v>
      </c>
      <c r="D6348" s="1">
        <v>0</v>
      </c>
      <c r="E6348">
        <f>D6348*C6348</f>
        <v>0</v>
      </c>
      <c r="F6348" s="1" t="s">
        <v>18221</v>
      </c>
      <c r="G6348" s="17">
        <v>63551</v>
      </c>
    </row>
    <row r="6349" spans="1:7">
      <c r="A6349" s="1" t="s">
        <v>18222</v>
      </c>
      <c r="B6349" s="1" t="s">
        <v>18223</v>
      </c>
      <c r="C6349">
        <f>(1-(B7/100))*3608.16</f>
        <v>3608.16</v>
      </c>
      <c r="D6349" s="1">
        <v>0</v>
      </c>
      <c r="E6349">
        <f>D6349*C6349</f>
        <v>0</v>
      </c>
      <c r="F6349" s="1" t="s">
        <v>18224</v>
      </c>
      <c r="G6349" s="17">
        <v>63597</v>
      </c>
    </row>
    <row r="6350" spans="1:7">
      <c r="A6350" s="1" t="s">
        <v>18225</v>
      </c>
      <c r="B6350" s="1" t="s">
        <v>18226</v>
      </c>
      <c r="C6350">
        <f>(1-(B7/100))*2759.05</f>
        <v>2759.05</v>
      </c>
      <c r="D6350" s="1">
        <v>0</v>
      </c>
      <c r="E6350">
        <f>D6350*C6350</f>
        <v>0</v>
      </c>
      <c r="F6350" s="1" t="s">
        <v>18227</v>
      </c>
      <c r="G6350" s="17">
        <v>63930</v>
      </c>
    </row>
    <row r="6351" spans="1:7">
      <c r="A6351" s="1" t="s">
        <v>18228</v>
      </c>
      <c r="B6351" s="1" t="s">
        <v>18229</v>
      </c>
      <c r="C6351">
        <f>(1-(B7/100))*3153.15</f>
        <v>3153.15</v>
      </c>
      <c r="D6351" s="1">
        <v>0</v>
      </c>
      <c r="E6351">
        <f>D6351*C6351</f>
        <v>0</v>
      </c>
      <c r="F6351" s="1" t="s">
        <v>18230</v>
      </c>
      <c r="G6351" s="17">
        <v>63931</v>
      </c>
    </row>
    <row r="6352" spans="1:7">
      <c r="A6352" s="1" t="s">
        <v>18231</v>
      </c>
      <c r="B6352" s="1" t="s">
        <v>18232</v>
      </c>
      <c r="C6352">
        <f>(1-(B7/100))*2759.05</f>
        <v>2759.05</v>
      </c>
      <c r="D6352" s="1">
        <v>0</v>
      </c>
      <c r="E6352">
        <f>D6352*C6352</f>
        <v>0</v>
      </c>
      <c r="F6352" s="1" t="s">
        <v>18233</v>
      </c>
      <c r="G6352" s="17">
        <v>63932</v>
      </c>
    </row>
    <row r="6353" spans="1:7">
      <c r="A6353" s="1" t="s">
        <v>18234</v>
      </c>
      <c r="B6353" s="1" t="s">
        <v>18235</v>
      </c>
      <c r="C6353">
        <f>(1-(B7/100))*3330.71</f>
        <v>3330.71</v>
      </c>
      <c r="D6353" s="1">
        <v>0</v>
      </c>
      <c r="E6353">
        <f>D6353*C6353</f>
        <v>0</v>
      </c>
      <c r="F6353" s="1" t="s">
        <v>18236</v>
      </c>
      <c r="G6353" s="17">
        <v>63933</v>
      </c>
    </row>
    <row r="6354" spans="1:7">
      <c r="A6354" s="1" t="s">
        <v>18237</v>
      </c>
      <c r="B6354" s="1" t="s">
        <v>18238</v>
      </c>
      <c r="C6354">
        <f>(1-(B7/100))*2759.05</f>
        <v>2759.05</v>
      </c>
      <c r="D6354" s="1">
        <v>0</v>
      </c>
      <c r="E6354">
        <f>D6354*C6354</f>
        <v>0</v>
      </c>
      <c r="F6354" s="1" t="s">
        <v>18239</v>
      </c>
      <c r="G6354" s="17">
        <v>63934</v>
      </c>
    </row>
    <row r="6355" spans="1:7">
      <c r="A6355" s="1" t="s">
        <v>18240</v>
      </c>
      <c r="B6355" s="1" t="s">
        <v>18241</v>
      </c>
      <c r="C6355">
        <f>(1-(B7/100))*2702.75</f>
        <v>2702.75</v>
      </c>
      <c r="D6355" s="1">
        <v>0</v>
      </c>
      <c r="E6355">
        <f>D6355*C6355</f>
        <v>0</v>
      </c>
      <c r="F6355" s="1" t="s">
        <v>18242</v>
      </c>
      <c r="G6355" s="17">
        <v>63935</v>
      </c>
    </row>
    <row r="6356" spans="1:7">
      <c r="A6356" s="1" t="s">
        <v>18243</v>
      </c>
      <c r="B6356" s="1" t="s">
        <v>18244</v>
      </c>
      <c r="C6356">
        <f>(1-(B7/100))*2759.05</f>
        <v>2759.05</v>
      </c>
      <c r="D6356" s="1">
        <v>0</v>
      </c>
      <c r="E6356">
        <f>D6356*C6356</f>
        <v>0</v>
      </c>
      <c r="F6356" s="1" t="s">
        <v>18245</v>
      </c>
      <c r="G6356" s="17">
        <v>63936</v>
      </c>
    </row>
    <row r="6357" spans="1:7">
      <c r="A6357" s="1" t="s">
        <v>18246</v>
      </c>
      <c r="B6357" s="1" t="s">
        <v>18247</v>
      </c>
      <c r="C6357">
        <f>(1-(B7/100))*2759.05</f>
        <v>2759.05</v>
      </c>
      <c r="D6357" s="1">
        <v>0</v>
      </c>
      <c r="E6357">
        <f>D6357*C6357</f>
        <v>0</v>
      </c>
      <c r="F6357" s="1" t="s">
        <v>18248</v>
      </c>
      <c r="G6357" s="17">
        <v>63956</v>
      </c>
    </row>
    <row r="6358" spans="1:7">
      <c r="A6358" s="1" t="s">
        <v>18249</v>
      </c>
      <c r="B6358" s="1" t="s">
        <v>18250</v>
      </c>
      <c r="C6358">
        <f>(1-(B7/100))*3383.31</f>
        <v>3383.31</v>
      </c>
      <c r="D6358" s="1">
        <v>0</v>
      </c>
      <c r="E6358">
        <f>D6358*C6358</f>
        <v>0</v>
      </c>
      <c r="F6358" s="1" t="s">
        <v>18251</v>
      </c>
      <c r="G6358" s="17">
        <v>63960</v>
      </c>
    </row>
    <row r="6359" spans="1:7">
      <c r="A6359" s="1" t="s">
        <v>18252</v>
      </c>
      <c r="B6359" s="1" t="s">
        <v>18253</v>
      </c>
      <c r="C6359">
        <f>(1-(B7/100))*3378.43</f>
        <v>3378.43</v>
      </c>
      <c r="D6359" s="1">
        <v>0</v>
      </c>
      <c r="E6359">
        <f>D6359*C6359</f>
        <v>0</v>
      </c>
      <c r="F6359" s="1" t="s">
        <v>18254</v>
      </c>
      <c r="G6359" s="17">
        <v>63961</v>
      </c>
    </row>
    <row r="6360" spans="1:7">
      <c r="A6360" s="1" t="s">
        <v>18255</v>
      </c>
      <c r="B6360" s="1" t="s">
        <v>18256</v>
      </c>
      <c r="C6360">
        <f>(1-(B7/100))*3378.43</f>
        <v>3378.43</v>
      </c>
      <c r="D6360" s="1">
        <v>0</v>
      </c>
      <c r="E6360">
        <f>D6360*C6360</f>
        <v>0</v>
      </c>
      <c r="F6360" s="1" t="s">
        <v>18257</v>
      </c>
      <c r="G6360" s="17">
        <v>63962</v>
      </c>
    </row>
    <row r="6361" spans="1:7">
      <c r="A6361" s="1" t="s">
        <v>18258</v>
      </c>
      <c r="B6361" s="1" t="s">
        <v>18259</v>
      </c>
      <c r="C6361">
        <f>(1-(B7/100))*3378.43</f>
        <v>3378.43</v>
      </c>
      <c r="D6361" s="1">
        <v>0</v>
      </c>
      <c r="E6361">
        <f>D6361*C6361</f>
        <v>0</v>
      </c>
      <c r="F6361" s="1" t="s">
        <v>18260</v>
      </c>
      <c r="G6361" s="17">
        <v>63963</v>
      </c>
    </row>
    <row r="6362" spans="1:7">
      <c r="A6362" s="1" t="s">
        <v>18261</v>
      </c>
      <c r="B6362" s="1" t="s">
        <v>18262</v>
      </c>
      <c r="C6362">
        <f>(1-(B7/100))*3378.43</f>
        <v>3378.43</v>
      </c>
      <c r="D6362" s="1">
        <v>0</v>
      </c>
      <c r="E6362">
        <f>D6362*C6362</f>
        <v>0</v>
      </c>
      <c r="F6362" s="1" t="s">
        <v>18263</v>
      </c>
      <c r="G6362" s="17">
        <v>63964</v>
      </c>
    </row>
    <row r="6363" spans="1:7">
      <c r="A6363" s="1" t="s">
        <v>18264</v>
      </c>
      <c r="B6363" s="1" t="s">
        <v>18265</v>
      </c>
      <c r="C6363">
        <f>(1-(B7/100))*3378.43</f>
        <v>3378.43</v>
      </c>
      <c r="D6363" s="1">
        <v>0</v>
      </c>
      <c r="E6363">
        <f>D6363*C6363</f>
        <v>0</v>
      </c>
      <c r="F6363" s="1" t="s">
        <v>16</v>
      </c>
      <c r="G6363" s="17">
        <v>63965</v>
      </c>
    </row>
    <row r="6364" spans="1:7">
      <c r="A6364" s="1" t="s">
        <v>18266</v>
      </c>
      <c r="B6364" s="1" t="s">
        <v>18267</v>
      </c>
      <c r="C6364">
        <f>(1-(B7/100))*3608.16</f>
        <v>3608.16</v>
      </c>
      <c r="D6364" s="1">
        <v>0</v>
      </c>
      <c r="E6364">
        <f>D6364*C6364</f>
        <v>0</v>
      </c>
      <c r="F6364" s="1" t="s">
        <v>18268</v>
      </c>
      <c r="G6364" s="17">
        <v>66285</v>
      </c>
    </row>
    <row r="6365" spans="1:7">
      <c r="A6365" s="1" t="s">
        <v>18269</v>
      </c>
      <c r="B6365" s="1" t="s">
        <v>18270</v>
      </c>
      <c r="C6365">
        <f>(1-(B7/100))*2343.72</f>
        <v>2343.72</v>
      </c>
      <c r="D6365" s="1">
        <v>0</v>
      </c>
      <c r="E6365">
        <f>D6365*C6365</f>
        <v>0</v>
      </c>
      <c r="F6365" s="1" t="s">
        <v>18271</v>
      </c>
      <c r="G6365" s="17">
        <v>69594</v>
      </c>
    </row>
    <row r="6366" spans="1:7">
      <c r="A6366" s="1" t="s">
        <v>18272</v>
      </c>
      <c r="B6366" s="1" t="s">
        <v>18273</v>
      </c>
      <c r="C6366">
        <f>(1-(B7/100))*3608.16</f>
        <v>3608.16</v>
      </c>
      <c r="D6366" s="1">
        <v>0</v>
      </c>
      <c r="E6366">
        <f>D6366*C6366</f>
        <v>0</v>
      </c>
      <c r="F6366" s="1" t="s">
        <v>18274</v>
      </c>
      <c r="G6366" s="17">
        <v>69600</v>
      </c>
    </row>
    <row r="6367" spans="1:7">
      <c r="A6367" s="1" t="s">
        <v>18275</v>
      </c>
      <c r="B6367" s="1" t="s">
        <v>18276</v>
      </c>
      <c r="C6367">
        <f>(1-(B7/100))*3608.16</f>
        <v>3608.16</v>
      </c>
      <c r="D6367" s="1">
        <v>0</v>
      </c>
      <c r="E6367">
        <f>D6367*C6367</f>
        <v>0</v>
      </c>
      <c r="F6367" s="1" t="s">
        <v>18277</v>
      </c>
      <c r="G6367" s="17">
        <v>69601</v>
      </c>
    </row>
    <row r="6368" spans="1:7">
      <c r="A6368" s="1" t="s">
        <v>18278</v>
      </c>
      <c r="B6368" s="1" t="s">
        <v>18279</v>
      </c>
      <c r="C6368">
        <f>(1-(B7/100))*1238.76</f>
        <v>1238.76</v>
      </c>
      <c r="D6368" s="1">
        <v>0</v>
      </c>
      <c r="E6368">
        <f>D6368*C6368</f>
        <v>0</v>
      </c>
      <c r="F6368" s="1" t="s">
        <v>18280</v>
      </c>
      <c r="G6368" s="17">
        <v>71310</v>
      </c>
    </row>
    <row r="6369" spans="1:7">
      <c r="A6369" s="1" t="s">
        <v>18281</v>
      </c>
      <c r="B6369" s="1" t="s">
        <v>18282</v>
      </c>
      <c r="C6369">
        <f>(1-(B7/100))*3608.16</f>
        <v>3608.16</v>
      </c>
      <c r="D6369" s="1">
        <v>0</v>
      </c>
      <c r="E6369">
        <f>D6369*C6369</f>
        <v>0</v>
      </c>
      <c r="F6369" s="1" t="s">
        <v>18283</v>
      </c>
      <c r="G6369" s="17">
        <v>71311</v>
      </c>
    </row>
    <row r="6370" spans="1:7">
      <c r="A6370" s="1" t="s">
        <v>18284</v>
      </c>
      <c r="B6370" s="1" t="s">
        <v>18285</v>
      </c>
      <c r="C6370">
        <f>(1-(B7/100))*569.29</f>
        <v>569.29</v>
      </c>
      <c r="D6370" s="1">
        <v>0</v>
      </c>
      <c r="E6370">
        <f>D6370*C6370</f>
        <v>0</v>
      </c>
      <c r="F6370" s="1" t="s">
        <v>18286</v>
      </c>
      <c r="G6370" s="17">
        <v>71312</v>
      </c>
    </row>
    <row r="6371" spans="1:7">
      <c r="A6371" s="1" t="s">
        <v>18287</v>
      </c>
      <c r="B6371" s="1" t="s">
        <v>18288</v>
      </c>
      <c r="C6371">
        <f>(1-(B7/100))*1610.39</f>
        <v>1610.39</v>
      </c>
      <c r="D6371" s="1">
        <v>0</v>
      </c>
      <c r="E6371">
        <f>D6371*C6371</f>
        <v>0</v>
      </c>
      <c r="F6371" s="1" t="s">
        <v>18289</v>
      </c>
      <c r="G6371" s="17">
        <v>71314</v>
      </c>
    </row>
    <row r="6372" spans="1:7">
      <c r="A6372" s="1" t="s">
        <v>18290</v>
      </c>
      <c r="B6372" s="1" t="s">
        <v>18291</v>
      </c>
      <c r="C6372">
        <f>(1-(B7/100))*2743.94</f>
        <v>2743.94</v>
      </c>
      <c r="D6372" s="1">
        <v>0</v>
      </c>
      <c r="E6372">
        <f>D6372*C6372</f>
        <v>0</v>
      </c>
      <c r="F6372" s="1" t="s">
        <v>18292</v>
      </c>
      <c r="G6372" s="17">
        <v>71315</v>
      </c>
    </row>
    <row r="6373" spans="1:7">
      <c r="A6373" s="1" t="s">
        <v>18293</v>
      </c>
      <c r="B6373" s="1" t="s">
        <v>18294</v>
      </c>
      <c r="C6373">
        <f>(1-(B7/100))*1656.64</f>
        <v>1656.64</v>
      </c>
      <c r="D6373" s="1">
        <v>0</v>
      </c>
      <c r="E6373">
        <f>D6373*C6373</f>
        <v>0</v>
      </c>
      <c r="F6373" s="1" t="s">
        <v>18295</v>
      </c>
      <c r="G6373" s="17">
        <v>71316</v>
      </c>
    </row>
    <row r="6374" spans="1:7">
      <c r="A6374" s="1" t="s">
        <v>18296</v>
      </c>
      <c r="B6374" s="1" t="s">
        <v>18297</v>
      </c>
      <c r="C6374">
        <f>(1-(B7/100))*983.68</f>
        <v>983.68</v>
      </c>
      <c r="D6374" s="1">
        <v>0</v>
      </c>
      <c r="E6374">
        <f>D6374*C6374</f>
        <v>0</v>
      </c>
      <c r="F6374" s="1" t="s">
        <v>18298</v>
      </c>
      <c r="G6374" s="17">
        <v>71317</v>
      </c>
    </row>
    <row r="6375" spans="1:7">
      <c r="A6375" s="1" t="s">
        <v>18299</v>
      </c>
      <c r="B6375" s="1" t="s">
        <v>18300</v>
      </c>
      <c r="C6375">
        <f>(1-(B7/100))*1814.27</f>
        <v>1814.27</v>
      </c>
      <c r="D6375" s="1">
        <v>0</v>
      </c>
      <c r="E6375">
        <f>D6375*C6375</f>
        <v>0</v>
      </c>
      <c r="F6375" s="1" t="s">
        <v>18301</v>
      </c>
      <c r="G6375" s="17">
        <v>71318</v>
      </c>
    </row>
    <row r="6376" spans="1:7">
      <c r="A6376" s="1" t="s">
        <v>18302</v>
      </c>
      <c r="B6376" s="1" t="s">
        <v>18303</v>
      </c>
      <c r="C6376">
        <f>(1-(B7/100))*2586.02</f>
        <v>2586.02</v>
      </c>
      <c r="D6376" s="1">
        <v>0</v>
      </c>
      <c r="E6376">
        <f>D6376*C6376</f>
        <v>0</v>
      </c>
      <c r="F6376" s="1" t="s">
        <v>18304</v>
      </c>
      <c r="G6376" s="17">
        <v>71321</v>
      </c>
    </row>
    <row r="6377" spans="1:7">
      <c r="A6377" s="1" t="s">
        <v>18305</v>
      </c>
      <c r="B6377" s="1" t="s">
        <v>18306</v>
      </c>
      <c r="C6377">
        <f>(1-(B7/100))*1769.59</f>
        <v>1769.59</v>
      </c>
      <c r="D6377" s="1">
        <v>0</v>
      </c>
      <c r="E6377">
        <f>D6377*C6377</f>
        <v>0</v>
      </c>
      <c r="F6377" s="1" t="s">
        <v>18307</v>
      </c>
      <c r="G6377" s="17">
        <v>71322</v>
      </c>
    </row>
    <row r="6378" spans="1:7">
      <c r="A6378" s="1" t="s">
        <v>18308</v>
      </c>
      <c r="B6378" s="1" t="s">
        <v>18309</v>
      </c>
      <c r="C6378">
        <f>(1-(B7/100))*2838.08</f>
        <v>2838.08</v>
      </c>
      <c r="D6378" s="1">
        <v>0</v>
      </c>
      <c r="E6378">
        <f>D6378*C6378</f>
        <v>0</v>
      </c>
      <c r="F6378" s="1" t="s">
        <v>18310</v>
      </c>
      <c r="G6378" s="17">
        <v>71323</v>
      </c>
    </row>
    <row r="6379" spans="1:7">
      <c r="A6379" s="1" t="s">
        <v>18311</v>
      </c>
      <c r="B6379" s="1" t="s">
        <v>18312</v>
      </c>
      <c r="C6379">
        <f>(1-(B7/100))*2586.02</f>
        <v>2586.02</v>
      </c>
      <c r="D6379" s="1">
        <v>0</v>
      </c>
      <c r="E6379">
        <f>D6379*C6379</f>
        <v>0</v>
      </c>
      <c r="F6379" s="1" t="s">
        <v>16</v>
      </c>
      <c r="G6379" s="17">
        <v>71324</v>
      </c>
    </row>
    <row r="6380" spans="1:7">
      <c r="A6380" s="1" t="s">
        <v>18313</v>
      </c>
      <c r="B6380" s="1" t="s">
        <v>18314</v>
      </c>
      <c r="C6380">
        <f>(1-(B7/100))*1890.32</f>
        <v>1890.32</v>
      </c>
      <c r="D6380" s="1">
        <v>0</v>
      </c>
      <c r="E6380">
        <f>D6380*C6380</f>
        <v>0</v>
      </c>
      <c r="F6380" s="1" t="s">
        <v>18315</v>
      </c>
      <c r="G6380" s="17">
        <v>71325</v>
      </c>
    </row>
    <row r="6381" spans="1:7">
      <c r="A6381" s="1" t="s">
        <v>18316</v>
      </c>
      <c r="B6381" s="1" t="s">
        <v>18317</v>
      </c>
      <c r="C6381">
        <f>(1-(B7/100))*2716.13</f>
        <v>2716.13</v>
      </c>
      <c r="D6381" s="1">
        <v>0</v>
      </c>
      <c r="E6381">
        <f>D6381*C6381</f>
        <v>0</v>
      </c>
      <c r="F6381" s="1" t="s">
        <v>18318</v>
      </c>
      <c r="G6381" s="17">
        <v>71327</v>
      </c>
    </row>
    <row r="6382" spans="1:7">
      <c r="A6382" s="1" t="s">
        <v>18319</v>
      </c>
      <c r="B6382" s="1" t="s">
        <v>18320</v>
      </c>
      <c r="C6382">
        <f>(1-(B7/100))*2716.13</f>
        <v>2716.13</v>
      </c>
      <c r="D6382" s="1">
        <v>0</v>
      </c>
      <c r="E6382">
        <f>D6382*C6382</f>
        <v>0</v>
      </c>
      <c r="F6382" s="1" t="s">
        <v>18321</v>
      </c>
      <c r="G6382" s="17">
        <v>71328</v>
      </c>
    </row>
    <row r="6383" spans="1:7">
      <c r="A6383" s="1" t="s">
        <v>18322</v>
      </c>
      <c r="B6383" s="1" t="s">
        <v>18323</v>
      </c>
      <c r="C6383">
        <f>(1-(B7/100))*2838.08</f>
        <v>2838.08</v>
      </c>
      <c r="D6383" s="1">
        <v>0</v>
      </c>
      <c r="E6383">
        <f>D6383*C6383</f>
        <v>0</v>
      </c>
      <c r="F6383" s="1" t="s">
        <v>18324</v>
      </c>
      <c r="G6383" s="17">
        <v>71329</v>
      </c>
    </row>
    <row r="6384" spans="1:7">
      <c r="A6384" s="1" t="s">
        <v>18325</v>
      </c>
      <c r="B6384" s="1" t="s">
        <v>18326</v>
      </c>
      <c r="C6384">
        <f>(1-(B7/100))*2838.08</f>
        <v>2838.08</v>
      </c>
      <c r="D6384" s="1">
        <v>0</v>
      </c>
      <c r="E6384">
        <f>D6384*C6384</f>
        <v>0</v>
      </c>
      <c r="F6384" s="1" t="s">
        <v>18327</v>
      </c>
      <c r="G6384" s="17">
        <v>71330</v>
      </c>
    </row>
    <row r="6385" spans="1:7">
      <c r="A6385" s="1" t="s">
        <v>18328</v>
      </c>
      <c r="B6385" s="1" t="s">
        <v>18329</v>
      </c>
      <c r="C6385">
        <f>(1-(B7/100))*2838.08</f>
        <v>2838.08</v>
      </c>
      <c r="D6385" s="1">
        <v>0</v>
      </c>
      <c r="E6385">
        <f>D6385*C6385</f>
        <v>0</v>
      </c>
      <c r="F6385" s="1" t="s">
        <v>18330</v>
      </c>
      <c r="G6385" s="17">
        <v>71331</v>
      </c>
    </row>
    <row r="6386" spans="1:7">
      <c r="A6386" s="1" t="s">
        <v>18331</v>
      </c>
      <c r="B6386" s="1" t="s">
        <v>18332</v>
      </c>
      <c r="C6386">
        <f>(1-(B7/100))*1769.59</f>
        <v>1769.59</v>
      </c>
      <c r="D6386" s="1">
        <v>0</v>
      </c>
      <c r="E6386">
        <f>D6386*C6386</f>
        <v>0</v>
      </c>
      <c r="F6386" s="1" t="s">
        <v>18333</v>
      </c>
      <c r="G6386" s="17">
        <v>71340</v>
      </c>
    </row>
    <row r="6387" spans="1:7">
      <c r="A6387" s="1" t="s">
        <v>18334</v>
      </c>
      <c r="B6387" s="1" t="s">
        <v>18335</v>
      </c>
      <c r="C6387">
        <f>(1-(B7/100))*2081.87</f>
        <v>2081.87</v>
      </c>
      <c r="D6387" s="1">
        <v>0</v>
      </c>
      <c r="E6387">
        <f>D6387*C6387</f>
        <v>0</v>
      </c>
      <c r="F6387" s="1" t="s">
        <v>16</v>
      </c>
      <c r="G6387" s="17">
        <v>71488</v>
      </c>
    </row>
    <row r="6388" spans="1:7">
      <c r="A6388" s="1" t="s">
        <v>18336</v>
      </c>
      <c r="B6388" s="1" t="s">
        <v>18337</v>
      </c>
      <c r="C6388">
        <f>(1-(B7/100))*728.65</f>
        <v>728.65</v>
      </c>
      <c r="D6388" s="1">
        <v>0</v>
      </c>
      <c r="E6388">
        <f>D6388*C6388</f>
        <v>0</v>
      </c>
      <c r="F6388" s="1" t="s">
        <v>16</v>
      </c>
      <c r="G6388" s="17">
        <v>72019</v>
      </c>
    </row>
    <row r="6389" spans="1:7">
      <c r="A6389" s="1" t="s">
        <v>18338</v>
      </c>
      <c r="B6389" s="1" t="s">
        <v>18339</v>
      </c>
      <c r="C6389">
        <f>(1-(B7/100))*1595.93</f>
        <v>1595.93</v>
      </c>
      <c r="D6389" s="1">
        <v>0</v>
      </c>
      <c r="E6389">
        <f>D6389*C6389</f>
        <v>0</v>
      </c>
      <c r="F6389" s="1" t="s">
        <v>16</v>
      </c>
      <c r="G6389" s="17">
        <v>72272</v>
      </c>
    </row>
    <row r="6390" spans="1:7">
      <c r="A6390" s="1" t="s">
        <v>18340</v>
      </c>
      <c r="B6390" s="1" t="s">
        <v>18341</v>
      </c>
      <c r="C6390">
        <f>(1-(B7/100))*1977.77</f>
        <v>1977.77</v>
      </c>
      <c r="D6390" s="1">
        <v>0</v>
      </c>
      <c r="E6390">
        <f>D6390*C6390</f>
        <v>0</v>
      </c>
      <c r="F6390" s="1" t="s">
        <v>18342</v>
      </c>
      <c r="G6390" s="17">
        <v>72273</v>
      </c>
    </row>
    <row r="6391" spans="1:7">
      <c r="A6391" s="1" t="s">
        <v>18343</v>
      </c>
      <c r="B6391" s="1" t="s">
        <v>18344</v>
      </c>
      <c r="C6391">
        <f>(1-(B7/100))*1977.77</f>
        <v>1977.77</v>
      </c>
      <c r="D6391" s="1">
        <v>0</v>
      </c>
      <c r="E6391">
        <f>D6391*C6391</f>
        <v>0</v>
      </c>
      <c r="F6391" s="1" t="s">
        <v>18345</v>
      </c>
      <c r="G6391" s="17">
        <v>72274</v>
      </c>
    </row>
    <row r="6392" spans="1:7">
      <c r="A6392" s="1" t="s">
        <v>18346</v>
      </c>
      <c r="B6392" s="1" t="s">
        <v>18347</v>
      </c>
      <c r="C6392">
        <f>(1-(B7/100))*1977.77</f>
        <v>1977.77</v>
      </c>
      <c r="D6392" s="1">
        <v>0</v>
      </c>
      <c r="E6392">
        <f>D6392*C6392</f>
        <v>0</v>
      </c>
      <c r="F6392" s="1" t="s">
        <v>18348</v>
      </c>
      <c r="G6392" s="17">
        <v>72275</v>
      </c>
    </row>
    <row r="6393" spans="1:7">
      <c r="A6393" s="1" t="s">
        <v>18349</v>
      </c>
      <c r="B6393" s="1" t="s">
        <v>18350</v>
      </c>
      <c r="C6393">
        <f>(1-(B7/100))*811.93</f>
        <v>811.93</v>
      </c>
      <c r="D6393" s="1">
        <v>0</v>
      </c>
      <c r="E6393">
        <f>D6393*C6393</f>
        <v>0</v>
      </c>
      <c r="F6393" s="1" t="s">
        <v>18351</v>
      </c>
      <c r="G6393" s="17">
        <v>72277</v>
      </c>
    </row>
    <row r="6394" spans="1:7">
      <c r="A6394" s="1" t="s">
        <v>18352</v>
      </c>
      <c r="B6394" s="1" t="s">
        <v>18353</v>
      </c>
      <c r="C6394">
        <f>(1-(B7/100))*2815.36</f>
        <v>2815.36</v>
      </c>
      <c r="D6394" s="1">
        <v>0</v>
      </c>
      <c r="E6394">
        <f>D6394*C6394</f>
        <v>0</v>
      </c>
      <c r="F6394" s="1" t="s">
        <v>18354</v>
      </c>
      <c r="G6394" s="17">
        <v>72514</v>
      </c>
    </row>
    <row r="6395" spans="1:7">
      <c r="A6395" s="1" t="s">
        <v>18355</v>
      </c>
      <c r="B6395" s="1" t="s">
        <v>18356</v>
      </c>
      <c r="C6395">
        <f>(1-(B7/100))*2815.36</f>
        <v>2815.36</v>
      </c>
      <c r="D6395" s="1">
        <v>0</v>
      </c>
      <c r="E6395">
        <f>D6395*C6395</f>
        <v>0</v>
      </c>
      <c r="F6395" s="1" t="s">
        <v>18357</v>
      </c>
      <c r="G6395" s="17">
        <v>72515</v>
      </c>
    </row>
    <row r="6396" spans="1:7">
      <c r="A6396" s="1" t="s">
        <v>18358</v>
      </c>
      <c r="B6396" s="1" t="s">
        <v>18359</v>
      </c>
      <c r="C6396">
        <f>(1-(B7/100))*2815.36</f>
        <v>2815.36</v>
      </c>
      <c r="D6396" s="1">
        <v>0</v>
      </c>
      <c r="E6396">
        <f>D6396*C6396</f>
        <v>0</v>
      </c>
      <c r="F6396" s="1" t="s">
        <v>18360</v>
      </c>
      <c r="G6396" s="17">
        <v>72516</v>
      </c>
    </row>
    <row r="6397" spans="1:7">
      <c r="A6397" s="1" t="s">
        <v>18361</v>
      </c>
      <c r="B6397" s="1" t="s">
        <v>18362</v>
      </c>
      <c r="C6397">
        <f>(1-(B7/100))*2815.36</f>
        <v>2815.36</v>
      </c>
      <c r="D6397" s="1">
        <v>0</v>
      </c>
      <c r="E6397">
        <f>D6397*C6397</f>
        <v>0</v>
      </c>
      <c r="F6397" s="1" t="s">
        <v>18363</v>
      </c>
      <c r="G6397" s="17">
        <v>72517</v>
      </c>
    </row>
    <row r="6398" spans="1:7">
      <c r="A6398" s="1" t="s">
        <v>18364</v>
      </c>
      <c r="B6398" s="1" t="s">
        <v>18365</v>
      </c>
      <c r="C6398">
        <f>(1-(B7/100))*1616.63</f>
        <v>1616.63</v>
      </c>
      <c r="D6398" s="1">
        <v>0</v>
      </c>
      <c r="E6398">
        <f>D6398*C6398</f>
        <v>0</v>
      </c>
      <c r="F6398" s="1" t="s">
        <v>18366</v>
      </c>
      <c r="G6398" s="17">
        <v>72678</v>
      </c>
    </row>
    <row r="6399" spans="1:7">
      <c r="A6399" s="1" t="s">
        <v>18367</v>
      </c>
      <c r="B6399" s="1" t="s">
        <v>18368</v>
      </c>
      <c r="C6399">
        <f>(1-(B7/100))*801.12</f>
        <v>801.12</v>
      </c>
      <c r="D6399" s="1">
        <v>0</v>
      </c>
      <c r="E6399">
        <f>D6399*C6399</f>
        <v>0</v>
      </c>
      <c r="F6399" s="1" t="s">
        <v>18369</v>
      </c>
      <c r="G6399" s="17">
        <v>72681</v>
      </c>
    </row>
    <row r="6400" spans="1:7">
      <c r="A6400" s="1" t="s">
        <v>18370</v>
      </c>
      <c r="B6400" s="1" t="s">
        <v>18371</v>
      </c>
      <c r="C6400">
        <f>(1-(B7/100))*936.84</f>
        <v>936.84</v>
      </c>
      <c r="D6400" s="1">
        <v>0</v>
      </c>
      <c r="E6400">
        <f>D6400*C6400</f>
        <v>0</v>
      </c>
      <c r="F6400" s="1" t="s">
        <v>18372</v>
      </c>
      <c r="G6400" s="17">
        <v>72682</v>
      </c>
    </row>
    <row r="6401" spans="1:7">
      <c r="A6401" s="1" t="s">
        <v>18373</v>
      </c>
      <c r="B6401" s="1" t="s">
        <v>18374</v>
      </c>
      <c r="C6401">
        <f>(1-(B7/100))*936.84</f>
        <v>936.84</v>
      </c>
      <c r="D6401" s="1">
        <v>0</v>
      </c>
      <c r="E6401">
        <f>D6401*C6401</f>
        <v>0</v>
      </c>
      <c r="F6401" s="1" t="s">
        <v>18375</v>
      </c>
      <c r="G6401" s="17">
        <v>72683</v>
      </c>
    </row>
    <row r="6402" spans="1:7">
      <c r="A6402" s="1" t="s">
        <v>18376</v>
      </c>
      <c r="B6402" s="1" t="s">
        <v>18377</v>
      </c>
      <c r="C6402">
        <f>(1-(B7/100))*936.84</f>
        <v>936.84</v>
      </c>
      <c r="D6402" s="1">
        <v>0</v>
      </c>
      <c r="E6402">
        <f>D6402*C6402</f>
        <v>0</v>
      </c>
      <c r="F6402" s="1" t="s">
        <v>18378</v>
      </c>
      <c r="G6402" s="17">
        <v>72684</v>
      </c>
    </row>
    <row r="6403" spans="1:7">
      <c r="A6403" s="1" t="s">
        <v>18379</v>
      </c>
      <c r="B6403" s="1" t="s">
        <v>18380</v>
      </c>
      <c r="C6403">
        <f>(1-(B7/100))*3608.16</f>
        <v>3608.16</v>
      </c>
      <c r="D6403" s="1">
        <v>0</v>
      </c>
      <c r="E6403">
        <f>D6403*C6403</f>
        <v>0</v>
      </c>
      <c r="F6403" s="1" t="s">
        <v>18381</v>
      </c>
      <c r="G6403" s="17">
        <v>72685</v>
      </c>
    </row>
    <row r="6404" spans="1:7">
      <c r="A6404" s="1" t="s">
        <v>18382</v>
      </c>
      <c r="B6404" s="1" t="s">
        <v>18383</v>
      </c>
      <c r="C6404">
        <f>(1-(B7/100))*617.81</f>
        <v>617.81</v>
      </c>
      <c r="D6404" s="1">
        <v>0</v>
      </c>
      <c r="E6404">
        <f>D6404*C6404</f>
        <v>0</v>
      </c>
      <c r="F6404" s="1" t="s">
        <v>18384</v>
      </c>
      <c r="G6404" s="17">
        <v>72687</v>
      </c>
    </row>
    <row r="6405" spans="1:7">
      <c r="A6405" s="1" t="s">
        <v>18385</v>
      </c>
      <c r="B6405" s="1" t="s">
        <v>18386</v>
      </c>
      <c r="C6405">
        <f>(1-(B7/100))*1902.44</f>
        <v>1902.44</v>
      </c>
      <c r="D6405" s="1">
        <v>0</v>
      </c>
      <c r="E6405">
        <f>D6405*C6405</f>
        <v>0</v>
      </c>
      <c r="F6405" s="1" t="s">
        <v>18387</v>
      </c>
      <c r="G6405" s="17">
        <v>72688</v>
      </c>
    </row>
    <row r="6406" spans="1:7">
      <c r="A6406" s="1" t="s">
        <v>18388</v>
      </c>
      <c r="B6406" s="1" t="s">
        <v>18389</v>
      </c>
      <c r="C6406">
        <f>(1-(B7/100))*1890.32</f>
        <v>1890.32</v>
      </c>
      <c r="D6406" s="1">
        <v>0</v>
      </c>
      <c r="E6406">
        <f>D6406*C6406</f>
        <v>0</v>
      </c>
      <c r="F6406" s="1" t="s">
        <v>18390</v>
      </c>
      <c r="G6406" s="17">
        <v>72689</v>
      </c>
    </row>
    <row r="6407" spans="1:7">
      <c r="A6407" s="1" t="s">
        <v>18391</v>
      </c>
      <c r="B6407" s="1" t="s">
        <v>18392</v>
      </c>
      <c r="C6407">
        <f>(1-(B7/100))*1769.59</f>
        <v>1769.59</v>
      </c>
      <c r="D6407" s="1">
        <v>0</v>
      </c>
      <c r="E6407">
        <f>D6407*C6407</f>
        <v>0</v>
      </c>
      <c r="F6407" s="1" t="s">
        <v>18393</v>
      </c>
      <c r="G6407" s="17">
        <v>72690</v>
      </c>
    </row>
    <row r="6408" spans="1:7">
      <c r="A6408" s="1" t="s">
        <v>18394</v>
      </c>
      <c r="B6408" s="1" t="s">
        <v>18395</v>
      </c>
      <c r="C6408">
        <f>(1-(B7/100))*1769.59</f>
        <v>1769.59</v>
      </c>
      <c r="D6408" s="1">
        <v>0</v>
      </c>
      <c r="E6408">
        <f>D6408*C6408</f>
        <v>0</v>
      </c>
      <c r="F6408" s="1" t="s">
        <v>18396</v>
      </c>
      <c r="G6408" s="17">
        <v>72691</v>
      </c>
    </row>
    <row r="6409" spans="1:7">
      <c r="A6409" s="1" t="s">
        <v>18397</v>
      </c>
      <c r="B6409" s="1" t="s">
        <v>18398</v>
      </c>
      <c r="C6409">
        <f>(1-(B7/100))*1864.74</f>
        <v>1864.74</v>
      </c>
      <c r="D6409" s="1">
        <v>0</v>
      </c>
      <c r="E6409">
        <f>D6409*C6409</f>
        <v>0</v>
      </c>
      <c r="F6409" s="1" t="s">
        <v>18399</v>
      </c>
      <c r="G6409" s="17">
        <v>75422</v>
      </c>
    </row>
    <row r="6410" spans="1:7">
      <c r="A6410" s="1" t="s">
        <v>18400</v>
      </c>
      <c r="B6410" s="1" t="s">
        <v>18401</v>
      </c>
      <c r="C6410">
        <f>(1-(B7/100))*936.84</f>
        <v>936.84</v>
      </c>
      <c r="D6410" s="1">
        <v>0</v>
      </c>
      <c r="E6410">
        <f>D6410*C6410</f>
        <v>0</v>
      </c>
      <c r="F6410" s="1" t="s">
        <v>18402</v>
      </c>
      <c r="G6410" s="17">
        <v>75425</v>
      </c>
    </row>
    <row r="6411" spans="1:7">
      <c r="A6411" s="1" t="s">
        <v>18403</v>
      </c>
      <c r="B6411" s="1" t="s">
        <v>18404</v>
      </c>
      <c r="C6411">
        <f>(1-(B7/100))*2367.01</f>
        <v>2367.01</v>
      </c>
      <c r="D6411" s="1">
        <v>0</v>
      </c>
      <c r="E6411">
        <f>D6411*C6411</f>
        <v>0</v>
      </c>
      <c r="F6411" s="1" t="s">
        <v>16</v>
      </c>
      <c r="G6411" s="17">
        <v>75430</v>
      </c>
    </row>
    <row r="6412" spans="1:7">
      <c r="A6412" s="1" t="s">
        <v>18405</v>
      </c>
      <c r="B6412" s="1" t="s">
        <v>18406</v>
      </c>
      <c r="C6412">
        <f>(1-(B7/100))*3378.43</f>
        <v>3378.43</v>
      </c>
      <c r="D6412" s="1">
        <v>0</v>
      </c>
      <c r="E6412">
        <f>D6412*C6412</f>
        <v>0</v>
      </c>
      <c r="F6412" s="1" t="s">
        <v>18407</v>
      </c>
      <c r="G6412" s="17">
        <v>75432</v>
      </c>
    </row>
    <row r="6413" spans="1:7">
      <c r="A6413" s="1" t="s">
        <v>18408</v>
      </c>
      <c r="B6413" s="1" t="s">
        <v>18409</v>
      </c>
      <c r="C6413">
        <f>(1-(B7/100))*3378.43</f>
        <v>3378.43</v>
      </c>
      <c r="D6413" s="1">
        <v>0</v>
      </c>
      <c r="E6413">
        <f>D6413*C6413</f>
        <v>0</v>
      </c>
      <c r="F6413" s="1" t="s">
        <v>18410</v>
      </c>
      <c r="G6413" s="17">
        <v>75433</v>
      </c>
    </row>
    <row r="6414" spans="1:7">
      <c r="A6414" s="1" t="s">
        <v>18411</v>
      </c>
      <c r="B6414" s="1" t="s">
        <v>18412</v>
      </c>
      <c r="C6414">
        <f>(1-(B7/100))*3378.43</f>
        <v>3378.43</v>
      </c>
      <c r="D6414" s="1">
        <v>0</v>
      </c>
      <c r="E6414">
        <f>D6414*C6414</f>
        <v>0</v>
      </c>
      <c r="F6414" s="1" t="s">
        <v>18413</v>
      </c>
      <c r="G6414" s="17">
        <v>75434</v>
      </c>
    </row>
    <row r="6415" spans="1:7">
      <c r="A6415" s="1" t="s">
        <v>18414</v>
      </c>
      <c r="B6415" s="1" t="s">
        <v>18415</v>
      </c>
      <c r="C6415">
        <f>(1-(B7/100))*3378.43</f>
        <v>3378.43</v>
      </c>
      <c r="D6415" s="1">
        <v>0</v>
      </c>
      <c r="E6415">
        <f>D6415*C6415</f>
        <v>0</v>
      </c>
      <c r="F6415" s="1" t="s">
        <v>18416</v>
      </c>
      <c r="G6415" s="17">
        <v>75435</v>
      </c>
    </row>
    <row r="6416" spans="1:7">
      <c r="A6416" s="1" t="s">
        <v>18417</v>
      </c>
      <c r="B6416" s="1" t="s">
        <v>18418</v>
      </c>
      <c r="C6416">
        <f>(1-(B7/100))*3378.43</f>
        <v>3378.43</v>
      </c>
      <c r="D6416" s="1">
        <v>0</v>
      </c>
      <c r="E6416">
        <f>D6416*C6416</f>
        <v>0</v>
      </c>
      <c r="F6416" s="1" t="s">
        <v>18419</v>
      </c>
      <c r="G6416" s="17">
        <v>75436</v>
      </c>
    </row>
    <row r="6417" spans="1:7">
      <c r="A6417" s="1" t="s">
        <v>18420</v>
      </c>
      <c r="B6417" s="1" t="s">
        <v>18421</v>
      </c>
      <c r="C6417">
        <f>(1-(B7/100))*3378.43</f>
        <v>3378.43</v>
      </c>
      <c r="D6417" s="1">
        <v>0</v>
      </c>
      <c r="E6417">
        <f>D6417*C6417</f>
        <v>0</v>
      </c>
      <c r="F6417" s="1" t="s">
        <v>18422</v>
      </c>
      <c r="G6417" s="17">
        <v>75437</v>
      </c>
    </row>
    <row r="6418" spans="1:7">
      <c r="A6418" s="1" t="s">
        <v>18423</v>
      </c>
      <c r="B6418" s="1" t="s">
        <v>18424</v>
      </c>
      <c r="C6418">
        <f>(1-(B7/100))*3378.43</f>
        <v>3378.43</v>
      </c>
      <c r="D6418" s="1">
        <v>0</v>
      </c>
      <c r="E6418">
        <f>D6418*C6418</f>
        <v>0</v>
      </c>
      <c r="F6418" s="1" t="s">
        <v>18425</v>
      </c>
      <c r="G6418" s="17">
        <v>75438</v>
      </c>
    </row>
    <row r="6419" spans="1:7">
      <c r="A6419" s="1" t="s">
        <v>18426</v>
      </c>
      <c r="B6419" s="1" t="s">
        <v>18427</v>
      </c>
      <c r="C6419">
        <f>(1-(B7/100))*5683.1</f>
        <v>5683.1</v>
      </c>
      <c r="D6419" s="1">
        <v>0</v>
      </c>
      <c r="E6419">
        <f>D6419*C6419</f>
        <v>0</v>
      </c>
      <c r="F6419" s="1" t="s">
        <v>16</v>
      </c>
      <c r="G6419" s="17">
        <v>75442</v>
      </c>
    </row>
    <row r="6420" spans="1:7">
      <c r="A6420" s="1" t="s">
        <v>18428</v>
      </c>
      <c r="B6420" s="1" t="s">
        <v>18429</v>
      </c>
      <c r="C6420">
        <f>(1-(B7/100))*541.45</f>
        <v>541.45</v>
      </c>
      <c r="D6420" s="1">
        <v>0</v>
      </c>
      <c r="E6420">
        <f>D6420*C6420</f>
        <v>0</v>
      </c>
      <c r="F6420" s="1" t="s">
        <v>18430</v>
      </c>
      <c r="G6420" s="17">
        <v>85229</v>
      </c>
    </row>
    <row r="6421" spans="1:7">
      <c r="A6421" s="1" t="s">
        <v>18431</v>
      </c>
      <c r="B6421" s="1" t="s">
        <v>18432</v>
      </c>
      <c r="C6421">
        <f>(1-(B7/100))*2759.05</f>
        <v>2759.05</v>
      </c>
      <c r="D6421" s="1">
        <v>0</v>
      </c>
      <c r="E6421">
        <f>D6421*C6421</f>
        <v>0</v>
      </c>
      <c r="F6421" s="1" t="s">
        <v>18433</v>
      </c>
      <c r="G6421" s="17">
        <v>85706</v>
      </c>
    </row>
    <row r="6422" spans="1:7">
      <c r="A6422" s="1" t="s">
        <v>18434</v>
      </c>
      <c r="B6422" s="1" t="s">
        <v>18435</v>
      </c>
      <c r="C6422">
        <f>(1-(B7/100))*1897.59</f>
        <v>1897.59</v>
      </c>
      <c r="D6422" s="1">
        <v>0</v>
      </c>
      <c r="E6422">
        <f>D6422*C6422</f>
        <v>0</v>
      </c>
      <c r="F6422" s="1" t="s">
        <v>18436</v>
      </c>
      <c r="G6422" s="17">
        <v>85707</v>
      </c>
    </row>
    <row r="6423" spans="1:7">
      <c r="A6423" s="16"/>
      <c r="B6423" s="16" t="s">
        <v>18437</v>
      </c>
      <c r="C6423" s="16"/>
      <c r="D6423" s="16"/>
      <c r="E6423" s="16"/>
      <c r="F6423" s="16"/>
    </row>
    <row r="6424" spans="1:7">
      <c r="A6424" s="1">
        <v>16104200</v>
      </c>
      <c r="B6424" s="1" t="s">
        <v>18438</v>
      </c>
      <c r="C6424">
        <f>(1-(B7/100))*3716.28</f>
        <v>3716.28</v>
      </c>
      <c r="D6424" s="1">
        <v>0</v>
      </c>
      <c r="E6424">
        <f>D6424*C6424</f>
        <v>0</v>
      </c>
      <c r="F6424" s="1" t="s">
        <v>18439</v>
      </c>
      <c r="G6424" s="17">
        <v>64225</v>
      </c>
    </row>
    <row r="6425" spans="1:7">
      <c r="A6425" s="1" t="s">
        <v>18440</v>
      </c>
      <c r="B6425" s="1" t="s">
        <v>18441</v>
      </c>
      <c r="C6425">
        <f>(1-(B7/100))*5382.97</f>
        <v>5382.97</v>
      </c>
      <c r="D6425" s="1">
        <v>0</v>
      </c>
      <c r="E6425">
        <f>D6425*C6425</f>
        <v>0</v>
      </c>
      <c r="F6425" s="1" t="s">
        <v>18442</v>
      </c>
      <c r="G6425" s="17">
        <v>64994</v>
      </c>
    </row>
    <row r="6426" spans="1:7">
      <c r="A6426" s="1" t="s">
        <v>18443</v>
      </c>
      <c r="B6426" s="1" t="s">
        <v>18444</v>
      </c>
      <c r="C6426">
        <f>(1-(B7/100))*5382.97</f>
        <v>5382.97</v>
      </c>
      <c r="D6426" s="1">
        <v>0</v>
      </c>
      <c r="E6426">
        <f>D6426*C6426</f>
        <v>0</v>
      </c>
      <c r="F6426" s="1" t="s">
        <v>18445</v>
      </c>
      <c r="G6426" s="17">
        <v>64995</v>
      </c>
    </row>
    <row r="6427" spans="1:7">
      <c r="A6427" s="1" t="s">
        <v>18446</v>
      </c>
      <c r="B6427" s="1" t="s">
        <v>18447</v>
      </c>
      <c r="C6427">
        <f>(1-(B7/100))*5382.97</f>
        <v>5382.97</v>
      </c>
      <c r="D6427" s="1">
        <v>0</v>
      </c>
      <c r="E6427">
        <f>D6427*C6427</f>
        <v>0</v>
      </c>
      <c r="F6427" s="1" t="s">
        <v>18448</v>
      </c>
      <c r="G6427" s="17">
        <v>64996</v>
      </c>
    </row>
    <row r="6428" spans="1:7">
      <c r="A6428" s="1" t="s">
        <v>18449</v>
      </c>
      <c r="B6428" s="1" t="s">
        <v>18450</v>
      </c>
      <c r="C6428">
        <f>(1-(B7/100))*5382.97</f>
        <v>5382.97</v>
      </c>
      <c r="D6428" s="1">
        <v>0</v>
      </c>
      <c r="E6428">
        <f>D6428*C6428</f>
        <v>0</v>
      </c>
      <c r="F6428" s="1" t="s">
        <v>18451</v>
      </c>
      <c r="G6428" s="17">
        <v>64997</v>
      </c>
    </row>
    <row r="6429" spans="1:7">
      <c r="A6429" s="1" t="s">
        <v>18452</v>
      </c>
      <c r="B6429" s="1" t="s">
        <v>18453</v>
      </c>
      <c r="C6429">
        <f>(1-(B7/100))*5382.97</f>
        <v>5382.97</v>
      </c>
      <c r="D6429" s="1">
        <v>0</v>
      </c>
      <c r="E6429">
        <f>D6429*C6429</f>
        <v>0</v>
      </c>
      <c r="F6429" s="1" t="s">
        <v>18454</v>
      </c>
      <c r="G6429" s="17">
        <v>64998</v>
      </c>
    </row>
    <row r="6430" spans="1:7">
      <c r="A6430" s="1" t="s">
        <v>18455</v>
      </c>
      <c r="B6430" s="1" t="s">
        <v>18456</v>
      </c>
      <c r="C6430">
        <f>(1-(B7/100))*5236.57</f>
        <v>5236.57</v>
      </c>
      <c r="D6430" s="1">
        <v>0</v>
      </c>
      <c r="E6430">
        <f>D6430*C6430</f>
        <v>0</v>
      </c>
      <c r="F6430" s="1" t="s">
        <v>18457</v>
      </c>
      <c r="G6430" s="17">
        <v>64999</v>
      </c>
    </row>
    <row r="6431" spans="1:7">
      <c r="A6431" s="1" t="s">
        <v>18458</v>
      </c>
      <c r="B6431" s="1" t="s">
        <v>18459</v>
      </c>
      <c r="C6431">
        <f>(1-(B7/100))*5630.73</f>
        <v>5630.73</v>
      </c>
      <c r="D6431" s="1">
        <v>0</v>
      </c>
      <c r="E6431">
        <f>D6431*C6431</f>
        <v>0</v>
      </c>
      <c r="F6431" s="1" t="s">
        <v>18460</v>
      </c>
      <c r="G6431" s="17">
        <v>65000</v>
      </c>
    </row>
    <row r="6432" spans="1:7">
      <c r="A6432" s="1" t="s">
        <v>18461</v>
      </c>
      <c r="B6432" s="1" t="s">
        <v>18462</v>
      </c>
      <c r="C6432">
        <f>(1-(B7/100))*5204.66</f>
        <v>5204.66</v>
      </c>
      <c r="D6432" s="1">
        <v>0</v>
      </c>
      <c r="E6432">
        <f>D6432*C6432</f>
        <v>0</v>
      </c>
      <c r="F6432" s="1" t="s">
        <v>18463</v>
      </c>
      <c r="G6432" s="17">
        <v>65001</v>
      </c>
    </row>
    <row r="6433" spans="1:7">
      <c r="A6433" s="1" t="s">
        <v>18464</v>
      </c>
      <c r="B6433" s="1" t="s">
        <v>18465</v>
      </c>
      <c r="C6433">
        <f>(1-(B7/100))*5630.73</f>
        <v>5630.73</v>
      </c>
      <c r="D6433" s="1">
        <v>0</v>
      </c>
      <c r="E6433">
        <f>D6433*C6433</f>
        <v>0</v>
      </c>
      <c r="F6433" s="1" t="s">
        <v>18466</v>
      </c>
      <c r="G6433" s="17">
        <v>71133</v>
      </c>
    </row>
    <row r="6434" spans="1:7">
      <c r="A6434" s="1" t="s">
        <v>18467</v>
      </c>
      <c r="B6434" s="1" t="s">
        <v>18468</v>
      </c>
      <c r="C6434">
        <f>(1-(B7/100))*5630.73</f>
        <v>5630.73</v>
      </c>
      <c r="D6434" s="1">
        <v>0</v>
      </c>
      <c r="E6434">
        <f>D6434*C6434</f>
        <v>0</v>
      </c>
      <c r="F6434" s="1" t="s">
        <v>18469</v>
      </c>
      <c r="G6434" s="17">
        <v>71134</v>
      </c>
    </row>
    <row r="6435" spans="1:7">
      <c r="A6435" s="1" t="s">
        <v>18470</v>
      </c>
      <c r="B6435" s="1" t="s">
        <v>18471</v>
      </c>
      <c r="C6435">
        <f>(1-(B7/100))*4500</f>
        <v>4500</v>
      </c>
      <c r="D6435" s="1">
        <v>0</v>
      </c>
      <c r="E6435">
        <f>D6435*C6435</f>
        <v>0</v>
      </c>
      <c r="F6435" s="1" t="s">
        <v>16</v>
      </c>
      <c r="G6435" s="17">
        <v>72155</v>
      </c>
    </row>
    <row r="6436" spans="1:7">
      <c r="A6436" s="1" t="s">
        <v>18472</v>
      </c>
      <c r="B6436" s="1" t="s">
        <v>18473</v>
      </c>
      <c r="C6436">
        <f>(1-(B7/100))*4000</f>
        <v>4000</v>
      </c>
      <c r="D6436" s="1">
        <v>0</v>
      </c>
      <c r="E6436">
        <f>D6436*C6436</f>
        <v>0</v>
      </c>
      <c r="F6436" s="1" t="s">
        <v>16</v>
      </c>
      <c r="G6436" s="17">
        <v>72156</v>
      </c>
    </row>
    <row r="6437" spans="1:7">
      <c r="A6437" s="1" t="s">
        <v>18474</v>
      </c>
      <c r="B6437" s="1" t="s">
        <v>18475</v>
      </c>
      <c r="C6437">
        <f>(1-(B7/100))*2000</f>
        <v>2000</v>
      </c>
      <c r="D6437" s="1">
        <v>0</v>
      </c>
      <c r="E6437">
        <f>D6437*C6437</f>
        <v>0</v>
      </c>
      <c r="F6437" s="1" t="s">
        <v>16</v>
      </c>
      <c r="G6437" s="17">
        <v>72158</v>
      </c>
    </row>
    <row r="6438" spans="1:7">
      <c r="A6438" s="1" t="s">
        <v>18476</v>
      </c>
      <c r="B6438" s="1" t="s">
        <v>18477</v>
      </c>
      <c r="C6438">
        <f>(1-(B7/100))*2590.13</f>
        <v>2590.13</v>
      </c>
      <c r="D6438" s="1">
        <v>0</v>
      </c>
      <c r="E6438">
        <f>D6438*C6438</f>
        <v>0</v>
      </c>
      <c r="F6438" s="1" t="s">
        <v>18478</v>
      </c>
      <c r="G6438" s="17">
        <v>72474</v>
      </c>
    </row>
    <row r="6439" spans="1:7">
      <c r="A6439" s="1" t="s">
        <v>18479</v>
      </c>
      <c r="B6439" s="1" t="s">
        <v>18480</v>
      </c>
      <c r="C6439">
        <f>(1-(B7/100))*2364.91</f>
        <v>2364.91</v>
      </c>
      <c r="D6439" s="1">
        <v>0</v>
      </c>
      <c r="E6439">
        <f>D6439*C6439</f>
        <v>0</v>
      </c>
      <c r="F6439" s="1" t="s">
        <v>18481</v>
      </c>
      <c r="G6439" s="17">
        <v>72475</v>
      </c>
    </row>
    <row r="6440" spans="1:7">
      <c r="A6440" s="1" t="s">
        <v>18482</v>
      </c>
      <c r="B6440" s="1" t="s">
        <v>18483</v>
      </c>
      <c r="C6440">
        <f>(1-(B7/100))*2283.3</f>
        <v>2283.3</v>
      </c>
      <c r="D6440" s="1">
        <v>0</v>
      </c>
      <c r="E6440">
        <f>D6440*C6440</f>
        <v>0</v>
      </c>
      <c r="F6440" s="1" t="s">
        <v>18484</v>
      </c>
      <c r="G6440" s="17">
        <v>72479</v>
      </c>
    </row>
    <row r="6441" spans="1:7">
      <c r="A6441" s="1" t="s">
        <v>18485</v>
      </c>
      <c r="B6441" s="1" t="s">
        <v>18486</v>
      </c>
      <c r="C6441">
        <f>(1-(B7/100))*5630.73</f>
        <v>5630.73</v>
      </c>
      <c r="D6441" s="1">
        <v>0</v>
      </c>
      <c r="E6441">
        <f>D6441*C6441</f>
        <v>0</v>
      </c>
      <c r="F6441" s="1" t="s">
        <v>18487</v>
      </c>
      <c r="G6441" s="17">
        <v>72588</v>
      </c>
    </row>
    <row r="6442" spans="1:7">
      <c r="A6442" s="1" t="s">
        <v>18488</v>
      </c>
      <c r="B6442" s="1" t="s">
        <v>18489</v>
      </c>
      <c r="C6442">
        <f>(1-(B7/100))*5630.73</f>
        <v>5630.73</v>
      </c>
      <c r="D6442" s="1">
        <v>0</v>
      </c>
      <c r="E6442">
        <f>D6442*C6442</f>
        <v>0</v>
      </c>
      <c r="F6442" s="1" t="s">
        <v>18490</v>
      </c>
      <c r="G6442" s="17">
        <v>72589</v>
      </c>
    </row>
    <row r="6443" spans="1:7">
      <c r="A6443" s="1" t="s">
        <v>18491</v>
      </c>
      <c r="B6443" s="1" t="s">
        <v>18492</v>
      </c>
      <c r="C6443">
        <f>(1-(B7/100))*5630.73</f>
        <v>5630.73</v>
      </c>
      <c r="D6443" s="1">
        <v>0</v>
      </c>
      <c r="E6443">
        <f>D6443*C6443</f>
        <v>0</v>
      </c>
      <c r="F6443" s="1" t="s">
        <v>18493</v>
      </c>
      <c r="G6443" s="17">
        <v>72590</v>
      </c>
    </row>
    <row r="6444" spans="1:7">
      <c r="A6444" s="1" t="s">
        <v>18494</v>
      </c>
      <c r="B6444" s="1" t="s">
        <v>18495</v>
      </c>
      <c r="C6444">
        <f>(1-(B7/100))*5630.73</f>
        <v>5630.73</v>
      </c>
      <c r="D6444" s="1">
        <v>0</v>
      </c>
      <c r="E6444">
        <f>D6444*C6444</f>
        <v>0</v>
      </c>
      <c r="F6444" s="1" t="s">
        <v>18496</v>
      </c>
      <c r="G6444" s="17">
        <v>72592</v>
      </c>
    </row>
    <row r="6445" spans="1:7">
      <c r="A6445" s="1" t="s">
        <v>18497</v>
      </c>
      <c r="B6445" s="1" t="s">
        <v>18498</v>
      </c>
      <c r="C6445">
        <f>(1-(B7/100))*5630.73</f>
        <v>5630.73</v>
      </c>
      <c r="D6445" s="1">
        <v>0</v>
      </c>
      <c r="E6445">
        <f>D6445*C6445</f>
        <v>0</v>
      </c>
      <c r="F6445" s="1" t="s">
        <v>18499</v>
      </c>
      <c r="G6445" s="17">
        <v>72593</v>
      </c>
    </row>
    <row r="6446" spans="1:7">
      <c r="A6446" s="1">
        <v>16103377</v>
      </c>
      <c r="B6446" s="1" t="s">
        <v>18500</v>
      </c>
      <c r="C6446">
        <f>(1-(B7/100))*2029.59</f>
        <v>2029.59</v>
      </c>
      <c r="D6446" s="1">
        <v>0</v>
      </c>
      <c r="E6446">
        <f>D6446*C6446</f>
        <v>0</v>
      </c>
      <c r="F6446" s="1" t="s">
        <v>18501</v>
      </c>
      <c r="G6446" s="17">
        <v>73717</v>
      </c>
    </row>
    <row r="6447" spans="1:7">
      <c r="A6447" s="16"/>
      <c r="B6447" s="16" t="s">
        <v>18502</v>
      </c>
      <c r="C6447" s="16"/>
      <c r="D6447" s="16"/>
      <c r="E6447" s="16"/>
      <c r="F6447" s="16"/>
    </row>
    <row r="6448" spans="1:7">
      <c r="A6448" s="1" t="s">
        <v>18503</v>
      </c>
      <c r="B6448" s="1" t="s">
        <v>18504</v>
      </c>
      <c r="C6448">
        <f>(1-(B7/100))*5476.15</f>
        <v>5476.15</v>
      </c>
      <c r="D6448" s="1">
        <v>0</v>
      </c>
      <c r="E6448">
        <f>D6448*C6448</f>
        <v>0</v>
      </c>
      <c r="F6448" s="1" t="s">
        <v>16</v>
      </c>
      <c r="G6448" s="17">
        <v>69833</v>
      </c>
    </row>
    <row r="6449" spans="1:7">
      <c r="A6449" s="1" t="s">
        <v>18505</v>
      </c>
      <c r="B6449" s="1" t="s">
        <v>18506</v>
      </c>
      <c r="C6449">
        <f>(1-(B7/100))*274.79</f>
        <v>274.79</v>
      </c>
      <c r="D6449" s="1">
        <v>0</v>
      </c>
      <c r="E6449">
        <f>D6449*C6449</f>
        <v>0</v>
      </c>
      <c r="F6449" s="1" t="s">
        <v>18507</v>
      </c>
      <c r="G6449" s="17">
        <v>71319</v>
      </c>
    </row>
    <row r="6450" spans="1:7">
      <c r="A6450" s="1" t="s">
        <v>18508</v>
      </c>
      <c r="B6450" s="1" t="s">
        <v>18509</v>
      </c>
      <c r="C6450">
        <f>(1-(B7/100))*227.35</f>
        <v>227.35</v>
      </c>
      <c r="D6450" s="1">
        <v>0</v>
      </c>
      <c r="E6450">
        <f>D6450*C6450</f>
        <v>0</v>
      </c>
      <c r="F6450" s="1" t="s">
        <v>18510</v>
      </c>
      <c r="G6450" s="17">
        <v>72005</v>
      </c>
    </row>
    <row r="6451" spans="1:7">
      <c r="A6451" s="1" t="s">
        <v>18511</v>
      </c>
      <c r="B6451" s="1" t="s">
        <v>18512</v>
      </c>
      <c r="C6451">
        <f>(1-(B7/100))*4318.02</f>
        <v>4318.02</v>
      </c>
      <c r="D6451" s="1">
        <v>0</v>
      </c>
      <c r="E6451">
        <f>D6451*C6451</f>
        <v>0</v>
      </c>
      <c r="F6451" s="1" t="s">
        <v>16</v>
      </c>
      <c r="G6451" s="17">
        <v>76175</v>
      </c>
    </row>
    <row r="6452" spans="1:7">
      <c r="A6452" s="1" t="s">
        <v>18513</v>
      </c>
      <c r="B6452" s="1" t="s">
        <v>18514</v>
      </c>
      <c r="C6452">
        <f>(1-(B7/100))*5141.25</f>
        <v>5141.25</v>
      </c>
      <c r="D6452" s="1">
        <v>0</v>
      </c>
      <c r="E6452">
        <f>D6452*C6452</f>
        <v>0</v>
      </c>
      <c r="F6452" s="1" t="s">
        <v>18515</v>
      </c>
      <c r="G6452" s="17">
        <v>76181</v>
      </c>
    </row>
    <row r="6453" spans="1:7">
      <c r="A6453" s="1" t="s">
        <v>18516</v>
      </c>
      <c r="B6453" s="1" t="s">
        <v>18517</v>
      </c>
      <c r="C6453">
        <f>(1-(B7/100))*5141.82</f>
        <v>5141.82</v>
      </c>
      <c r="D6453" s="1">
        <v>0</v>
      </c>
      <c r="E6453">
        <f>D6453*C6453</f>
        <v>0</v>
      </c>
      <c r="F6453" s="1" t="s">
        <v>16</v>
      </c>
      <c r="G6453" s="17">
        <v>76186</v>
      </c>
    </row>
    <row r="6454" spans="1:7">
      <c r="A6454" s="1" t="s">
        <v>18518</v>
      </c>
      <c r="B6454" s="1" t="s">
        <v>18519</v>
      </c>
      <c r="C6454">
        <f>(1-(B7/100))*5445.93</f>
        <v>5445.93</v>
      </c>
      <c r="D6454" s="1">
        <v>0</v>
      </c>
      <c r="E6454">
        <f>D6454*C6454</f>
        <v>0</v>
      </c>
      <c r="F6454" s="1" t="s">
        <v>16</v>
      </c>
      <c r="G6454" s="17">
        <v>76191</v>
      </c>
    </row>
    <row r="6455" spans="1:7">
      <c r="A6455" s="1" t="s">
        <v>18520</v>
      </c>
      <c r="B6455" s="1" t="s">
        <v>18521</v>
      </c>
      <c r="C6455">
        <f>(1-(B7/100))*5445.93</f>
        <v>5445.93</v>
      </c>
      <c r="D6455" s="1">
        <v>0</v>
      </c>
      <c r="E6455">
        <f>D6455*C6455</f>
        <v>0</v>
      </c>
      <c r="F6455" s="1" t="s">
        <v>18522</v>
      </c>
      <c r="G6455" s="17">
        <v>76192</v>
      </c>
    </row>
    <row r="6456" spans="1:7">
      <c r="A6456" s="1" t="s">
        <v>18523</v>
      </c>
      <c r="B6456" s="1" t="s">
        <v>18524</v>
      </c>
      <c r="C6456">
        <f>(1-(B7/100))*6601.15</f>
        <v>6601.15</v>
      </c>
      <c r="D6456" s="1">
        <v>0</v>
      </c>
      <c r="E6456">
        <f>D6456*C6456</f>
        <v>0</v>
      </c>
      <c r="F6456" s="1" t="s">
        <v>16</v>
      </c>
      <c r="G6456" s="17">
        <v>76194</v>
      </c>
    </row>
    <row r="6457" spans="1:7">
      <c r="A6457" s="1" t="s">
        <v>18525</v>
      </c>
      <c r="B6457" s="1" t="s">
        <v>18526</v>
      </c>
      <c r="C6457">
        <f>(1-(B7/100))*6634.69</f>
        <v>6634.69</v>
      </c>
      <c r="D6457" s="1">
        <v>0</v>
      </c>
      <c r="E6457">
        <f>D6457*C6457</f>
        <v>0</v>
      </c>
      <c r="F6457" s="1" t="s">
        <v>16</v>
      </c>
      <c r="G6457" s="17">
        <v>76195</v>
      </c>
    </row>
    <row r="6458" spans="1:7">
      <c r="A6458" s="1" t="s">
        <v>18527</v>
      </c>
      <c r="B6458" s="1" t="s">
        <v>18528</v>
      </c>
      <c r="C6458">
        <f>(1-(B7/100))*6635.27</f>
        <v>6635.27</v>
      </c>
      <c r="D6458" s="1">
        <v>0</v>
      </c>
      <c r="E6458">
        <f>D6458*C6458</f>
        <v>0</v>
      </c>
      <c r="F6458" s="1" t="s">
        <v>16</v>
      </c>
      <c r="G6458" s="17">
        <v>76196</v>
      </c>
    </row>
    <row r="6459" spans="1:7">
      <c r="A6459" s="1" t="s">
        <v>18529</v>
      </c>
      <c r="B6459" s="1" t="s">
        <v>18530</v>
      </c>
      <c r="C6459">
        <f>(1-(B7/100))*6635.27</f>
        <v>6635.27</v>
      </c>
      <c r="D6459" s="1">
        <v>0</v>
      </c>
      <c r="E6459">
        <f>D6459*C6459</f>
        <v>0</v>
      </c>
      <c r="F6459" s="1" t="s">
        <v>16</v>
      </c>
      <c r="G6459" s="17">
        <v>76198</v>
      </c>
    </row>
    <row r="6460" spans="1:7">
      <c r="A6460" s="1" t="s">
        <v>18531</v>
      </c>
      <c r="B6460" s="1" t="s">
        <v>18532</v>
      </c>
      <c r="C6460">
        <f>(1-(B7/100))*6106.06</f>
        <v>6106.06</v>
      </c>
      <c r="D6460" s="1">
        <v>0</v>
      </c>
      <c r="E6460">
        <f>D6460*C6460</f>
        <v>0</v>
      </c>
      <c r="F6460" s="1" t="s">
        <v>16</v>
      </c>
      <c r="G6460" s="17">
        <v>76201</v>
      </c>
    </row>
    <row r="6461" spans="1:7">
      <c r="A6461" s="1" t="s">
        <v>18533</v>
      </c>
      <c r="B6461" s="1" t="s">
        <v>18534</v>
      </c>
      <c r="C6461">
        <f>(1-(B7/100))*6093.2</f>
        <v>6093.2</v>
      </c>
      <c r="D6461" s="1">
        <v>0</v>
      </c>
      <c r="E6461">
        <f>D6461*C6461</f>
        <v>0</v>
      </c>
      <c r="F6461" s="1" t="s">
        <v>16</v>
      </c>
      <c r="G6461" s="17">
        <v>76207</v>
      </c>
    </row>
    <row r="6462" spans="1:7">
      <c r="A6462" s="16"/>
      <c r="B6462" s="16" t="s">
        <v>18535</v>
      </c>
      <c r="C6462" s="16"/>
      <c r="D6462" s="16"/>
      <c r="E6462" s="16"/>
      <c r="F6462" s="16"/>
    </row>
    <row r="6463" spans="1:7">
      <c r="A6463" s="1" t="s">
        <v>18536</v>
      </c>
      <c r="B6463" s="1" t="s">
        <v>18537</v>
      </c>
      <c r="C6463">
        <f>(1-(B7/100))*1436.14</f>
        <v>1436.14</v>
      </c>
      <c r="D6463" s="1">
        <v>0</v>
      </c>
      <c r="E6463">
        <f>D6463*C6463</f>
        <v>0</v>
      </c>
      <c r="F6463" s="1" t="s">
        <v>18538</v>
      </c>
      <c r="G6463" s="17">
        <v>63921</v>
      </c>
    </row>
    <row r="6464" spans="1:7">
      <c r="A6464" s="1" t="s">
        <v>18539</v>
      </c>
      <c r="B6464" s="1" t="s">
        <v>18540</v>
      </c>
      <c r="C6464">
        <f>(1-(B7/100))*1436.14</f>
        <v>1436.14</v>
      </c>
      <c r="D6464" s="1">
        <v>0</v>
      </c>
      <c r="E6464">
        <f>D6464*C6464</f>
        <v>0</v>
      </c>
      <c r="F6464" s="1" t="s">
        <v>18541</v>
      </c>
      <c r="G6464" s="17">
        <v>63922</v>
      </c>
    </row>
    <row r="6465" spans="1:7">
      <c r="A6465" s="1" t="s">
        <v>18542</v>
      </c>
      <c r="B6465" s="1" t="s">
        <v>18543</v>
      </c>
      <c r="C6465">
        <f>(1-(B7/100))*1436.14</f>
        <v>1436.14</v>
      </c>
      <c r="D6465" s="1">
        <v>0</v>
      </c>
      <c r="E6465">
        <f>D6465*C6465</f>
        <v>0</v>
      </c>
      <c r="F6465" s="1" t="s">
        <v>18544</v>
      </c>
      <c r="G6465" s="17">
        <v>63923</v>
      </c>
    </row>
    <row r="6466" spans="1:7">
      <c r="A6466" s="1" t="s">
        <v>18545</v>
      </c>
      <c r="B6466" s="1" t="s">
        <v>18546</v>
      </c>
      <c r="C6466">
        <f>(1-(B7/100))*1436.14</f>
        <v>1436.14</v>
      </c>
      <c r="D6466" s="1">
        <v>0</v>
      </c>
      <c r="E6466">
        <f>D6466*C6466</f>
        <v>0</v>
      </c>
      <c r="F6466" s="1" t="s">
        <v>18547</v>
      </c>
      <c r="G6466" s="17">
        <v>63926</v>
      </c>
    </row>
    <row r="6467" spans="1:7">
      <c r="A6467" s="1" t="s">
        <v>18548</v>
      </c>
      <c r="B6467" s="1" t="s">
        <v>18549</v>
      </c>
      <c r="C6467">
        <f>(1-(B7/100))*7792.39</f>
        <v>7792.39</v>
      </c>
      <c r="D6467" s="1">
        <v>0</v>
      </c>
      <c r="E6467">
        <f>D6467*C6467</f>
        <v>0</v>
      </c>
      <c r="F6467" s="1" t="s">
        <v>16</v>
      </c>
      <c r="G6467" s="17">
        <v>64397</v>
      </c>
    </row>
    <row r="6468" spans="1:7">
      <c r="A6468" s="1" t="s">
        <v>18550</v>
      </c>
      <c r="B6468" s="1" t="s">
        <v>18551</v>
      </c>
      <c r="C6468">
        <f>(1-(B7/100))*1100</f>
        <v>1100</v>
      </c>
      <c r="D6468" s="1">
        <v>0</v>
      </c>
      <c r="E6468">
        <f>D6468*C6468</f>
        <v>0</v>
      </c>
      <c r="F6468" s="1" t="s">
        <v>16</v>
      </c>
      <c r="G6468" s="17">
        <v>72164</v>
      </c>
    </row>
    <row r="6469" spans="1:7">
      <c r="A6469" s="1" t="s">
        <v>18552</v>
      </c>
      <c r="B6469" s="1" t="s">
        <v>18553</v>
      </c>
      <c r="C6469">
        <f>(1-(B7/100))*1063.3</f>
        <v>1063.3</v>
      </c>
      <c r="D6469" s="1">
        <v>0</v>
      </c>
      <c r="E6469">
        <f>D6469*C6469</f>
        <v>0</v>
      </c>
      <c r="F6469" s="1" t="s">
        <v>16</v>
      </c>
      <c r="G6469" s="17">
        <v>73358</v>
      </c>
    </row>
    <row r="6470" spans="1:7">
      <c r="A6470" s="1" t="s">
        <v>18554</v>
      </c>
      <c r="B6470" s="1" t="s">
        <v>18555</v>
      </c>
      <c r="C6470">
        <f>(1-(B7/100))*1601.18</f>
        <v>1601.18</v>
      </c>
      <c r="D6470" s="1">
        <v>0</v>
      </c>
      <c r="E6470">
        <f>D6470*C6470</f>
        <v>0</v>
      </c>
      <c r="F6470" s="1" t="s">
        <v>18556</v>
      </c>
      <c r="G6470" s="17">
        <v>76213</v>
      </c>
    </row>
    <row r="6471" spans="1:7">
      <c r="A6471" s="1" t="s">
        <v>18557</v>
      </c>
      <c r="B6471" s="1" t="s">
        <v>18558</v>
      </c>
      <c r="C6471">
        <f>(1-(B7/100))*1601.18</f>
        <v>1601.18</v>
      </c>
      <c r="D6471" s="1">
        <v>0</v>
      </c>
      <c r="E6471">
        <f>D6471*C6471</f>
        <v>0</v>
      </c>
      <c r="F6471" s="1" t="s">
        <v>18559</v>
      </c>
      <c r="G6471" s="17">
        <v>76220</v>
      </c>
    </row>
    <row r="6472" spans="1:7">
      <c r="A6472" s="1" t="s">
        <v>18560</v>
      </c>
      <c r="B6472" s="1" t="s">
        <v>18561</v>
      </c>
      <c r="C6472">
        <f>(1-(B7/100))*1601.18</f>
        <v>1601.18</v>
      </c>
      <c r="D6472" s="1">
        <v>0</v>
      </c>
      <c r="E6472">
        <f>D6472*C6472</f>
        <v>0</v>
      </c>
      <c r="F6472" s="1" t="s">
        <v>18562</v>
      </c>
      <c r="G6472" s="17">
        <v>76221</v>
      </c>
    </row>
    <row r="6473" spans="1:7">
      <c r="A6473" s="1" t="s">
        <v>18563</v>
      </c>
      <c r="B6473" s="1" t="s">
        <v>18564</v>
      </c>
      <c r="C6473">
        <f>(1-(B7/100))*1601.18</f>
        <v>1601.18</v>
      </c>
      <c r="D6473" s="1">
        <v>0</v>
      </c>
      <c r="E6473">
        <f>D6473*C6473</f>
        <v>0</v>
      </c>
      <c r="F6473" s="1" t="s">
        <v>16</v>
      </c>
      <c r="G6473" s="17">
        <v>76222</v>
      </c>
    </row>
    <row r="6474" spans="1:7">
      <c r="A6474" s="1" t="s">
        <v>18565</v>
      </c>
      <c r="B6474" s="1" t="s">
        <v>18566</v>
      </c>
      <c r="C6474">
        <f>(1-(B7/100))*570.17</f>
        <v>570.17</v>
      </c>
      <c r="D6474" s="1">
        <v>0</v>
      </c>
      <c r="E6474">
        <f>D6474*C6474</f>
        <v>0</v>
      </c>
      <c r="F6474" s="1" t="s">
        <v>18567</v>
      </c>
      <c r="G6474" s="17">
        <v>76225</v>
      </c>
    </row>
    <row r="6475" spans="1:7">
      <c r="A6475" s="1" t="s">
        <v>18568</v>
      </c>
      <c r="B6475" s="1" t="s">
        <v>18569</v>
      </c>
      <c r="C6475">
        <f>(1-(B7/100))*4750.16</f>
        <v>4750.16</v>
      </c>
      <c r="D6475" s="1">
        <v>0</v>
      </c>
      <c r="E6475">
        <f>D6475*C6475</f>
        <v>0</v>
      </c>
      <c r="F6475" s="1" t="s">
        <v>16</v>
      </c>
      <c r="G6475" s="17">
        <v>76226</v>
      </c>
    </row>
    <row r="6476" spans="1:7">
      <c r="A6476" s="1" t="s">
        <v>18570</v>
      </c>
      <c r="B6476" s="1" t="s">
        <v>18571</v>
      </c>
      <c r="C6476">
        <f>(1-(B7/100))*488.36</f>
        <v>488.36</v>
      </c>
      <c r="D6476" s="1">
        <v>0</v>
      </c>
      <c r="E6476">
        <f>D6476*C6476</f>
        <v>0</v>
      </c>
      <c r="F6476" s="1" t="s">
        <v>18572</v>
      </c>
      <c r="G6476" s="17">
        <v>76230</v>
      </c>
    </row>
    <row r="6477" spans="1:7">
      <c r="A6477" s="1" t="s">
        <v>18573</v>
      </c>
      <c r="B6477" s="1" t="s">
        <v>18574</v>
      </c>
      <c r="C6477">
        <f>(1-(B7/100))*1601.18</f>
        <v>1601.18</v>
      </c>
      <c r="D6477" s="1">
        <v>0</v>
      </c>
      <c r="E6477">
        <f>D6477*C6477</f>
        <v>0</v>
      </c>
      <c r="F6477" s="1" t="s">
        <v>18575</v>
      </c>
      <c r="G6477" s="17">
        <v>76231</v>
      </c>
    </row>
    <row r="6478" spans="1:7">
      <c r="A6478" s="1" t="s">
        <v>18576</v>
      </c>
      <c r="B6478" s="1" t="s">
        <v>18577</v>
      </c>
      <c r="C6478">
        <f>(1-(B7/100))*1601.18</f>
        <v>1601.18</v>
      </c>
      <c r="D6478" s="1">
        <v>0</v>
      </c>
      <c r="E6478">
        <f>D6478*C6478</f>
        <v>0</v>
      </c>
      <c r="F6478" s="1" t="s">
        <v>18578</v>
      </c>
      <c r="G6478" s="17">
        <v>76234</v>
      </c>
    </row>
    <row r="6479" spans="1:7">
      <c r="A6479" s="1" t="s">
        <v>18579</v>
      </c>
      <c r="B6479" s="1" t="s">
        <v>18580</v>
      </c>
      <c r="C6479">
        <f>(1-(B7/100))*11183.56</f>
        <v>11183.56</v>
      </c>
      <c r="D6479" s="1">
        <v>0</v>
      </c>
      <c r="E6479">
        <f>D6479*C6479</f>
        <v>0</v>
      </c>
      <c r="F6479" s="1" t="s">
        <v>16</v>
      </c>
      <c r="G6479" s="17">
        <v>76236</v>
      </c>
    </row>
    <row r="6480" spans="1:7">
      <c r="A6480" s="1" t="s">
        <v>18581</v>
      </c>
      <c r="B6480" s="1" t="s">
        <v>18582</v>
      </c>
      <c r="C6480">
        <f>(1-(B7/100))*1964.64</f>
        <v>1964.64</v>
      </c>
      <c r="D6480" s="1">
        <v>0</v>
      </c>
      <c r="E6480">
        <f>D6480*C6480</f>
        <v>0</v>
      </c>
      <c r="F6480" s="1" t="s">
        <v>18583</v>
      </c>
      <c r="G6480" s="17">
        <v>76240</v>
      </c>
    </row>
    <row r="6481" spans="1:7">
      <c r="A6481" s="1" t="s">
        <v>18584</v>
      </c>
      <c r="B6481" s="1" t="s">
        <v>18585</v>
      </c>
      <c r="C6481">
        <f>(1-(B7/100))*1609.64</f>
        <v>1609.64</v>
      </c>
      <c r="D6481" s="1">
        <v>0</v>
      </c>
      <c r="E6481">
        <f>D6481*C6481</f>
        <v>0</v>
      </c>
      <c r="F6481" s="1" t="s">
        <v>16</v>
      </c>
      <c r="G6481" s="17">
        <v>76255</v>
      </c>
    </row>
    <row r="6482" spans="1:7">
      <c r="A6482" s="1" t="s">
        <v>18586</v>
      </c>
      <c r="B6482" s="1" t="s">
        <v>18587</v>
      </c>
      <c r="C6482">
        <f>(1-(B7/100))*3262.04</f>
        <v>3262.04</v>
      </c>
      <c r="D6482" s="1">
        <v>0</v>
      </c>
      <c r="E6482">
        <f>D6482*C6482</f>
        <v>0</v>
      </c>
      <c r="F6482" s="1" t="s">
        <v>16</v>
      </c>
      <c r="G6482" s="17">
        <v>86345</v>
      </c>
    </row>
    <row r="6483" spans="1:7">
      <c r="A6483" s="16"/>
      <c r="B6483" s="16" t="s">
        <v>18588</v>
      </c>
      <c r="C6483" s="16"/>
      <c r="D6483" s="16"/>
      <c r="E6483" s="16"/>
      <c r="F6483" s="16"/>
    </row>
    <row r="6484" spans="1:7">
      <c r="A6484" s="1" t="s">
        <v>18589</v>
      </c>
      <c r="B6484" s="1" t="s">
        <v>18590</v>
      </c>
      <c r="C6484">
        <f>(1-(B7/100))*826.06</f>
        <v>826.06</v>
      </c>
      <c r="D6484" s="1">
        <v>0</v>
      </c>
      <c r="E6484">
        <f>D6484*C6484</f>
        <v>0</v>
      </c>
      <c r="F6484" s="1" t="s">
        <v>18591</v>
      </c>
      <c r="G6484" s="17">
        <v>62959</v>
      </c>
    </row>
    <row r="6485" spans="1:7">
      <c r="A6485" s="1" t="s">
        <v>18592</v>
      </c>
      <c r="B6485" s="1" t="s">
        <v>18593</v>
      </c>
      <c r="C6485">
        <f>(1-(B7/100))*1027.72</f>
        <v>1027.72</v>
      </c>
      <c r="D6485" s="1">
        <v>0</v>
      </c>
      <c r="E6485">
        <f>D6485*C6485</f>
        <v>0</v>
      </c>
      <c r="F6485" s="1" t="s">
        <v>18594</v>
      </c>
      <c r="G6485" s="17">
        <v>63512</v>
      </c>
    </row>
    <row r="6486" spans="1:7">
      <c r="A6486" s="1" t="s">
        <v>18595</v>
      </c>
      <c r="B6486" s="1" t="s">
        <v>18596</v>
      </c>
      <c r="C6486">
        <f>(1-(B7/100))*987.92</f>
        <v>987.92</v>
      </c>
      <c r="D6486" s="1">
        <v>0</v>
      </c>
      <c r="E6486">
        <f>D6486*C6486</f>
        <v>0</v>
      </c>
      <c r="F6486" s="1" t="s">
        <v>18597</v>
      </c>
      <c r="G6486" s="17">
        <v>63765</v>
      </c>
    </row>
    <row r="6487" spans="1:7">
      <c r="A6487" s="1">
        <v>5350970</v>
      </c>
      <c r="B6487" s="1" t="s">
        <v>18598</v>
      </c>
      <c r="C6487">
        <f>(1-(B7/100))*1475.69</f>
        <v>1475.69</v>
      </c>
      <c r="D6487" s="1">
        <v>0</v>
      </c>
      <c r="E6487">
        <f>D6487*C6487</f>
        <v>0</v>
      </c>
      <c r="F6487" s="1" t="s">
        <v>18599</v>
      </c>
      <c r="G6487" s="17">
        <v>64311</v>
      </c>
    </row>
    <row r="6488" spans="1:7">
      <c r="A6488" s="1">
        <v>3734835</v>
      </c>
      <c r="B6488" s="1" t="s">
        <v>18600</v>
      </c>
      <c r="C6488">
        <f>(1-(B7/100))*563.78</f>
        <v>563.78</v>
      </c>
      <c r="D6488" s="1">
        <v>0</v>
      </c>
      <c r="E6488">
        <f>D6488*C6488</f>
        <v>0</v>
      </c>
      <c r="F6488" s="1" t="s">
        <v>18601</v>
      </c>
      <c r="G6488" s="17">
        <v>64316</v>
      </c>
    </row>
    <row r="6489" spans="1:7">
      <c r="A6489" s="1" t="s">
        <v>18602</v>
      </c>
      <c r="B6489" s="1" t="s">
        <v>18603</v>
      </c>
      <c r="C6489">
        <f>(1-(B7/100))*488.52</f>
        <v>488.52</v>
      </c>
      <c r="D6489" s="1">
        <v>0</v>
      </c>
      <c r="E6489">
        <f>D6489*C6489</f>
        <v>0</v>
      </c>
      <c r="F6489" s="1" t="s">
        <v>18604</v>
      </c>
      <c r="G6489" s="17">
        <v>64414</v>
      </c>
    </row>
    <row r="6490" spans="1:7">
      <c r="A6490" s="1" t="s">
        <v>18605</v>
      </c>
      <c r="B6490" s="1" t="s">
        <v>18606</v>
      </c>
      <c r="C6490">
        <f>(1-(B7/100))*1400.35</f>
        <v>1400.35</v>
      </c>
      <c r="D6490" s="1">
        <v>0</v>
      </c>
      <c r="E6490">
        <f>D6490*C6490</f>
        <v>0</v>
      </c>
      <c r="F6490" s="1" t="s">
        <v>18607</v>
      </c>
      <c r="G6490" s="17">
        <v>64531</v>
      </c>
    </row>
    <row r="6491" spans="1:7">
      <c r="A6491" s="1" t="s">
        <v>18608</v>
      </c>
      <c r="B6491" s="1" t="s">
        <v>18609</v>
      </c>
      <c r="C6491">
        <f>(1-(B7/100))*488.52</f>
        <v>488.52</v>
      </c>
      <c r="D6491" s="1">
        <v>0</v>
      </c>
      <c r="E6491">
        <f>D6491*C6491</f>
        <v>0</v>
      </c>
      <c r="F6491" s="1" t="s">
        <v>18610</v>
      </c>
      <c r="G6491" s="17">
        <v>64940</v>
      </c>
    </row>
    <row r="6492" spans="1:7">
      <c r="A6492" s="1" t="s">
        <v>18611</v>
      </c>
      <c r="B6492" s="1" t="s">
        <v>18612</v>
      </c>
      <c r="C6492">
        <f>(1-(B7/100))*1127.56</f>
        <v>1127.56</v>
      </c>
      <c r="D6492" s="1">
        <v>0</v>
      </c>
      <c r="E6492">
        <f>D6492*C6492</f>
        <v>0</v>
      </c>
      <c r="F6492" s="1" t="s">
        <v>18613</v>
      </c>
      <c r="G6492" s="17">
        <v>64955</v>
      </c>
    </row>
    <row r="6493" spans="1:7">
      <c r="A6493" s="1" t="s">
        <v>18614</v>
      </c>
      <c r="B6493" s="1" t="s">
        <v>18615</v>
      </c>
      <c r="C6493">
        <f>(1-(B7/100))*1743.08</f>
        <v>1743.08</v>
      </c>
      <c r="D6493" s="1">
        <v>0</v>
      </c>
      <c r="E6493">
        <f>D6493*C6493</f>
        <v>0</v>
      </c>
      <c r="F6493" s="1" t="s">
        <v>18616</v>
      </c>
      <c r="G6493" s="17">
        <v>69904</v>
      </c>
    </row>
    <row r="6494" spans="1:7">
      <c r="A6494" s="1" t="s">
        <v>18617</v>
      </c>
      <c r="B6494" s="1" t="s">
        <v>18618</v>
      </c>
      <c r="C6494">
        <f>(1-(B7/100))*465.43</f>
        <v>465.43</v>
      </c>
      <c r="D6494" s="1">
        <v>0</v>
      </c>
      <c r="E6494">
        <f>D6494*C6494</f>
        <v>0</v>
      </c>
      <c r="F6494" s="1" t="s">
        <v>18619</v>
      </c>
      <c r="G6494" s="17">
        <v>69906</v>
      </c>
    </row>
    <row r="6495" spans="1:7">
      <c r="A6495" s="1" t="s">
        <v>18620</v>
      </c>
      <c r="B6495" s="1" t="s">
        <v>18621</v>
      </c>
      <c r="C6495">
        <f>(1-(B7/100))*465.43</f>
        <v>465.43</v>
      </c>
      <c r="D6495" s="1">
        <v>0</v>
      </c>
      <c r="E6495">
        <f>D6495*C6495</f>
        <v>0</v>
      </c>
      <c r="F6495" s="1" t="s">
        <v>18622</v>
      </c>
      <c r="G6495" s="17">
        <v>69909</v>
      </c>
    </row>
    <row r="6496" spans="1:7">
      <c r="A6496" s="1" t="s">
        <v>18623</v>
      </c>
      <c r="B6496" s="1" t="s">
        <v>18624</v>
      </c>
      <c r="C6496">
        <f>(1-(B7/100))*1127.56</f>
        <v>1127.56</v>
      </c>
      <c r="D6496" s="1">
        <v>0</v>
      </c>
      <c r="E6496">
        <f>D6496*C6496</f>
        <v>0</v>
      </c>
      <c r="F6496" s="1" t="s">
        <v>18625</v>
      </c>
      <c r="G6496" s="17">
        <v>69910</v>
      </c>
    </row>
    <row r="6497" spans="1:7">
      <c r="A6497" s="1" t="s">
        <v>18626</v>
      </c>
      <c r="B6497" s="1" t="s">
        <v>18627</v>
      </c>
      <c r="C6497">
        <f>(1-(B7/100))*1127.56</f>
        <v>1127.56</v>
      </c>
      <c r="D6497" s="1">
        <v>0</v>
      </c>
      <c r="E6497">
        <f>D6497*C6497</f>
        <v>0</v>
      </c>
      <c r="F6497" s="1" t="s">
        <v>18628</v>
      </c>
      <c r="G6497" s="17">
        <v>69911</v>
      </c>
    </row>
    <row r="6498" spans="1:7">
      <c r="A6498" s="1" t="s">
        <v>18629</v>
      </c>
      <c r="B6498" s="1" t="s">
        <v>18621</v>
      </c>
      <c r="C6498">
        <f>(1-(B7/100))*436.58</f>
        <v>436.58</v>
      </c>
      <c r="D6498" s="1">
        <v>0</v>
      </c>
      <c r="E6498">
        <f>D6498*C6498</f>
        <v>0</v>
      </c>
      <c r="F6498" s="1" t="s">
        <v>18630</v>
      </c>
      <c r="G6498" s="17">
        <v>69914</v>
      </c>
    </row>
    <row r="6499" spans="1:7">
      <c r="A6499" s="1" t="s">
        <v>18631</v>
      </c>
      <c r="B6499" s="1" t="s">
        <v>18632</v>
      </c>
      <c r="C6499">
        <f>(1-(B7/100))*1127.56</f>
        <v>1127.56</v>
      </c>
      <c r="D6499" s="1">
        <v>0</v>
      </c>
      <c r="E6499">
        <f>D6499*C6499</f>
        <v>0</v>
      </c>
      <c r="F6499" s="1" t="s">
        <v>18633</v>
      </c>
      <c r="G6499" s="17">
        <v>71528</v>
      </c>
    </row>
    <row r="6500" spans="1:7">
      <c r="A6500" s="1" t="s">
        <v>18634</v>
      </c>
      <c r="B6500" s="1" t="s">
        <v>18635</v>
      </c>
      <c r="C6500">
        <f>(1-(B7/100))*1127.56</f>
        <v>1127.56</v>
      </c>
      <c r="D6500" s="1">
        <v>0</v>
      </c>
      <c r="E6500">
        <f>D6500*C6500</f>
        <v>0</v>
      </c>
      <c r="F6500" s="1" t="s">
        <v>18636</v>
      </c>
      <c r="G6500" s="17">
        <v>71948</v>
      </c>
    </row>
    <row r="6501" spans="1:7">
      <c r="A6501" s="1" t="s">
        <v>18637</v>
      </c>
      <c r="B6501" s="1" t="s">
        <v>18638</v>
      </c>
      <c r="C6501">
        <f>(1-(B7/100))*436.58</f>
        <v>436.58</v>
      </c>
      <c r="D6501" s="1">
        <v>0</v>
      </c>
      <c r="E6501">
        <f>D6501*C6501</f>
        <v>0</v>
      </c>
      <c r="F6501" s="1" t="s">
        <v>18639</v>
      </c>
      <c r="G6501" s="17">
        <v>71949</v>
      </c>
    </row>
    <row r="6502" spans="1:7">
      <c r="A6502" s="1" t="s">
        <v>18640</v>
      </c>
      <c r="B6502" s="1" t="s">
        <v>18641</v>
      </c>
      <c r="C6502">
        <f>(1-(B7/100))*436.58</f>
        <v>436.58</v>
      </c>
      <c r="D6502" s="1">
        <v>0</v>
      </c>
      <c r="E6502">
        <f>D6502*C6502</f>
        <v>0</v>
      </c>
      <c r="F6502" s="1" t="s">
        <v>18642</v>
      </c>
      <c r="G6502" s="17">
        <v>71950</v>
      </c>
    </row>
    <row r="6503" spans="1:7">
      <c r="A6503" s="1" t="s">
        <v>18643</v>
      </c>
      <c r="B6503" s="1" t="s">
        <v>18644</v>
      </c>
      <c r="C6503">
        <f>(1-(B7/100))*488.52</f>
        <v>488.52</v>
      </c>
      <c r="D6503" s="1">
        <v>0</v>
      </c>
      <c r="E6503">
        <f>D6503*C6503</f>
        <v>0</v>
      </c>
      <c r="F6503" s="1" t="s">
        <v>18645</v>
      </c>
      <c r="G6503" s="17">
        <v>71956</v>
      </c>
    </row>
    <row r="6504" spans="1:7">
      <c r="A6504" s="1" t="s">
        <v>18646</v>
      </c>
      <c r="B6504" s="1" t="s">
        <v>18647</v>
      </c>
      <c r="C6504">
        <f>(1-(B7/100))*260.23</f>
        <v>260.23</v>
      </c>
      <c r="D6504" s="1">
        <v>0</v>
      </c>
      <c r="E6504">
        <f>D6504*C6504</f>
        <v>0</v>
      </c>
      <c r="F6504" s="1" t="s">
        <v>16</v>
      </c>
      <c r="G6504" s="17">
        <v>71992</v>
      </c>
    </row>
    <row r="6505" spans="1:7">
      <c r="A6505" s="1" t="s">
        <v>18648</v>
      </c>
      <c r="B6505" s="1" t="s">
        <v>18649</v>
      </c>
      <c r="C6505">
        <f>(1-(B7/100))*1071.18</f>
        <v>1071.18</v>
      </c>
      <c r="D6505" s="1">
        <v>0</v>
      </c>
      <c r="E6505">
        <f>D6505*C6505</f>
        <v>0</v>
      </c>
      <c r="F6505" s="1" t="s">
        <v>18650</v>
      </c>
      <c r="G6505" s="17">
        <v>72072</v>
      </c>
    </row>
    <row r="6506" spans="1:7">
      <c r="A6506" s="1" t="s">
        <v>18651</v>
      </c>
      <c r="B6506" s="1" t="s">
        <v>18652</v>
      </c>
      <c r="C6506">
        <f>(1-(B7/100))*764.37</f>
        <v>764.37</v>
      </c>
      <c r="D6506" s="1">
        <v>0</v>
      </c>
      <c r="E6506">
        <f>D6506*C6506</f>
        <v>0</v>
      </c>
      <c r="F6506" s="1" t="s">
        <v>18653</v>
      </c>
      <c r="G6506" s="17">
        <v>72107</v>
      </c>
    </row>
    <row r="6507" spans="1:7">
      <c r="A6507" s="1" t="s">
        <v>18654</v>
      </c>
      <c r="B6507" s="1" t="s">
        <v>18655</v>
      </c>
      <c r="C6507">
        <f>(1-(B7/100))*767.67</f>
        <v>767.67</v>
      </c>
      <c r="D6507" s="1">
        <v>0</v>
      </c>
      <c r="E6507">
        <f>D6507*C6507</f>
        <v>0</v>
      </c>
      <c r="F6507" s="1" t="s">
        <v>18656</v>
      </c>
      <c r="G6507" s="17">
        <v>72109</v>
      </c>
    </row>
    <row r="6508" spans="1:7">
      <c r="A6508" s="1" t="s">
        <v>18657</v>
      </c>
      <c r="B6508" s="1" t="s">
        <v>18658</v>
      </c>
      <c r="C6508">
        <f>(1-(B7/100))*1071.18</f>
        <v>1071.18</v>
      </c>
      <c r="D6508" s="1">
        <v>0</v>
      </c>
      <c r="E6508">
        <f>D6508*C6508</f>
        <v>0</v>
      </c>
      <c r="F6508" s="1" t="s">
        <v>18659</v>
      </c>
      <c r="G6508" s="17">
        <v>72110</v>
      </c>
    </row>
    <row r="6509" spans="1:7">
      <c r="A6509" s="1" t="s">
        <v>18660</v>
      </c>
      <c r="B6509" s="1" t="s">
        <v>18661</v>
      </c>
      <c r="C6509">
        <f>(1-(B7/100))*1071.18</f>
        <v>1071.18</v>
      </c>
      <c r="D6509" s="1">
        <v>0</v>
      </c>
      <c r="E6509">
        <f>D6509*C6509</f>
        <v>0</v>
      </c>
      <c r="F6509" s="1" t="s">
        <v>18662</v>
      </c>
      <c r="G6509" s="17">
        <v>72112</v>
      </c>
    </row>
    <row r="6510" spans="1:7">
      <c r="A6510" s="1" t="s">
        <v>18663</v>
      </c>
      <c r="B6510" s="1" t="s">
        <v>18664</v>
      </c>
      <c r="C6510">
        <f>(1-(B7/100))*1071.18</f>
        <v>1071.18</v>
      </c>
      <c r="D6510" s="1">
        <v>0</v>
      </c>
      <c r="E6510">
        <f>D6510*C6510</f>
        <v>0</v>
      </c>
      <c r="F6510" s="1" t="s">
        <v>18665</v>
      </c>
      <c r="G6510" s="17">
        <v>72113</v>
      </c>
    </row>
    <row r="6511" spans="1:7">
      <c r="A6511" s="1" t="s">
        <v>18666</v>
      </c>
      <c r="B6511" s="1" t="s">
        <v>18667</v>
      </c>
      <c r="C6511">
        <f>(1-(B7/100))*1071.18</f>
        <v>1071.18</v>
      </c>
      <c r="D6511" s="1">
        <v>0</v>
      </c>
      <c r="E6511">
        <f>D6511*C6511</f>
        <v>0</v>
      </c>
      <c r="F6511" s="1" t="s">
        <v>18668</v>
      </c>
      <c r="G6511" s="17">
        <v>72114</v>
      </c>
    </row>
    <row r="6512" spans="1:7">
      <c r="A6512" s="1" t="s">
        <v>18669</v>
      </c>
      <c r="B6512" s="1" t="s">
        <v>18670</v>
      </c>
      <c r="C6512">
        <f>(1-(B7/100))*1071.18</f>
        <v>1071.18</v>
      </c>
      <c r="D6512" s="1">
        <v>0</v>
      </c>
      <c r="E6512">
        <f>D6512*C6512</f>
        <v>0</v>
      </c>
      <c r="F6512" s="1" t="s">
        <v>18671</v>
      </c>
      <c r="G6512" s="17">
        <v>72119</v>
      </c>
    </row>
    <row r="6513" spans="1:7">
      <c r="A6513" s="1" t="s">
        <v>18672</v>
      </c>
      <c r="B6513" s="1" t="s">
        <v>18673</v>
      </c>
      <c r="C6513">
        <f>(1-(B7/100))*1002.55</f>
        <v>1002.55</v>
      </c>
      <c r="D6513" s="1">
        <v>0</v>
      </c>
      <c r="E6513">
        <f>D6513*C6513</f>
        <v>0</v>
      </c>
      <c r="F6513" s="1" t="s">
        <v>18674</v>
      </c>
      <c r="G6513" s="17">
        <v>72121</v>
      </c>
    </row>
    <row r="6514" spans="1:7">
      <c r="A6514" s="1" t="s">
        <v>18675</v>
      </c>
      <c r="B6514" s="1" t="s">
        <v>18676</v>
      </c>
      <c r="C6514">
        <f>(1-(B7/100))*1071.18</f>
        <v>1071.18</v>
      </c>
      <c r="D6514" s="1">
        <v>0</v>
      </c>
      <c r="E6514">
        <f>D6514*C6514</f>
        <v>0</v>
      </c>
      <c r="F6514" s="1" t="s">
        <v>18677</v>
      </c>
      <c r="G6514" s="17">
        <v>72122</v>
      </c>
    </row>
    <row r="6515" spans="1:7">
      <c r="A6515" s="1" t="s">
        <v>18678</v>
      </c>
      <c r="B6515" s="1" t="s">
        <v>18679</v>
      </c>
      <c r="C6515">
        <f>(1-(B7/100))*1002.55</f>
        <v>1002.55</v>
      </c>
      <c r="D6515" s="1">
        <v>0</v>
      </c>
      <c r="E6515">
        <f>D6515*C6515</f>
        <v>0</v>
      </c>
      <c r="F6515" s="1" t="s">
        <v>18680</v>
      </c>
      <c r="G6515" s="17">
        <v>72123</v>
      </c>
    </row>
    <row r="6516" spans="1:7">
      <c r="A6516" s="1" t="s">
        <v>18681</v>
      </c>
      <c r="B6516" s="1" t="s">
        <v>18682</v>
      </c>
      <c r="C6516">
        <f>(1-(B7/100))*1071.18</f>
        <v>1071.18</v>
      </c>
      <c r="D6516" s="1">
        <v>0</v>
      </c>
      <c r="E6516">
        <f>D6516*C6516</f>
        <v>0</v>
      </c>
      <c r="F6516" s="1" t="s">
        <v>18683</v>
      </c>
      <c r="G6516" s="17">
        <v>72124</v>
      </c>
    </row>
    <row r="6517" spans="1:7">
      <c r="A6517" s="1" t="s">
        <v>18684</v>
      </c>
      <c r="B6517" s="1" t="s">
        <v>18685</v>
      </c>
      <c r="C6517">
        <f>(1-(B7/100))*1071.18</f>
        <v>1071.18</v>
      </c>
      <c r="D6517" s="1">
        <v>0</v>
      </c>
      <c r="E6517">
        <f>D6517*C6517</f>
        <v>0</v>
      </c>
      <c r="F6517" s="1" t="s">
        <v>18686</v>
      </c>
      <c r="G6517" s="17">
        <v>72126</v>
      </c>
    </row>
    <row r="6518" spans="1:7">
      <c r="A6518" s="1" t="s">
        <v>18687</v>
      </c>
      <c r="B6518" s="1" t="s">
        <v>18688</v>
      </c>
      <c r="C6518">
        <f>(1-(B7/100))*1071.18</f>
        <v>1071.18</v>
      </c>
      <c r="D6518" s="1">
        <v>0</v>
      </c>
      <c r="E6518">
        <f>D6518*C6518</f>
        <v>0</v>
      </c>
      <c r="F6518" s="1" t="s">
        <v>18689</v>
      </c>
      <c r="G6518" s="17">
        <v>72127</v>
      </c>
    </row>
    <row r="6519" spans="1:7">
      <c r="A6519" s="1" t="s">
        <v>18690</v>
      </c>
      <c r="B6519" s="1" t="s">
        <v>18691</v>
      </c>
      <c r="C6519">
        <f>(1-(B7/100))*1071.18</f>
        <v>1071.18</v>
      </c>
      <c r="D6519" s="1">
        <v>0</v>
      </c>
      <c r="E6519">
        <f>D6519*C6519</f>
        <v>0</v>
      </c>
      <c r="F6519" s="1" t="s">
        <v>18692</v>
      </c>
      <c r="G6519" s="17">
        <v>72129</v>
      </c>
    </row>
    <row r="6520" spans="1:7">
      <c r="A6520" s="1" t="s">
        <v>18693</v>
      </c>
      <c r="B6520" s="1" t="s">
        <v>18694</v>
      </c>
      <c r="C6520">
        <f>(1-(B7/100))*100</f>
        <v>100</v>
      </c>
      <c r="D6520" s="1">
        <v>0</v>
      </c>
      <c r="E6520">
        <f>D6520*C6520</f>
        <v>0</v>
      </c>
      <c r="F6520" s="1" t="s">
        <v>16</v>
      </c>
      <c r="G6520" s="17">
        <v>72167</v>
      </c>
    </row>
    <row r="6521" spans="1:7">
      <c r="A6521" s="1" t="s">
        <v>18695</v>
      </c>
      <c r="B6521" s="1" t="s">
        <v>18696</v>
      </c>
      <c r="C6521">
        <f>(1-(B7/100))*117.02</f>
        <v>117.02</v>
      </c>
      <c r="D6521" s="1">
        <v>0</v>
      </c>
      <c r="E6521">
        <f>D6521*C6521</f>
        <v>0</v>
      </c>
      <c r="F6521" s="1" t="s">
        <v>16</v>
      </c>
      <c r="G6521" s="17">
        <v>72231</v>
      </c>
    </row>
    <row r="6522" spans="1:7">
      <c r="A6522" s="1" t="s">
        <v>18697</v>
      </c>
      <c r="B6522" s="1" t="s">
        <v>18698</v>
      </c>
      <c r="C6522">
        <f>(1-(B7/100))*1014.81</f>
        <v>1014.81</v>
      </c>
      <c r="D6522" s="1">
        <v>0</v>
      </c>
      <c r="E6522">
        <f>D6522*C6522</f>
        <v>0</v>
      </c>
      <c r="F6522" s="1" t="s">
        <v>18699</v>
      </c>
      <c r="G6522" s="17">
        <v>72729</v>
      </c>
    </row>
    <row r="6523" spans="1:7">
      <c r="A6523" s="1" t="s">
        <v>18700</v>
      </c>
      <c r="B6523" s="1" t="s">
        <v>18701</v>
      </c>
      <c r="C6523">
        <f>(1-(B7/100))*1014.81</f>
        <v>1014.81</v>
      </c>
      <c r="D6523" s="1">
        <v>0</v>
      </c>
      <c r="E6523">
        <f>D6523*C6523</f>
        <v>0</v>
      </c>
      <c r="F6523" s="1" t="s">
        <v>18702</v>
      </c>
      <c r="G6523" s="17">
        <v>72731</v>
      </c>
    </row>
    <row r="6524" spans="1:7">
      <c r="A6524" s="1" t="s">
        <v>18703</v>
      </c>
      <c r="B6524" s="1" t="s">
        <v>18704</v>
      </c>
      <c r="C6524">
        <f>(1-(B7/100))*1066.99</f>
        <v>1066.99</v>
      </c>
      <c r="D6524" s="1">
        <v>0</v>
      </c>
      <c r="E6524">
        <f>D6524*C6524</f>
        <v>0</v>
      </c>
      <c r="F6524" s="1" t="s">
        <v>18705</v>
      </c>
      <c r="G6524" s="17">
        <v>73165</v>
      </c>
    </row>
    <row r="6525" spans="1:7">
      <c r="A6525" s="1" t="s">
        <v>18706</v>
      </c>
      <c r="B6525" s="1" t="s">
        <v>18707</v>
      </c>
      <c r="C6525">
        <f>(1-(B7/100))*1014.81</f>
        <v>1014.81</v>
      </c>
      <c r="D6525" s="1">
        <v>0</v>
      </c>
      <c r="E6525">
        <f>D6525*C6525</f>
        <v>0</v>
      </c>
      <c r="F6525" s="1" t="s">
        <v>18708</v>
      </c>
      <c r="G6525" s="17">
        <v>73166</v>
      </c>
    </row>
    <row r="6526" spans="1:7">
      <c r="A6526" s="1" t="s">
        <v>18709</v>
      </c>
      <c r="B6526" s="1" t="s">
        <v>18710</v>
      </c>
      <c r="C6526">
        <f>(1-(B7/100))*1014.81</f>
        <v>1014.81</v>
      </c>
      <c r="D6526" s="1">
        <v>0</v>
      </c>
      <c r="E6526">
        <f>D6526*C6526</f>
        <v>0</v>
      </c>
      <c r="F6526" s="1" t="s">
        <v>18711</v>
      </c>
      <c r="G6526" s="17">
        <v>73168</v>
      </c>
    </row>
    <row r="6527" spans="1:7">
      <c r="A6527" s="1" t="s">
        <v>18712</v>
      </c>
      <c r="B6527" s="1" t="s">
        <v>18713</v>
      </c>
      <c r="C6527">
        <f>(1-(B7/100))*979.32</f>
        <v>979.32</v>
      </c>
      <c r="D6527" s="1">
        <v>0</v>
      </c>
      <c r="E6527">
        <f>D6527*C6527</f>
        <v>0</v>
      </c>
      <c r="F6527" s="1" t="s">
        <v>18714</v>
      </c>
      <c r="G6527" s="17">
        <v>73169</v>
      </c>
    </row>
    <row r="6528" spans="1:7">
      <c r="A6528" s="1" t="s">
        <v>18715</v>
      </c>
      <c r="B6528" s="1" t="s">
        <v>18716</v>
      </c>
      <c r="C6528">
        <f>(1-(B7/100))*1066.99</f>
        <v>1066.99</v>
      </c>
      <c r="D6528" s="1">
        <v>0</v>
      </c>
      <c r="E6528">
        <f>D6528*C6528</f>
        <v>0</v>
      </c>
      <c r="F6528" s="1" t="s">
        <v>18717</v>
      </c>
      <c r="G6528" s="17">
        <v>73170</v>
      </c>
    </row>
    <row r="6529" spans="1:7">
      <c r="A6529" s="1" t="s">
        <v>18718</v>
      </c>
      <c r="B6529" s="1" t="s">
        <v>18719</v>
      </c>
      <c r="C6529">
        <f>(1-(B7/100))*488.52</f>
        <v>488.52</v>
      </c>
      <c r="D6529" s="1">
        <v>0</v>
      </c>
      <c r="E6529">
        <f>D6529*C6529</f>
        <v>0</v>
      </c>
      <c r="F6529" s="1" t="s">
        <v>18720</v>
      </c>
      <c r="G6529" s="17">
        <v>73274</v>
      </c>
    </row>
    <row r="6530" spans="1:7">
      <c r="A6530" s="1" t="s">
        <v>18721</v>
      </c>
      <c r="B6530" s="1" t="s">
        <v>18722</v>
      </c>
      <c r="C6530">
        <f>(1-(B7/100))*305.59</f>
        <v>305.59</v>
      </c>
      <c r="D6530" s="1">
        <v>0</v>
      </c>
      <c r="E6530">
        <f>D6530*C6530</f>
        <v>0</v>
      </c>
      <c r="F6530" s="1" t="s">
        <v>18723</v>
      </c>
      <c r="G6530" s="17">
        <v>73275</v>
      </c>
    </row>
    <row r="6531" spans="1:7">
      <c r="A6531" s="1" t="s">
        <v>18724</v>
      </c>
      <c r="B6531" s="1" t="s">
        <v>18725</v>
      </c>
      <c r="C6531">
        <f>(1-(B7/100))*305.59</f>
        <v>305.59</v>
      </c>
      <c r="D6531" s="1">
        <v>0</v>
      </c>
      <c r="E6531">
        <f>D6531*C6531</f>
        <v>0</v>
      </c>
      <c r="F6531" s="1" t="s">
        <v>18726</v>
      </c>
      <c r="G6531" s="17">
        <v>73276</v>
      </c>
    </row>
    <row r="6532" spans="1:7">
      <c r="A6532" s="1" t="s">
        <v>18727</v>
      </c>
      <c r="B6532" s="1" t="s">
        <v>18728</v>
      </c>
      <c r="C6532">
        <f>(1-(B7/100))*305.59</f>
        <v>305.59</v>
      </c>
      <c r="D6532" s="1">
        <v>0</v>
      </c>
      <c r="E6532">
        <f>D6532*C6532</f>
        <v>0</v>
      </c>
      <c r="F6532" s="1" t="s">
        <v>18729</v>
      </c>
      <c r="G6532" s="17">
        <v>73278</v>
      </c>
    </row>
    <row r="6533" spans="1:7">
      <c r="A6533" s="1" t="s">
        <v>18730</v>
      </c>
      <c r="B6533" s="1" t="s">
        <v>18731</v>
      </c>
      <c r="C6533">
        <f>(1-(B7/100))*987.92</f>
        <v>987.92</v>
      </c>
      <c r="D6533" s="1">
        <v>0</v>
      </c>
      <c r="E6533">
        <f>D6533*C6533</f>
        <v>0</v>
      </c>
      <c r="F6533" s="1" t="s">
        <v>18732</v>
      </c>
      <c r="G6533" s="17">
        <v>76265</v>
      </c>
    </row>
    <row r="6534" spans="1:7">
      <c r="A6534" s="1" t="s">
        <v>18733</v>
      </c>
      <c r="B6534" s="1" t="s">
        <v>18734</v>
      </c>
      <c r="C6534">
        <f>(1-(B7/100))*737.62</f>
        <v>737.62</v>
      </c>
      <c r="D6534" s="1">
        <v>0</v>
      </c>
      <c r="E6534">
        <f>D6534*C6534</f>
        <v>0</v>
      </c>
      <c r="F6534" s="1" t="s">
        <v>18735</v>
      </c>
      <c r="G6534" s="17">
        <v>76293</v>
      </c>
    </row>
    <row r="6535" spans="1:7">
      <c r="A6535" s="1" t="s">
        <v>18736</v>
      </c>
      <c r="B6535" s="1" t="s">
        <v>18737</v>
      </c>
      <c r="C6535">
        <f>(1-(B7/100))*716</f>
        <v>716</v>
      </c>
      <c r="D6535" s="1">
        <v>0</v>
      </c>
      <c r="E6535">
        <f>D6535*C6535</f>
        <v>0</v>
      </c>
      <c r="F6535" s="1" t="s">
        <v>18738</v>
      </c>
      <c r="G6535" s="17">
        <v>76297</v>
      </c>
    </row>
    <row r="6536" spans="1:7">
      <c r="A6536" s="1" t="s">
        <v>18739</v>
      </c>
      <c r="B6536" s="1" t="s">
        <v>18740</v>
      </c>
      <c r="C6536">
        <f>(1-(B7/100))*734.32</f>
        <v>734.32</v>
      </c>
      <c r="D6536" s="1">
        <v>0</v>
      </c>
      <c r="E6536">
        <f>D6536*C6536</f>
        <v>0</v>
      </c>
      <c r="F6536" s="1" t="s">
        <v>18741</v>
      </c>
      <c r="G6536" s="17">
        <v>76298</v>
      </c>
    </row>
    <row r="6537" spans="1:7">
      <c r="A6537" s="1" t="s">
        <v>18742</v>
      </c>
      <c r="B6537" s="1" t="s">
        <v>18743</v>
      </c>
      <c r="C6537">
        <f>(1-(B7/100))*1127.56</f>
        <v>1127.56</v>
      </c>
      <c r="D6537" s="1">
        <v>0</v>
      </c>
      <c r="E6537">
        <f>D6537*C6537</f>
        <v>0</v>
      </c>
      <c r="F6537" s="1" t="s">
        <v>18744</v>
      </c>
      <c r="G6537" s="17">
        <v>76303</v>
      </c>
    </row>
    <row r="6538" spans="1:7">
      <c r="A6538" s="1" t="s">
        <v>18745</v>
      </c>
      <c r="B6538" s="1" t="s">
        <v>18746</v>
      </c>
      <c r="C6538">
        <f>(1-(B7/100))*475.94</f>
        <v>475.94</v>
      </c>
      <c r="D6538" s="1">
        <v>0</v>
      </c>
      <c r="E6538">
        <f>D6538*C6538</f>
        <v>0</v>
      </c>
      <c r="F6538" s="1" t="s">
        <v>18747</v>
      </c>
      <c r="G6538" s="17">
        <v>76305</v>
      </c>
    </row>
    <row r="6539" spans="1:7">
      <c r="A6539" s="1" t="s">
        <v>18748</v>
      </c>
      <c r="B6539" s="1" t="s">
        <v>18749</v>
      </c>
      <c r="C6539">
        <f>(1-(B7/100))*472.65</f>
        <v>472.65</v>
      </c>
      <c r="D6539" s="1">
        <v>0</v>
      </c>
      <c r="E6539">
        <f>D6539*C6539</f>
        <v>0</v>
      </c>
      <c r="F6539" s="1" t="s">
        <v>18750</v>
      </c>
      <c r="G6539" s="17">
        <v>76306</v>
      </c>
    </row>
    <row r="6540" spans="1:7">
      <c r="A6540" s="1" t="s">
        <v>18751</v>
      </c>
      <c r="B6540" s="1" t="s">
        <v>18752</v>
      </c>
      <c r="C6540">
        <f>(1-(B7/100))*475.94</f>
        <v>475.94</v>
      </c>
      <c r="D6540" s="1">
        <v>0</v>
      </c>
      <c r="E6540">
        <f>D6540*C6540</f>
        <v>0</v>
      </c>
      <c r="F6540" s="1" t="s">
        <v>18753</v>
      </c>
      <c r="G6540" s="17">
        <v>76307</v>
      </c>
    </row>
    <row r="6541" spans="1:7">
      <c r="A6541" s="1" t="s">
        <v>18754</v>
      </c>
      <c r="B6541" s="1" t="s">
        <v>18755</v>
      </c>
      <c r="C6541">
        <f>(1-(B7/100))*1127.56</f>
        <v>1127.56</v>
      </c>
      <c r="D6541" s="1">
        <v>0</v>
      </c>
      <c r="E6541">
        <f>D6541*C6541</f>
        <v>0</v>
      </c>
      <c r="F6541" s="1" t="s">
        <v>18756</v>
      </c>
      <c r="G6541" s="17">
        <v>76310</v>
      </c>
    </row>
    <row r="6542" spans="1:7">
      <c r="A6542" s="1" t="s">
        <v>18757</v>
      </c>
      <c r="B6542" s="1" t="s">
        <v>18758</v>
      </c>
      <c r="C6542">
        <f>(1-(B7/100))*488.52</f>
        <v>488.52</v>
      </c>
      <c r="D6542" s="1">
        <v>0</v>
      </c>
      <c r="E6542">
        <f>D6542*C6542</f>
        <v>0</v>
      </c>
      <c r="F6542" s="1" t="s">
        <v>18759</v>
      </c>
      <c r="G6542" s="17">
        <v>76314</v>
      </c>
    </row>
    <row r="6543" spans="1:7">
      <c r="A6543" s="1" t="s">
        <v>18760</v>
      </c>
      <c r="B6543" s="1" t="s">
        <v>18761</v>
      </c>
      <c r="C6543">
        <f>(1-(B7/100))*488.52</f>
        <v>488.52</v>
      </c>
      <c r="D6543" s="1">
        <v>0</v>
      </c>
      <c r="E6543">
        <f>D6543*C6543</f>
        <v>0</v>
      </c>
      <c r="F6543" s="1" t="s">
        <v>18762</v>
      </c>
      <c r="G6543" s="17">
        <v>76319</v>
      </c>
    </row>
    <row r="6544" spans="1:7">
      <c r="A6544" s="1" t="s">
        <v>18763</v>
      </c>
      <c r="B6544" s="1" t="s">
        <v>18764</v>
      </c>
      <c r="C6544">
        <f>(1-(B7/100))*353.53</f>
        <v>353.53</v>
      </c>
      <c r="D6544" s="1">
        <v>0</v>
      </c>
      <c r="E6544">
        <f>D6544*C6544</f>
        <v>0</v>
      </c>
      <c r="F6544" s="1" t="s">
        <v>16</v>
      </c>
      <c r="G6544" s="17">
        <v>85659</v>
      </c>
    </row>
    <row r="6545" spans="1:7">
      <c r="A6545" s="1">
        <v>4295594</v>
      </c>
      <c r="B6545" s="1" t="s">
        <v>18765</v>
      </c>
      <c r="C6545">
        <f>(1-(B7/100))*465.43</f>
        <v>465.43</v>
      </c>
      <c r="D6545" s="1">
        <v>0</v>
      </c>
      <c r="E6545">
        <f>D6545*C6545</f>
        <v>0</v>
      </c>
      <c r="F6545" s="1" t="s">
        <v>18766</v>
      </c>
      <c r="G6545" s="17">
        <v>85978</v>
      </c>
    </row>
    <row r="6546" spans="1:7">
      <c r="A6546" s="1" t="s">
        <v>18767</v>
      </c>
      <c r="B6546" s="1" t="s">
        <v>18768</v>
      </c>
      <c r="C6546">
        <f>(1-(B7/100))*436.58</f>
        <v>436.58</v>
      </c>
      <c r="D6546" s="1">
        <v>0</v>
      </c>
      <c r="E6546">
        <f>D6546*C6546</f>
        <v>0</v>
      </c>
      <c r="F6546" s="1" t="s">
        <v>18769</v>
      </c>
      <c r="G6546" s="17">
        <v>85981</v>
      </c>
    </row>
    <row r="6547" spans="1:7">
      <c r="A6547" s="1">
        <v>3734830</v>
      </c>
      <c r="B6547" s="1" t="s">
        <v>18770</v>
      </c>
      <c r="C6547">
        <f>(1-(B7/100))*436.58</f>
        <v>436.58</v>
      </c>
      <c r="D6547" s="1">
        <v>0</v>
      </c>
      <c r="E6547">
        <f>D6547*C6547</f>
        <v>0</v>
      </c>
      <c r="F6547" s="1" t="s">
        <v>18771</v>
      </c>
      <c r="G6547" s="17">
        <v>85989</v>
      </c>
    </row>
    <row r="6548" spans="1:7">
      <c r="A6548" s="1" t="s">
        <v>18772</v>
      </c>
      <c r="B6548" s="1" t="s">
        <v>18773</v>
      </c>
      <c r="C6548">
        <f>(1-(B7/100))*1066.99</f>
        <v>1066.99</v>
      </c>
      <c r="D6548" s="1">
        <v>0</v>
      </c>
      <c r="E6548">
        <f>D6548*C6548</f>
        <v>0</v>
      </c>
      <c r="F6548" s="1" t="s">
        <v>18774</v>
      </c>
      <c r="G6548" s="17">
        <v>86007</v>
      </c>
    </row>
    <row r="6549" spans="1:7">
      <c r="A6549" s="1" t="s">
        <v>18775</v>
      </c>
      <c r="B6549" s="1" t="s">
        <v>18776</v>
      </c>
      <c r="C6549">
        <f>(1-(B7/100))*1066.99</f>
        <v>1066.99</v>
      </c>
      <c r="D6549" s="1">
        <v>0</v>
      </c>
      <c r="E6549">
        <f>D6549*C6549</f>
        <v>0</v>
      </c>
      <c r="F6549" s="1" t="s">
        <v>18777</v>
      </c>
      <c r="G6549" s="17">
        <v>86008</v>
      </c>
    </row>
    <row r="6550" spans="1:7">
      <c r="A6550" s="1" t="s">
        <v>18778</v>
      </c>
      <c r="B6550" s="1" t="s">
        <v>18779</v>
      </c>
      <c r="C6550">
        <f>(1-(B7/100))*212.78</f>
        <v>212.78</v>
      </c>
      <c r="D6550" s="1">
        <v>0</v>
      </c>
      <c r="E6550">
        <f>D6550*C6550</f>
        <v>0</v>
      </c>
      <c r="F6550" s="1" t="s">
        <v>18780</v>
      </c>
      <c r="G6550" s="17">
        <v>86672</v>
      </c>
    </row>
    <row r="6551" spans="1:7">
      <c r="A6551" s="1" t="s">
        <v>18781</v>
      </c>
      <c r="B6551" s="1" t="s">
        <v>18782</v>
      </c>
      <c r="C6551">
        <f>(1-(B7/100))*1066.99</f>
        <v>1066.99</v>
      </c>
      <c r="D6551" s="1">
        <v>0</v>
      </c>
      <c r="E6551">
        <f>D6551*C6551</f>
        <v>0</v>
      </c>
      <c r="F6551" s="1" t="s">
        <v>18783</v>
      </c>
      <c r="G6551" s="17">
        <v>87479</v>
      </c>
    </row>
    <row r="6552" spans="1:7">
      <c r="A6552" s="1" t="s">
        <v>18784</v>
      </c>
      <c r="B6552" s="1" t="s">
        <v>18785</v>
      </c>
      <c r="C6552">
        <f>(1-(B7/100))*1014.81</f>
        <v>1014.81</v>
      </c>
      <c r="D6552" s="1">
        <v>0</v>
      </c>
      <c r="E6552">
        <f>D6552*C6552</f>
        <v>0</v>
      </c>
      <c r="F6552" s="1" t="s">
        <v>18786</v>
      </c>
      <c r="G6552" s="17">
        <v>87480</v>
      </c>
    </row>
    <row r="6553" spans="1:7">
      <c r="A6553" s="1" t="s">
        <v>18787</v>
      </c>
      <c r="B6553" s="1" t="s">
        <v>18788</v>
      </c>
      <c r="C6553">
        <f>(1-(B7/100))*987.92</f>
        <v>987.92</v>
      </c>
      <c r="D6553" s="1">
        <v>0</v>
      </c>
      <c r="E6553">
        <f>D6553*C6553</f>
        <v>0</v>
      </c>
      <c r="F6553" s="1" t="s">
        <v>18789</v>
      </c>
      <c r="G6553" s="17">
        <v>87481</v>
      </c>
    </row>
    <row r="6554" spans="1:7">
      <c r="A6554" s="16"/>
      <c r="B6554" s="16" t="s">
        <v>18790</v>
      </c>
      <c r="C6554" s="16"/>
      <c r="D6554" s="16"/>
      <c r="E6554" s="16"/>
      <c r="F6554" s="16"/>
    </row>
    <row r="6555" spans="1:7">
      <c r="A6555" s="1" t="s">
        <v>18791</v>
      </c>
      <c r="B6555" s="1" t="s">
        <v>18792</v>
      </c>
      <c r="C6555">
        <f>(1-(B7/100))*832.75</f>
        <v>832.75</v>
      </c>
      <c r="D6555" s="1">
        <v>0</v>
      </c>
      <c r="E6555">
        <f>D6555*C6555</f>
        <v>0</v>
      </c>
      <c r="F6555" s="1" t="s">
        <v>18793</v>
      </c>
      <c r="G6555" s="17">
        <v>63945</v>
      </c>
    </row>
    <row r="6556" spans="1:7">
      <c r="A6556" s="1" t="s">
        <v>18794</v>
      </c>
      <c r="B6556" s="1" t="s">
        <v>18795</v>
      </c>
      <c r="C6556">
        <f>(1-(B7/100))*936.84</f>
        <v>936.84</v>
      </c>
      <c r="D6556" s="1">
        <v>0</v>
      </c>
      <c r="E6556">
        <f>D6556*C6556</f>
        <v>0</v>
      </c>
      <c r="F6556" s="1" t="s">
        <v>18796</v>
      </c>
      <c r="G6556" s="17">
        <v>64372</v>
      </c>
    </row>
    <row r="6557" spans="1:7">
      <c r="A6557" s="1" t="s">
        <v>18797</v>
      </c>
      <c r="B6557" s="1" t="s">
        <v>18798</v>
      </c>
      <c r="C6557">
        <f>(1-(B7/100))*224.1</f>
        <v>224.1</v>
      </c>
      <c r="D6557" s="1">
        <v>0</v>
      </c>
      <c r="E6557">
        <f>D6557*C6557</f>
        <v>0</v>
      </c>
      <c r="F6557" s="1" t="s">
        <v>18799</v>
      </c>
      <c r="G6557" s="17">
        <v>64416</v>
      </c>
    </row>
    <row r="6558" spans="1:7">
      <c r="A6558" s="1" t="s">
        <v>18800</v>
      </c>
      <c r="B6558" s="1" t="s">
        <v>18801</v>
      </c>
      <c r="C6558">
        <f>(1-(B7/100))*832.75</f>
        <v>832.75</v>
      </c>
      <c r="D6558" s="1">
        <v>0</v>
      </c>
      <c r="E6558">
        <f>D6558*C6558</f>
        <v>0</v>
      </c>
      <c r="F6558" s="1" t="s">
        <v>18802</v>
      </c>
      <c r="G6558" s="17">
        <v>64465</v>
      </c>
    </row>
    <row r="6559" spans="1:7">
      <c r="A6559" s="1" t="s">
        <v>18803</v>
      </c>
      <c r="B6559" s="1" t="s">
        <v>18804</v>
      </c>
      <c r="C6559">
        <f>(1-(B7/100))*553.44</f>
        <v>553.44</v>
      </c>
      <c r="D6559" s="1">
        <v>0</v>
      </c>
      <c r="E6559">
        <f>D6559*C6559</f>
        <v>0</v>
      </c>
      <c r="F6559" s="1" t="s">
        <v>18805</v>
      </c>
      <c r="G6559" s="17">
        <v>69959</v>
      </c>
    </row>
    <row r="6560" spans="1:7">
      <c r="A6560" s="1" t="s">
        <v>18806</v>
      </c>
      <c r="B6560" s="1" t="s">
        <v>18807</v>
      </c>
      <c r="C6560">
        <f>(1-(B7/100))*553.44</f>
        <v>553.44</v>
      </c>
      <c r="D6560" s="1">
        <v>0</v>
      </c>
      <c r="E6560">
        <f>D6560*C6560</f>
        <v>0</v>
      </c>
      <c r="F6560" s="1" t="s">
        <v>18808</v>
      </c>
      <c r="G6560" s="17">
        <v>69961</v>
      </c>
    </row>
    <row r="6561" spans="1:7">
      <c r="A6561" s="1" t="s">
        <v>18809</v>
      </c>
      <c r="B6561" s="1" t="s">
        <v>18810</v>
      </c>
      <c r="C6561">
        <f>(1-(B7/100))*709.43</f>
        <v>709.43</v>
      </c>
      <c r="D6561" s="1">
        <v>0</v>
      </c>
      <c r="E6561">
        <f>D6561*C6561</f>
        <v>0</v>
      </c>
      <c r="F6561" s="1" t="s">
        <v>18811</v>
      </c>
      <c r="G6561" s="17">
        <v>69965</v>
      </c>
    </row>
    <row r="6562" spans="1:7">
      <c r="A6562" s="1" t="s">
        <v>18812</v>
      </c>
      <c r="B6562" s="1" t="s">
        <v>18813</v>
      </c>
      <c r="C6562">
        <f>(1-(B7/100))*629.08</f>
        <v>629.08</v>
      </c>
      <c r="D6562" s="1">
        <v>0</v>
      </c>
      <c r="E6562">
        <f>D6562*C6562</f>
        <v>0</v>
      </c>
      <c r="F6562" s="1" t="s">
        <v>18814</v>
      </c>
      <c r="G6562" s="17">
        <v>69968</v>
      </c>
    </row>
    <row r="6563" spans="1:7">
      <c r="A6563" s="1" t="s">
        <v>18815</v>
      </c>
      <c r="B6563" s="1" t="s">
        <v>18816</v>
      </c>
      <c r="C6563">
        <f>(1-(B7/100))*903.71</f>
        <v>903.71</v>
      </c>
      <c r="D6563" s="1">
        <v>0</v>
      </c>
      <c r="E6563">
        <f>D6563*C6563</f>
        <v>0</v>
      </c>
      <c r="F6563" s="1" t="s">
        <v>18817</v>
      </c>
      <c r="G6563" s="17">
        <v>69983</v>
      </c>
    </row>
    <row r="6564" spans="1:7">
      <c r="A6564" s="1" t="s">
        <v>18818</v>
      </c>
      <c r="B6564" s="1" t="s">
        <v>18819</v>
      </c>
      <c r="C6564">
        <f>(1-(B7/100))*751.29</f>
        <v>751.29</v>
      </c>
      <c r="D6564" s="1">
        <v>0</v>
      </c>
      <c r="E6564">
        <f>D6564*C6564</f>
        <v>0</v>
      </c>
      <c r="F6564" s="1" t="s">
        <v>18820</v>
      </c>
      <c r="G6564" s="17">
        <v>71094</v>
      </c>
    </row>
    <row r="6565" spans="1:7">
      <c r="A6565" s="1" t="s">
        <v>18821</v>
      </c>
      <c r="B6565" s="1" t="s">
        <v>18822</v>
      </c>
      <c r="C6565">
        <f>(1-(B7/100))*618.55</f>
        <v>618.55</v>
      </c>
      <c r="D6565" s="1">
        <v>0</v>
      </c>
      <c r="E6565">
        <f>D6565*C6565</f>
        <v>0</v>
      </c>
      <c r="F6565" s="1" t="s">
        <v>18823</v>
      </c>
      <c r="G6565" s="17">
        <v>71186</v>
      </c>
    </row>
    <row r="6566" spans="1:7">
      <c r="A6566" s="1" t="s">
        <v>18824</v>
      </c>
      <c r="B6566" s="1" t="s">
        <v>18825</v>
      </c>
      <c r="C6566">
        <f>(1-(B7/100))*618.55</f>
        <v>618.55</v>
      </c>
      <c r="D6566" s="1">
        <v>0</v>
      </c>
      <c r="E6566">
        <f>D6566*C6566</f>
        <v>0</v>
      </c>
      <c r="F6566" s="1" t="s">
        <v>18826</v>
      </c>
      <c r="G6566" s="17">
        <v>71187</v>
      </c>
    </row>
    <row r="6567" spans="1:7">
      <c r="A6567" s="1" t="s">
        <v>18827</v>
      </c>
      <c r="B6567" s="1" t="s">
        <v>18828</v>
      </c>
      <c r="C6567">
        <f>(1-(B7/100))*473.66</f>
        <v>473.66</v>
      </c>
      <c r="D6567" s="1">
        <v>0</v>
      </c>
      <c r="E6567">
        <f>D6567*C6567</f>
        <v>0</v>
      </c>
      <c r="F6567" s="1" t="s">
        <v>18829</v>
      </c>
      <c r="G6567" s="17">
        <v>72100</v>
      </c>
    </row>
    <row r="6568" spans="1:7">
      <c r="A6568" s="1" t="s">
        <v>18830</v>
      </c>
      <c r="B6568" s="1" t="s">
        <v>18831</v>
      </c>
      <c r="C6568">
        <f>(1-(B7/100))*473.66</f>
        <v>473.66</v>
      </c>
      <c r="D6568" s="1">
        <v>0</v>
      </c>
      <c r="E6568">
        <f>D6568*C6568</f>
        <v>0</v>
      </c>
      <c r="F6568" s="1" t="s">
        <v>18832</v>
      </c>
      <c r="G6568" s="17">
        <v>72101</v>
      </c>
    </row>
    <row r="6569" spans="1:7">
      <c r="A6569" s="1" t="s">
        <v>18833</v>
      </c>
      <c r="B6569" s="1" t="s">
        <v>18834</v>
      </c>
      <c r="C6569">
        <f>(1-(B7/100))*473.66</f>
        <v>473.66</v>
      </c>
      <c r="D6569" s="1">
        <v>0</v>
      </c>
      <c r="E6569">
        <f>D6569*C6569</f>
        <v>0</v>
      </c>
      <c r="F6569" s="1" t="s">
        <v>18835</v>
      </c>
      <c r="G6569" s="17">
        <v>72102</v>
      </c>
    </row>
    <row r="6570" spans="1:7">
      <c r="A6570" s="1" t="s">
        <v>18836</v>
      </c>
      <c r="B6570" s="1" t="s">
        <v>18837</v>
      </c>
      <c r="C6570">
        <f>(1-(B7/100))*473.66</f>
        <v>473.66</v>
      </c>
      <c r="D6570" s="1">
        <v>0</v>
      </c>
      <c r="E6570">
        <f>D6570*C6570</f>
        <v>0</v>
      </c>
      <c r="F6570" s="1" t="s">
        <v>18838</v>
      </c>
      <c r="G6570" s="17">
        <v>72103</v>
      </c>
    </row>
    <row r="6571" spans="1:7">
      <c r="A6571" s="1" t="s">
        <v>18839</v>
      </c>
      <c r="B6571" s="1" t="s">
        <v>18840</v>
      </c>
      <c r="C6571">
        <f>(1-(B7/100))*990</f>
        <v>990</v>
      </c>
      <c r="D6571" s="1">
        <v>0</v>
      </c>
      <c r="E6571">
        <f>D6571*C6571</f>
        <v>0</v>
      </c>
      <c r="F6571" s="1" t="s">
        <v>18841</v>
      </c>
      <c r="G6571" s="17">
        <v>72253</v>
      </c>
    </row>
    <row r="6572" spans="1:7">
      <c r="A6572" s="1" t="s">
        <v>18842</v>
      </c>
      <c r="B6572" s="1" t="s">
        <v>18843</v>
      </c>
      <c r="C6572">
        <f>(1-(B7/100))*990</f>
        <v>990</v>
      </c>
      <c r="D6572" s="1">
        <v>0</v>
      </c>
      <c r="E6572">
        <f>D6572*C6572</f>
        <v>0</v>
      </c>
      <c r="F6572" s="1" t="s">
        <v>18844</v>
      </c>
      <c r="G6572" s="17">
        <v>72254</v>
      </c>
    </row>
    <row r="6573" spans="1:7">
      <c r="A6573" s="1" t="s">
        <v>18845</v>
      </c>
      <c r="B6573" s="1" t="s">
        <v>18846</v>
      </c>
      <c r="C6573">
        <f>(1-(B7/100))*990</f>
        <v>990</v>
      </c>
      <c r="D6573" s="1">
        <v>0</v>
      </c>
      <c r="E6573">
        <f>D6573*C6573</f>
        <v>0</v>
      </c>
      <c r="F6573" s="1" t="s">
        <v>18847</v>
      </c>
      <c r="G6573" s="17">
        <v>72255</v>
      </c>
    </row>
    <row r="6574" spans="1:7">
      <c r="A6574" s="1" t="s">
        <v>18848</v>
      </c>
      <c r="B6574" s="1" t="s">
        <v>18849</v>
      </c>
      <c r="C6574">
        <f>(1-(B7/100))*990.9</f>
        <v>990.9</v>
      </c>
      <c r="D6574" s="1">
        <v>0</v>
      </c>
      <c r="E6574">
        <f>D6574*C6574</f>
        <v>0</v>
      </c>
      <c r="F6574" s="1" t="s">
        <v>18850</v>
      </c>
      <c r="G6574" s="17">
        <v>72256</v>
      </c>
    </row>
    <row r="6575" spans="1:7">
      <c r="A6575" s="1" t="s">
        <v>18851</v>
      </c>
      <c r="B6575" s="1" t="s">
        <v>18852</v>
      </c>
      <c r="C6575">
        <f>(1-(B7/100))*1058.9</f>
        <v>1058.9</v>
      </c>
      <c r="D6575" s="1">
        <v>0</v>
      </c>
      <c r="E6575">
        <f>D6575*C6575</f>
        <v>0</v>
      </c>
      <c r="F6575" s="1" t="s">
        <v>18853</v>
      </c>
      <c r="G6575" s="17">
        <v>73129</v>
      </c>
    </row>
    <row r="6576" spans="1:7">
      <c r="A6576" s="1" t="s">
        <v>18854</v>
      </c>
      <c r="B6576" s="1" t="s">
        <v>18855</v>
      </c>
      <c r="C6576">
        <f>(1-(B7/100))*1058.9</f>
        <v>1058.9</v>
      </c>
      <c r="D6576" s="1">
        <v>0</v>
      </c>
      <c r="E6576">
        <f>D6576*C6576</f>
        <v>0</v>
      </c>
      <c r="F6576" s="1" t="s">
        <v>18856</v>
      </c>
      <c r="G6576" s="17">
        <v>73131</v>
      </c>
    </row>
    <row r="6577" spans="1:7">
      <c r="A6577" s="1" t="s">
        <v>18857</v>
      </c>
      <c r="B6577" s="1" t="s">
        <v>18858</v>
      </c>
      <c r="C6577">
        <f>(1-(B7/100))*732.54</f>
        <v>732.54</v>
      </c>
      <c r="D6577" s="1">
        <v>0</v>
      </c>
      <c r="E6577">
        <f>D6577*C6577</f>
        <v>0</v>
      </c>
      <c r="F6577" s="1" t="s">
        <v>18859</v>
      </c>
      <c r="G6577" s="17">
        <v>73656</v>
      </c>
    </row>
    <row r="6578" spans="1:7">
      <c r="A6578" s="1" t="s">
        <v>18860</v>
      </c>
      <c r="B6578" s="1" t="s">
        <v>18861</v>
      </c>
      <c r="C6578">
        <f>(1-(B7/100))*732.54</f>
        <v>732.54</v>
      </c>
      <c r="D6578" s="1">
        <v>0</v>
      </c>
      <c r="E6578">
        <f>D6578*C6578</f>
        <v>0</v>
      </c>
      <c r="F6578" s="1" t="s">
        <v>18862</v>
      </c>
      <c r="G6578" s="17">
        <v>73657</v>
      </c>
    </row>
    <row r="6579" spans="1:7">
      <c r="A6579" s="1" t="s">
        <v>18863</v>
      </c>
      <c r="B6579" s="1" t="s">
        <v>18864</v>
      </c>
      <c r="C6579">
        <f>(1-(B7/100))*732.54</f>
        <v>732.54</v>
      </c>
      <c r="D6579" s="1">
        <v>0</v>
      </c>
      <c r="E6579">
        <f>D6579*C6579</f>
        <v>0</v>
      </c>
      <c r="F6579" s="1" t="s">
        <v>18865</v>
      </c>
      <c r="G6579" s="17">
        <v>73658</v>
      </c>
    </row>
    <row r="6580" spans="1:7">
      <c r="A6580" s="1" t="s">
        <v>18866</v>
      </c>
      <c r="B6580" s="1" t="s">
        <v>18867</v>
      </c>
      <c r="C6580">
        <f>(1-(B7/100))*732.54</f>
        <v>732.54</v>
      </c>
      <c r="D6580" s="1">
        <v>0</v>
      </c>
      <c r="E6580">
        <f>D6580*C6580</f>
        <v>0</v>
      </c>
      <c r="F6580" s="1" t="s">
        <v>18868</v>
      </c>
      <c r="G6580" s="17">
        <v>73659</v>
      </c>
    </row>
    <row r="6581" spans="1:7">
      <c r="A6581" s="1" t="s">
        <v>18869</v>
      </c>
      <c r="B6581" s="1" t="s">
        <v>18870</v>
      </c>
      <c r="C6581">
        <f>(1-(B7/100))*732.54</f>
        <v>732.54</v>
      </c>
      <c r="D6581" s="1">
        <v>0</v>
      </c>
      <c r="E6581">
        <f>D6581*C6581</f>
        <v>0</v>
      </c>
      <c r="F6581" s="1" t="s">
        <v>18871</v>
      </c>
      <c r="G6581" s="17">
        <v>73660</v>
      </c>
    </row>
    <row r="6582" spans="1:7">
      <c r="A6582" s="1" t="s">
        <v>18872</v>
      </c>
      <c r="B6582" s="1" t="s">
        <v>18873</v>
      </c>
      <c r="C6582">
        <f>(1-(B7/100))*936.84</f>
        <v>936.84</v>
      </c>
      <c r="D6582" s="1">
        <v>0</v>
      </c>
      <c r="E6582">
        <f>D6582*C6582</f>
        <v>0</v>
      </c>
      <c r="F6582" s="1" t="s">
        <v>18874</v>
      </c>
      <c r="G6582" s="17">
        <v>73768</v>
      </c>
    </row>
    <row r="6583" spans="1:7">
      <c r="A6583" s="1" t="s">
        <v>18875</v>
      </c>
      <c r="B6583" s="1" t="s">
        <v>18876</v>
      </c>
      <c r="C6583">
        <f>(1-(B7/100))*832.75</f>
        <v>832.75</v>
      </c>
      <c r="D6583" s="1">
        <v>0</v>
      </c>
      <c r="E6583">
        <f>D6583*C6583</f>
        <v>0</v>
      </c>
      <c r="F6583" s="1" t="s">
        <v>18877</v>
      </c>
      <c r="G6583" s="17">
        <v>73773</v>
      </c>
    </row>
    <row r="6584" spans="1:7">
      <c r="A6584" s="1" t="s">
        <v>18878</v>
      </c>
      <c r="B6584" s="1" t="s">
        <v>18879</v>
      </c>
      <c r="C6584">
        <f>(1-(B7/100))*554.02</f>
        <v>554.02</v>
      </c>
      <c r="D6584" s="1">
        <v>0</v>
      </c>
      <c r="E6584">
        <f>D6584*C6584</f>
        <v>0</v>
      </c>
      <c r="F6584" s="1" t="s">
        <v>18880</v>
      </c>
      <c r="G6584" s="17">
        <v>76330</v>
      </c>
    </row>
    <row r="6585" spans="1:7">
      <c r="A6585" s="1" t="s">
        <v>18881</v>
      </c>
      <c r="B6585" s="1" t="s">
        <v>18882</v>
      </c>
      <c r="C6585">
        <f>(1-(B7/100))*618.55</f>
        <v>618.55</v>
      </c>
      <c r="D6585" s="1">
        <v>0</v>
      </c>
      <c r="E6585">
        <f>D6585*C6585</f>
        <v>0</v>
      </c>
      <c r="F6585" s="1" t="s">
        <v>18883</v>
      </c>
      <c r="G6585" s="17">
        <v>76332</v>
      </c>
    </row>
    <row r="6586" spans="1:7">
      <c r="A6586" s="1" t="s">
        <v>18884</v>
      </c>
      <c r="B6586" s="1" t="s">
        <v>18885</v>
      </c>
      <c r="C6586">
        <f>(1-(B7/100))*2345.7</f>
        <v>2345.7</v>
      </c>
      <c r="D6586" s="1">
        <v>0</v>
      </c>
      <c r="E6586">
        <f>D6586*C6586</f>
        <v>0</v>
      </c>
      <c r="F6586" s="1" t="s">
        <v>18886</v>
      </c>
      <c r="G6586" s="17">
        <v>76364</v>
      </c>
    </row>
    <row r="6587" spans="1:7">
      <c r="A6587" s="1" t="s">
        <v>18887</v>
      </c>
      <c r="B6587" s="1" t="s">
        <v>18888</v>
      </c>
      <c r="C6587">
        <f>(1-(B7/100))*737.43</f>
        <v>737.43</v>
      </c>
      <c r="D6587" s="1">
        <v>0</v>
      </c>
      <c r="E6587">
        <f>D6587*C6587</f>
        <v>0</v>
      </c>
      <c r="F6587" s="1" t="s">
        <v>18889</v>
      </c>
      <c r="G6587" s="17">
        <v>76368</v>
      </c>
    </row>
    <row r="6588" spans="1:7">
      <c r="A6588" s="1" t="s">
        <v>18890</v>
      </c>
      <c r="B6588" s="1" t="s">
        <v>18891</v>
      </c>
      <c r="C6588">
        <f>(1-(B7/100))*832.75</f>
        <v>832.75</v>
      </c>
      <c r="D6588" s="1">
        <v>0</v>
      </c>
      <c r="E6588">
        <f>D6588*C6588</f>
        <v>0</v>
      </c>
      <c r="F6588" s="1" t="s">
        <v>18892</v>
      </c>
      <c r="G6588" s="17">
        <v>76376</v>
      </c>
    </row>
    <row r="6589" spans="1:7">
      <c r="A6589" s="1" t="s">
        <v>18893</v>
      </c>
      <c r="B6589" s="1" t="s">
        <v>18894</v>
      </c>
      <c r="C6589">
        <f>(1-(B7/100))*832.75</f>
        <v>832.75</v>
      </c>
      <c r="D6589" s="1">
        <v>0</v>
      </c>
      <c r="E6589">
        <f>D6589*C6589</f>
        <v>0</v>
      </c>
      <c r="F6589" s="1" t="s">
        <v>18895</v>
      </c>
      <c r="G6589" s="17">
        <v>76377</v>
      </c>
    </row>
    <row r="6590" spans="1:7">
      <c r="A6590" s="1" t="s">
        <v>18896</v>
      </c>
      <c r="B6590" s="1" t="s">
        <v>18897</v>
      </c>
      <c r="C6590">
        <f>(1-(B7/100))*832.75</f>
        <v>832.75</v>
      </c>
      <c r="D6590" s="1">
        <v>0</v>
      </c>
      <c r="E6590">
        <f>D6590*C6590</f>
        <v>0</v>
      </c>
      <c r="F6590" s="1" t="s">
        <v>18898</v>
      </c>
      <c r="G6590" s="17">
        <v>76378</v>
      </c>
    </row>
    <row r="6591" spans="1:7">
      <c r="A6591" s="1" t="s">
        <v>18899</v>
      </c>
      <c r="B6591" s="1" t="s">
        <v>18900</v>
      </c>
      <c r="C6591">
        <f>(1-(B7/100))*832.75</f>
        <v>832.75</v>
      </c>
      <c r="D6591" s="1">
        <v>0</v>
      </c>
      <c r="E6591">
        <f>D6591*C6591</f>
        <v>0</v>
      </c>
      <c r="F6591" s="1" t="s">
        <v>18901</v>
      </c>
      <c r="G6591" s="17">
        <v>76379</v>
      </c>
    </row>
    <row r="6592" spans="1:7">
      <c r="A6592" s="1" t="s">
        <v>18902</v>
      </c>
      <c r="B6592" s="1" t="s">
        <v>18903</v>
      </c>
      <c r="C6592">
        <f>(1-(B7/100))*832.75</f>
        <v>832.75</v>
      </c>
      <c r="D6592" s="1">
        <v>0</v>
      </c>
      <c r="E6592">
        <f>D6592*C6592</f>
        <v>0</v>
      </c>
      <c r="F6592" s="1" t="s">
        <v>18904</v>
      </c>
      <c r="G6592" s="17">
        <v>76384</v>
      </c>
    </row>
    <row r="6593" spans="1:7">
      <c r="A6593" s="1" t="s">
        <v>18905</v>
      </c>
      <c r="B6593" s="1" t="s">
        <v>18906</v>
      </c>
      <c r="C6593">
        <f>(1-(B7/100))*832.75</f>
        <v>832.75</v>
      </c>
      <c r="D6593" s="1">
        <v>0</v>
      </c>
      <c r="E6593">
        <f>D6593*C6593</f>
        <v>0</v>
      </c>
      <c r="F6593" s="1" t="s">
        <v>18907</v>
      </c>
      <c r="G6593" s="17">
        <v>76385</v>
      </c>
    </row>
    <row r="6594" spans="1:7">
      <c r="A6594" s="1" t="s">
        <v>18908</v>
      </c>
      <c r="B6594" s="1" t="s">
        <v>18909</v>
      </c>
      <c r="C6594">
        <f>(1-(B7/100))*804.33</f>
        <v>804.33</v>
      </c>
      <c r="D6594" s="1">
        <v>0</v>
      </c>
      <c r="E6594">
        <f>D6594*C6594</f>
        <v>0</v>
      </c>
      <c r="F6594" s="1" t="s">
        <v>18910</v>
      </c>
      <c r="G6594" s="17">
        <v>76386</v>
      </c>
    </row>
    <row r="6595" spans="1:7">
      <c r="A6595" s="1" t="s">
        <v>18911</v>
      </c>
      <c r="B6595" s="1" t="s">
        <v>18912</v>
      </c>
      <c r="C6595">
        <f>(1-(B7/100))*832.75</f>
        <v>832.75</v>
      </c>
      <c r="D6595" s="1">
        <v>0</v>
      </c>
      <c r="E6595">
        <f>D6595*C6595</f>
        <v>0</v>
      </c>
      <c r="F6595" s="1" t="s">
        <v>18913</v>
      </c>
      <c r="G6595" s="17">
        <v>76389</v>
      </c>
    </row>
    <row r="6596" spans="1:7">
      <c r="A6596" s="1" t="s">
        <v>18914</v>
      </c>
      <c r="B6596" s="1" t="s">
        <v>18915</v>
      </c>
      <c r="C6596">
        <f>(1-(B7/100))*832.75</f>
        <v>832.75</v>
      </c>
      <c r="D6596" s="1">
        <v>0</v>
      </c>
      <c r="E6596">
        <f>D6596*C6596</f>
        <v>0</v>
      </c>
      <c r="F6596" s="1" t="s">
        <v>18916</v>
      </c>
      <c r="G6596" s="17">
        <v>76414</v>
      </c>
    </row>
    <row r="6597" spans="1:7">
      <c r="A6597" s="1" t="s">
        <v>18917</v>
      </c>
      <c r="B6597" s="1" t="s">
        <v>18918</v>
      </c>
      <c r="C6597">
        <f>(1-(B7/100))*832.75</f>
        <v>832.75</v>
      </c>
      <c r="D6597" s="1">
        <v>0</v>
      </c>
      <c r="E6597">
        <f>D6597*C6597</f>
        <v>0</v>
      </c>
      <c r="F6597" s="1" t="s">
        <v>18919</v>
      </c>
      <c r="G6597" s="17">
        <v>76415</v>
      </c>
    </row>
    <row r="6598" spans="1:7">
      <c r="A6598" s="1" t="s">
        <v>18920</v>
      </c>
      <c r="B6598" s="1" t="s">
        <v>18921</v>
      </c>
      <c r="C6598">
        <f>(1-(B7/100))*936.84</f>
        <v>936.84</v>
      </c>
      <c r="D6598" s="1">
        <v>0</v>
      </c>
      <c r="E6598">
        <f>D6598*C6598</f>
        <v>0</v>
      </c>
      <c r="F6598" s="1" t="s">
        <v>18922</v>
      </c>
      <c r="G6598" s="17">
        <v>76436</v>
      </c>
    </row>
    <row r="6599" spans="1:7">
      <c r="A6599" s="1" t="s">
        <v>18923</v>
      </c>
      <c r="B6599" s="1" t="s">
        <v>18924</v>
      </c>
      <c r="C6599">
        <f>(1-(B7/100))*936.84</f>
        <v>936.84</v>
      </c>
      <c r="D6599" s="1">
        <v>0</v>
      </c>
      <c r="E6599">
        <f>D6599*C6599</f>
        <v>0</v>
      </c>
      <c r="F6599" s="1" t="s">
        <v>18925</v>
      </c>
      <c r="G6599" s="17">
        <v>76437</v>
      </c>
    </row>
    <row r="6600" spans="1:7">
      <c r="A6600" s="1" t="s">
        <v>18926</v>
      </c>
      <c r="B6600" s="1" t="s">
        <v>18927</v>
      </c>
      <c r="C6600">
        <f>(1-(B7/100))*936.84</f>
        <v>936.84</v>
      </c>
      <c r="D6600" s="1">
        <v>0</v>
      </c>
      <c r="E6600">
        <f>D6600*C6600</f>
        <v>0</v>
      </c>
      <c r="F6600" s="1" t="s">
        <v>18928</v>
      </c>
      <c r="G6600" s="17">
        <v>76438</v>
      </c>
    </row>
    <row r="6601" spans="1:7">
      <c r="A6601" s="1" t="s">
        <v>18929</v>
      </c>
      <c r="B6601" s="1" t="s">
        <v>18930</v>
      </c>
      <c r="C6601">
        <f>(1-(B7/100))*498.79</f>
        <v>498.79</v>
      </c>
      <c r="D6601" s="1">
        <v>0</v>
      </c>
      <c r="E6601">
        <f>D6601*C6601</f>
        <v>0</v>
      </c>
      <c r="F6601" s="1" t="s">
        <v>18931</v>
      </c>
      <c r="G6601" s="17">
        <v>76442</v>
      </c>
    </row>
    <row r="6602" spans="1:7">
      <c r="A6602" s="1" t="s">
        <v>18932</v>
      </c>
      <c r="B6602" s="1" t="s">
        <v>18933</v>
      </c>
      <c r="C6602">
        <f>(1-(B7/100))*498.79</f>
        <v>498.79</v>
      </c>
      <c r="D6602" s="1">
        <v>0</v>
      </c>
      <c r="E6602">
        <f>D6602*C6602</f>
        <v>0</v>
      </c>
      <c r="F6602" s="1" t="s">
        <v>18934</v>
      </c>
      <c r="G6602" s="17">
        <v>76443</v>
      </c>
    </row>
    <row r="6603" spans="1:7">
      <c r="A6603" s="1" t="s">
        <v>18935</v>
      </c>
      <c r="B6603" s="1" t="s">
        <v>18936</v>
      </c>
      <c r="C6603">
        <f>(1-(B7/100))*498.79</f>
        <v>498.79</v>
      </c>
      <c r="D6603" s="1">
        <v>0</v>
      </c>
      <c r="E6603">
        <f>D6603*C6603</f>
        <v>0</v>
      </c>
      <c r="F6603" s="1" t="s">
        <v>18937</v>
      </c>
      <c r="G6603" s="17">
        <v>76444</v>
      </c>
    </row>
    <row r="6604" spans="1:7">
      <c r="A6604" s="1" t="s">
        <v>18938</v>
      </c>
      <c r="B6604" s="1" t="s">
        <v>18939</v>
      </c>
      <c r="C6604">
        <f>(1-(B7/100))*498.79</f>
        <v>498.79</v>
      </c>
      <c r="D6604" s="1">
        <v>0</v>
      </c>
      <c r="E6604">
        <f>D6604*C6604</f>
        <v>0</v>
      </c>
      <c r="F6604" s="1" t="s">
        <v>18940</v>
      </c>
      <c r="G6604" s="17">
        <v>76447</v>
      </c>
    </row>
    <row r="6605" spans="1:7">
      <c r="A6605" s="1" t="s">
        <v>18941</v>
      </c>
      <c r="B6605" s="1" t="s">
        <v>18942</v>
      </c>
      <c r="C6605">
        <f>(1-(B7/100))*498.79</f>
        <v>498.79</v>
      </c>
      <c r="D6605" s="1">
        <v>0</v>
      </c>
      <c r="E6605">
        <f>D6605*C6605</f>
        <v>0</v>
      </c>
      <c r="F6605" s="1" t="s">
        <v>18943</v>
      </c>
      <c r="G6605" s="17">
        <v>76448</v>
      </c>
    </row>
    <row r="6606" spans="1:7">
      <c r="A6606" s="1" t="s">
        <v>18944</v>
      </c>
      <c r="B6606" s="1" t="s">
        <v>18945</v>
      </c>
      <c r="C6606">
        <f>(1-(B7/100))*498.79</f>
        <v>498.79</v>
      </c>
      <c r="D6606" s="1">
        <v>0</v>
      </c>
      <c r="E6606">
        <f>D6606*C6606</f>
        <v>0</v>
      </c>
      <c r="F6606" s="1" t="s">
        <v>18946</v>
      </c>
      <c r="G6606" s="17">
        <v>76449</v>
      </c>
    </row>
    <row r="6607" spans="1:7">
      <c r="A6607" s="1" t="s">
        <v>18947</v>
      </c>
      <c r="B6607" s="1" t="s">
        <v>18948</v>
      </c>
      <c r="C6607">
        <f>(1-(B7/100))*409.42</f>
        <v>409.42</v>
      </c>
      <c r="D6607" s="1">
        <v>0</v>
      </c>
      <c r="E6607">
        <f>D6607*C6607</f>
        <v>0</v>
      </c>
      <c r="F6607" s="1" t="s">
        <v>18949</v>
      </c>
      <c r="G6607" s="17">
        <v>76464</v>
      </c>
    </row>
    <row r="6608" spans="1:7">
      <c r="A6608" s="1" t="s">
        <v>18950</v>
      </c>
      <c r="B6608" s="1" t="s">
        <v>18951</v>
      </c>
      <c r="C6608">
        <f>(1-(B7/100))*488.68</f>
        <v>488.68</v>
      </c>
      <c r="D6608" s="1">
        <v>0</v>
      </c>
      <c r="E6608">
        <f>D6608*C6608</f>
        <v>0</v>
      </c>
      <c r="F6608" s="1" t="s">
        <v>18952</v>
      </c>
      <c r="G6608" s="17">
        <v>76469</v>
      </c>
    </row>
    <row r="6609" spans="1:7">
      <c r="A6609" s="1" t="s">
        <v>18953</v>
      </c>
      <c r="B6609" s="1" t="s">
        <v>18954</v>
      </c>
      <c r="C6609">
        <f>(1-(B7/100))*473.66</f>
        <v>473.66</v>
      </c>
      <c r="D6609" s="1">
        <v>0</v>
      </c>
      <c r="E6609">
        <f>D6609*C6609</f>
        <v>0</v>
      </c>
      <c r="F6609" s="1" t="s">
        <v>18955</v>
      </c>
      <c r="G6609" s="17">
        <v>76470</v>
      </c>
    </row>
    <row r="6610" spans="1:7">
      <c r="A6610" s="1" t="s">
        <v>18956</v>
      </c>
      <c r="B6610" s="1" t="s">
        <v>18957</v>
      </c>
      <c r="C6610">
        <f>(1-(B7/100))*482.87</f>
        <v>482.87</v>
      </c>
      <c r="D6610" s="1">
        <v>0</v>
      </c>
      <c r="E6610">
        <f>D6610*C6610</f>
        <v>0</v>
      </c>
      <c r="F6610" s="1" t="s">
        <v>18958</v>
      </c>
      <c r="G6610" s="17">
        <v>76471</v>
      </c>
    </row>
    <row r="6611" spans="1:7">
      <c r="A6611" s="1" t="s">
        <v>18959</v>
      </c>
      <c r="B6611" s="1" t="s">
        <v>18960</v>
      </c>
      <c r="C6611">
        <f>(1-(B7/100))*488.68</f>
        <v>488.68</v>
      </c>
      <c r="D6611" s="1">
        <v>0</v>
      </c>
      <c r="E6611">
        <f>D6611*C6611</f>
        <v>0</v>
      </c>
      <c r="F6611" s="1" t="s">
        <v>18961</v>
      </c>
      <c r="G6611" s="17">
        <v>76472</v>
      </c>
    </row>
    <row r="6612" spans="1:7">
      <c r="A6612" s="1" t="s">
        <v>18962</v>
      </c>
      <c r="B6612" s="1" t="s">
        <v>18963</v>
      </c>
      <c r="C6612">
        <f>(1-(B7/100))*563.31</f>
        <v>563.31</v>
      </c>
      <c r="D6612" s="1">
        <v>0</v>
      </c>
      <c r="E6612">
        <f>D6612*C6612</f>
        <v>0</v>
      </c>
      <c r="F6612" s="1" t="s">
        <v>18964</v>
      </c>
      <c r="G6612" s="17">
        <v>76480</v>
      </c>
    </row>
    <row r="6613" spans="1:7">
      <c r="A6613" s="1" t="s">
        <v>18965</v>
      </c>
      <c r="B6613" s="1" t="s">
        <v>18966</v>
      </c>
      <c r="C6613">
        <f>(1-(B7/100))*936.84</f>
        <v>936.84</v>
      </c>
      <c r="D6613" s="1">
        <v>0</v>
      </c>
      <c r="E6613">
        <f>D6613*C6613</f>
        <v>0</v>
      </c>
      <c r="F6613" s="1" t="s">
        <v>18967</v>
      </c>
      <c r="G6613" s="17">
        <v>76482</v>
      </c>
    </row>
    <row r="6614" spans="1:7">
      <c r="A6614" s="1" t="s">
        <v>18968</v>
      </c>
      <c r="B6614" s="1" t="s">
        <v>18969</v>
      </c>
      <c r="C6614">
        <f>(1-(B7/100))*2111.39</f>
        <v>2111.39</v>
      </c>
      <c r="D6614" s="1">
        <v>0</v>
      </c>
      <c r="E6614">
        <f>D6614*C6614</f>
        <v>0</v>
      </c>
      <c r="F6614" s="1" t="s">
        <v>18970</v>
      </c>
      <c r="G6614" s="17">
        <v>76564</v>
      </c>
    </row>
    <row r="6615" spans="1:7">
      <c r="A6615" s="1" t="s">
        <v>18971</v>
      </c>
      <c r="B6615" s="1" t="s">
        <v>18972</v>
      </c>
      <c r="C6615">
        <f>(1-(B7/100))*990</f>
        <v>990</v>
      </c>
      <c r="D6615" s="1">
        <v>0</v>
      </c>
      <c r="E6615">
        <f>D6615*C6615</f>
        <v>0</v>
      </c>
      <c r="F6615" s="1" t="s">
        <v>18973</v>
      </c>
      <c r="G6615" s="17">
        <v>85685</v>
      </c>
    </row>
    <row r="6616" spans="1:7">
      <c r="A6616" s="1" t="s">
        <v>18974</v>
      </c>
      <c r="B6616" s="1" t="s">
        <v>18975</v>
      </c>
      <c r="C6616">
        <f>(1-(B7/100))*990</f>
        <v>990</v>
      </c>
      <c r="D6616" s="1">
        <v>0</v>
      </c>
      <c r="E6616">
        <f>D6616*C6616</f>
        <v>0</v>
      </c>
      <c r="F6616" s="1" t="s">
        <v>18976</v>
      </c>
      <c r="G6616" s="17">
        <v>85686</v>
      </c>
    </row>
    <row r="6617" spans="1:7">
      <c r="A6617" s="1" t="s">
        <v>18977</v>
      </c>
      <c r="B6617" s="1" t="s">
        <v>18978</v>
      </c>
      <c r="C6617">
        <f>(1-(B7/100))*990</f>
        <v>990</v>
      </c>
      <c r="D6617" s="1">
        <v>0</v>
      </c>
      <c r="E6617">
        <f>D6617*C6617</f>
        <v>0</v>
      </c>
      <c r="F6617" s="1" t="s">
        <v>18979</v>
      </c>
      <c r="G6617" s="17">
        <v>85687</v>
      </c>
    </row>
    <row r="6618" spans="1:7">
      <c r="A6618" s="1" t="s">
        <v>18980</v>
      </c>
      <c r="B6618" s="1" t="s">
        <v>18981</v>
      </c>
      <c r="C6618">
        <f>(1-(B7/100))*990</f>
        <v>990</v>
      </c>
      <c r="D6618" s="1">
        <v>0</v>
      </c>
      <c r="E6618">
        <f>D6618*C6618</f>
        <v>0</v>
      </c>
      <c r="F6618" s="1" t="s">
        <v>18982</v>
      </c>
      <c r="G6618" s="17">
        <v>85688</v>
      </c>
    </row>
    <row r="6619" spans="1:7">
      <c r="A6619" s="1" t="s">
        <v>18983</v>
      </c>
      <c r="B6619" s="1" t="s">
        <v>18984</v>
      </c>
      <c r="C6619">
        <f>(1-(B7/100))*473.66</f>
        <v>473.66</v>
      </c>
      <c r="D6619" s="1">
        <v>0</v>
      </c>
      <c r="E6619">
        <f>D6619*C6619</f>
        <v>0</v>
      </c>
      <c r="F6619" s="1" t="s">
        <v>18985</v>
      </c>
      <c r="G6619" s="17">
        <v>86336</v>
      </c>
    </row>
    <row r="6620" spans="1:7">
      <c r="A6620" s="16"/>
      <c r="B6620" s="16" t="s">
        <v>18986</v>
      </c>
      <c r="C6620" s="16"/>
      <c r="D6620" s="16"/>
      <c r="E6620" s="16"/>
      <c r="F6620" s="16"/>
    </row>
    <row r="6621" spans="1:7">
      <c r="A6621" s="1" t="s">
        <v>18987</v>
      </c>
      <c r="B6621" s="1" t="s">
        <v>18988</v>
      </c>
      <c r="C6621">
        <f>(1-(B7/100))*228.23</f>
        <v>228.23</v>
      </c>
      <c r="D6621" s="1">
        <v>0</v>
      </c>
      <c r="E6621">
        <f>D6621*C6621</f>
        <v>0</v>
      </c>
      <c r="F6621" s="1" t="s">
        <v>18989</v>
      </c>
      <c r="G6621" s="17">
        <v>69884</v>
      </c>
    </row>
    <row r="6622" spans="1:7">
      <c r="A6622" s="1" t="s">
        <v>18990</v>
      </c>
      <c r="B6622" s="1" t="s">
        <v>18991</v>
      </c>
      <c r="C6622">
        <f>(1-(B7/100))*213.97</f>
        <v>213.97</v>
      </c>
      <c r="D6622" s="1">
        <v>0</v>
      </c>
      <c r="E6622">
        <f>D6622*C6622</f>
        <v>0</v>
      </c>
      <c r="F6622" s="1" t="s">
        <v>18992</v>
      </c>
      <c r="G6622" s="17">
        <v>71681</v>
      </c>
    </row>
    <row r="6623" spans="1:7">
      <c r="A6623" s="1" t="s">
        <v>18993</v>
      </c>
      <c r="B6623" s="1" t="s">
        <v>18994</v>
      </c>
      <c r="C6623">
        <f>(1-(B7/100))*228.23</f>
        <v>228.23</v>
      </c>
      <c r="D6623" s="1">
        <v>0</v>
      </c>
      <c r="E6623">
        <f>D6623*C6623</f>
        <v>0</v>
      </c>
      <c r="F6623" s="1" t="s">
        <v>18995</v>
      </c>
      <c r="G6623" s="17">
        <v>76211</v>
      </c>
    </row>
    <row r="6624" spans="1:7">
      <c r="A6624" s="1" t="s">
        <v>18996</v>
      </c>
      <c r="B6624" s="1" t="s">
        <v>18997</v>
      </c>
      <c r="C6624">
        <f>(1-(B7/100))*228.23</f>
        <v>228.23</v>
      </c>
      <c r="D6624" s="1">
        <v>0</v>
      </c>
      <c r="E6624">
        <f>D6624*C6624</f>
        <v>0</v>
      </c>
      <c r="F6624" s="1" t="s">
        <v>18998</v>
      </c>
      <c r="G6624" s="17">
        <v>76212</v>
      </c>
    </row>
    <row r="6625" spans="1:7">
      <c r="A6625" s="1" t="s">
        <v>18999</v>
      </c>
      <c r="B6625" s="1" t="s">
        <v>19000</v>
      </c>
      <c r="C6625">
        <f>(1-(B7/100))*430.96</f>
        <v>430.96</v>
      </c>
      <c r="D6625" s="1">
        <v>0</v>
      </c>
      <c r="E6625">
        <f>D6625*C6625</f>
        <v>0</v>
      </c>
      <c r="F6625" s="1" t="s">
        <v>19001</v>
      </c>
      <c r="G6625" s="17">
        <v>76589</v>
      </c>
    </row>
    <row r="6626" spans="1:7">
      <c r="A6626" s="1" t="s">
        <v>19002</v>
      </c>
      <c r="B6626" s="1" t="s">
        <v>19003</v>
      </c>
      <c r="C6626">
        <f>(1-(B7/100))*227.95</f>
        <v>227.95</v>
      </c>
      <c r="D6626" s="1">
        <v>0</v>
      </c>
      <c r="E6626">
        <f>D6626*C6626</f>
        <v>0</v>
      </c>
      <c r="F6626" s="1" t="s">
        <v>19004</v>
      </c>
      <c r="G6626" s="17">
        <v>76590</v>
      </c>
    </row>
    <row r="6627" spans="1:7">
      <c r="A6627" s="1" t="s">
        <v>19005</v>
      </c>
      <c r="B6627" s="1" t="s">
        <v>19006</v>
      </c>
      <c r="C6627">
        <f>(1-(B7/100))*517.92</f>
        <v>517.92</v>
      </c>
      <c r="D6627" s="1">
        <v>0</v>
      </c>
      <c r="E6627">
        <f>D6627*C6627</f>
        <v>0</v>
      </c>
      <c r="F6627" s="1" t="s">
        <v>19007</v>
      </c>
      <c r="G6627" s="17">
        <v>76591</v>
      </c>
    </row>
    <row r="6628" spans="1:7">
      <c r="A6628" s="1" t="s">
        <v>19008</v>
      </c>
      <c r="B6628" s="1" t="s">
        <v>19009</v>
      </c>
      <c r="C6628">
        <f>(1-(B7/100))*476.84</f>
        <v>476.84</v>
      </c>
      <c r="D6628" s="1">
        <v>0</v>
      </c>
      <c r="E6628">
        <f>D6628*C6628</f>
        <v>0</v>
      </c>
      <c r="F6628" s="1" t="s">
        <v>19010</v>
      </c>
      <c r="G6628" s="17">
        <v>76592</v>
      </c>
    </row>
    <row r="6629" spans="1:7">
      <c r="A6629" s="1" t="s">
        <v>19011</v>
      </c>
      <c r="B6629" s="1" t="s">
        <v>19012</v>
      </c>
      <c r="C6629">
        <f>(1-(B7/100))*423.95</f>
        <v>423.95</v>
      </c>
      <c r="D6629" s="1">
        <v>0</v>
      </c>
      <c r="E6629">
        <f>D6629*C6629</f>
        <v>0</v>
      </c>
      <c r="F6629" s="1" t="s">
        <v>19013</v>
      </c>
      <c r="G6629" s="17">
        <v>76594</v>
      </c>
    </row>
    <row r="6630" spans="1:7">
      <c r="A6630" s="1" t="s">
        <v>19014</v>
      </c>
      <c r="B6630" s="1" t="s">
        <v>19015</v>
      </c>
      <c r="C6630">
        <f>(1-(B7/100))*469.02</f>
        <v>469.02</v>
      </c>
      <c r="D6630" s="1">
        <v>0</v>
      </c>
      <c r="E6630">
        <f>D6630*C6630</f>
        <v>0</v>
      </c>
      <c r="F6630" s="1" t="s">
        <v>19016</v>
      </c>
      <c r="G6630" s="17">
        <v>76598</v>
      </c>
    </row>
    <row r="6631" spans="1:7">
      <c r="A6631" s="1" t="s">
        <v>19017</v>
      </c>
      <c r="B6631" s="1" t="s">
        <v>19018</v>
      </c>
      <c r="C6631">
        <f>(1-(B7/100))*469.02</f>
        <v>469.02</v>
      </c>
      <c r="D6631" s="1">
        <v>0</v>
      </c>
      <c r="E6631">
        <f>D6631*C6631</f>
        <v>0</v>
      </c>
      <c r="F6631" s="1" t="s">
        <v>19019</v>
      </c>
      <c r="G6631" s="17">
        <v>76599</v>
      </c>
    </row>
    <row r="6632" spans="1:7">
      <c r="A6632" s="1" t="s">
        <v>19020</v>
      </c>
      <c r="B6632" s="1" t="s">
        <v>19021</v>
      </c>
      <c r="C6632">
        <f>(1-(B7/100))*366.4</f>
        <v>366.4</v>
      </c>
      <c r="D6632" s="1">
        <v>0</v>
      </c>
      <c r="E6632">
        <f>D6632*C6632</f>
        <v>0</v>
      </c>
      <c r="F6632" s="1" t="s">
        <v>19022</v>
      </c>
      <c r="G6632" s="17">
        <v>76600</v>
      </c>
    </row>
    <row r="6633" spans="1:7">
      <c r="A6633" s="1" t="s">
        <v>19023</v>
      </c>
      <c r="B6633" s="1" t="s">
        <v>19024</v>
      </c>
      <c r="C6633">
        <f>(1-(B7/100))*378.89</f>
        <v>378.89</v>
      </c>
      <c r="D6633" s="1">
        <v>0</v>
      </c>
      <c r="E6633">
        <f>D6633*C6633</f>
        <v>0</v>
      </c>
      <c r="F6633" s="1" t="s">
        <v>19025</v>
      </c>
      <c r="G6633" s="17">
        <v>76601</v>
      </c>
    </row>
    <row r="6634" spans="1:7">
      <c r="A6634" s="1" t="s">
        <v>19026</v>
      </c>
      <c r="B6634" s="1" t="s">
        <v>19027</v>
      </c>
      <c r="C6634">
        <f>(1-(B7/100))*437.94</f>
        <v>437.94</v>
      </c>
      <c r="D6634" s="1">
        <v>0</v>
      </c>
      <c r="E6634">
        <f>D6634*C6634</f>
        <v>0</v>
      </c>
      <c r="F6634" s="1" t="s">
        <v>19028</v>
      </c>
      <c r="G6634" s="17">
        <v>76607</v>
      </c>
    </row>
    <row r="6635" spans="1:7">
      <c r="A6635" s="16"/>
      <c r="B6635" s="16" t="s">
        <v>19029</v>
      </c>
      <c r="C6635" s="16"/>
      <c r="D6635" s="16"/>
      <c r="E6635" s="16"/>
      <c r="F6635" s="16"/>
    </row>
    <row r="6636" spans="1:7">
      <c r="A6636" s="1" t="s">
        <v>19030</v>
      </c>
      <c r="B6636" s="1" t="s">
        <v>19031</v>
      </c>
      <c r="C6636">
        <f>(1-(B7/100))*1984.01</f>
        <v>1984.01</v>
      </c>
      <c r="D6636" s="1">
        <v>0</v>
      </c>
      <c r="E6636">
        <f>D6636*C6636</f>
        <v>0</v>
      </c>
      <c r="F6636" s="1" t="s">
        <v>19032</v>
      </c>
      <c r="G6636" s="17">
        <v>63012</v>
      </c>
    </row>
    <row r="6637" spans="1:7">
      <c r="A6637" s="1" t="s">
        <v>19033</v>
      </c>
      <c r="B6637" s="1" t="s">
        <v>19034</v>
      </c>
      <c r="C6637">
        <f>(1-(B7/100))*1984.01</f>
        <v>1984.01</v>
      </c>
      <c r="D6637" s="1">
        <v>0</v>
      </c>
      <c r="E6637">
        <f>D6637*C6637</f>
        <v>0</v>
      </c>
      <c r="F6637" s="1" t="s">
        <v>19035</v>
      </c>
      <c r="G6637" s="17">
        <v>63013</v>
      </c>
    </row>
    <row r="6638" spans="1:7">
      <c r="A6638" s="1" t="s">
        <v>19036</v>
      </c>
      <c r="B6638" s="1" t="s">
        <v>19037</v>
      </c>
      <c r="C6638">
        <f>(1-(B7/100))*1551.91</f>
        <v>1551.91</v>
      </c>
      <c r="D6638" s="1">
        <v>0</v>
      </c>
      <c r="E6638">
        <f>D6638*C6638</f>
        <v>0</v>
      </c>
      <c r="F6638" s="1" t="s">
        <v>19038</v>
      </c>
      <c r="G6638" s="17">
        <v>63014</v>
      </c>
    </row>
    <row r="6639" spans="1:7">
      <c r="A6639" s="1" t="s">
        <v>19039</v>
      </c>
      <c r="B6639" s="1" t="s">
        <v>19040</v>
      </c>
      <c r="C6639">
        <f>(1-(B7/100))*1551.91</f>
        <v>1551.91</v>
      </c>
      <c r="D6639" s="1">
        <v>0</v>
      </c>
      <c r="E6639">
        <f>D6639*C6639</f>
        <v>0</v>
      </c>
      <c r="F6639" s="1" t="s">
        <v>19041</v>
      </c>
      <c r="G6639" s="17">
        <v>63015</v>
      </c>
    </row>
    <row r="6640" spans="1:7">
      <c r="A6640" s="1" t="s">
        <v>19042</v>
      </c>
      <c r="B6640" s="1" t="s">
        <v>19043</v>
      </c>
      <c r="C6640">
        <f>(1-(B7/100))*2009.43</f>
        <v>2009.43</v>
      </c>
      <c r="D6640" s="1">
        <v>0</v>
      </c>
      <c r="E6640">
        <f>D6640*C6640</f>
        <v>0</v>
      </c>
      <c r="F6640" s="1" t="s">
        <v>19044</v>
      </c>
      <c r="G6640" s="17">
        <v>63016</v>
      </c>
    </row>
    <row r="6641" spans="1:7">
      <c r="A6641" s="1" t="s">
        <v>19045</v>
      </c>
      <c r="B6641" s="1" t="s">
        <v>19046</v>
      </c>
      <c r="C6641">
        <f>(1-(B7/100))*2009.43</f>
        <v>2009.43</v>
      </c>
      <c r="D6641" s="1">
        <v>0</v>
      </c>
      <c r="E6641">
        <f>D6641*C6641</f>
        <v>0</v>
      </c>
      <c r="F6641" s="1" t="s">
        <v>19047</v>
      </c>
      <c r="G6641" s="17">
        <v>63017</v>
      </c>
    </row>
    <row r="6642" spans="1:7">
      <c r="A6642" s="1" t="s">
        <v>19048</v>
      </c>
      <c r="B6642" s="1" t="s">
        <v>19049</v>
      </c>
      <c r="C6642">
        <f>(1-(B7/100))*1577.35</f>
        <v>1577.35</v>
      </c>
      <c r="D6642" s="1">
        <v>0</v>
      </c>
      <c r="E6642">
        <f>D6642*C6642</f>
        <v>0</v>
      </c>
      <c r="F6642" s="1" t="s">
        <v>19050</v>
      </c>
      <c r="G6642" s="17">
        <v>63018</v>
      </c>
    </row>
    <row r="6643" spans="1:7">
      <c r="A6643" s="1" t="s">
        <v>19051</v>
      </c>
      <c r="B6643" s="1" t="s">
        <v>19052</v>
      </c>
      <c r="C6643">
        <f>(1-(B7/100))*1577.35</f>
        <v>1577.35</v>
      </c>
      <c r="D6643" s="1">
        <v>0</v>
      </c>
      <c r="E6643">
        <f>D6643*C6643</f>
        <v>0</v>
      </c>
      <c r="F6643" s="1" t="s">
        <v>19053</v>
      </c>
      <c r="G6643" s="17">
        <v>63019</v>
      </c>
    </row>
    <row r="6644" spans="1:7">
      <c r="A6644" s="1" t="s">
        <v>19054</v>
      </c>
      <c r="B6644" s="1" t="s">
        <v>19055</v>
      </c>
      <c r="C6644">
        <f>(1-(B7/100))*2251.99</f>
        <v>2251.99</v>
      </c>
      <c r="D6644" s="1">
        <v>0</v>
      </c>
      <c r="E6644">
        <f>D6644*C6644</f>
        <v>0</v>
      </c>
      <c r="F6644" s="1" t="s">
        <v>19056</v>
      </c>
      <c r="G6644" s="17">
        <v>63020</v>
      </c>
    </row>
    <row r="6645" spans="1:7">
      <c r="A6645" s="1" t="s">
        <v>19057</v>
      </c>
      <c r="B6645" s="1" t="s">
        <v>19058</v>
      </c>
      <c r="C6645">
        <f>(1-(B7/100))*2233.71</f>
        <v>2233.71</v>
      </c>
      <c r="D6645" s="1">
        <v>0</v>
      </c>
      <c r="E6645">
        <f>D6645*C6645</f>
        <v>0</v>
      </c>
      <c r="F6645" s="1" t="s">
        <v>19059</v>
      </c>
      <c r="G6645" s="17">
        <v>63022</v>
      </c>
    </row>
    <row r="6646" spans="1:7">
      <c r="A6646" s="1" t="s">
        <v>19060</v>
      </c>
      <c r="B6646" s="1" t="s">
        <v>19061</v>
      </c>
      <c r="C6646">
        <f>(1-(B7/100))*2233.71</f>
        <v>2233.71</v>
      </c>
      <c r="D6646" s="1">
        <v>0</v>
      </c>
      <c r="E6646">
        <f>D6646*C6646</f>
        <v>0</v>
      </c>
      <c r="F6646" s="1" t="s">
        <v>19062</v>
      </c>
      <c r="G6646" s="17">
        <v>63023</v>
      </c>
    </row>
    <row r="6647" spans="1:7">
      <c r="A6647" s="1" t="s">
        <v>19063</v>
      </c>
      <c r="B6647" s="1" t="s">
        <v>19064</v>
      </c>
      <c r="C6647">
        <f>(1-(B7/100))*2760.34</f>
        <v>2760.34</v>
      </c>
      <c r="D6647" s="1">
        <v>0</v>
      </c>
      <c r="E6647">
        <f>D6647*C6647</f>
        <v>0</v>
      </c>
      <c r="F6647" s="1" t="s">
        <v>19065</v>
      </c>
      <c r="G6647" s="17">
        <v>63024</v>
      </c>
    </row>
    <row r="6648" spans="1:7">
      <c r="A6648" s="1" t="s">
        <v>19066</v>
      </c>
      <c r="B6648" s="1" t="s">
        <v>19067</v>
      </c>
      <c r="C6648">
        <f>(1-(B7/100))*2760.34</f>
        <v>2760.34</v>
      </c>
      <c r="D6648" s="1">
        <v>0</v>
      </c>
      <c r="E6648">
        <f>D6648*C6648</f>
        <v>0</v>
      </c>
      <c r="F6648" s="1" t="s">
        <v>19068</v>
      </c>
      <c r="G6648" s="17">
        <v>63025</v>
      </c>
    </row>
    <row r="6649" spans="1:7">
      <c r="A6649" s="1" t="s">
        <v>19069</v>
      </c>
      <c r="B6649" s="1" t="s">
        <v>19070</v>
      </c>
      <c r="C6649">
        <f>(1-(B7/100))*2582.44</f>
        <v>2582.44</v>
      </c>
      <c r="D6649" s="1">
        <v>0</v>
      </c>
      <c r="E6649">
        <f>D6649*C6649</f>
        <v>0</v>
      </c>
      <c r="F6649" s="1" t="s">
        <v>19071</v>
      </c>
      <c r="G6649" s="17">
        <v>63026</v>
      </c>
    </row>
    <row r="6650" spans="1:7">
      <c r="A6650" s="1" t="s">
        <v>19072</v>
      </c>
      <c r="B6650" s="1" t="s">
        <v>19073</v>
      </c>
      <c r="C6650">
        <f>(1-(B7/100))*2582.44</f>
        <v>2582.44</v>
      </c>
      <c r="D6650" s="1">
        <v>0</v>
      </c>
      <c r="E6650">
        <f>D6650*C6650</f>
        <v>0</v>
      </c>
      <c r="F6650" s="1" t="s">
        <v>19074</v>
      </c>
      <c r="G6650" s="17">
        <v>63027</v>
      </c>
    </row>
    <row r="6651" spans="1:7">
      <c r="A6651" s="1" t="s">
        <v>19075</v>
      </c>
      <c r="B6651" s="1" t="s">
        <v>19076</v>
      </c>
      <c r="C6651">
        <f>(1-(B7/100))*3601.33</f>
        <v>3601.33</v>
      </c>
      <c r="D6651" s="1">
        <v>0</v>
      </c>
      <c r="E6651">
        <f>D6651*C6651</f>
        <v>0</v>
      </c>
      <c r="F6651" s="1" t="s">
        <v>19077</v>
      </c>
      <c r="G6651" s="17">
        <v>63028</v>
      </c>
    </row>
    <row r="6652" spans="1:7">
      <c r="A6652" s="1" t="s">
        <v>19078</v>
      </c>
      <c r="B6652" s="1" t="s">
        <v>19079</v>
      </c>
      <c r="C6652">
        <f>(1-(B7/100))*3601.33</f>
        <v>3601.33</v>
      </c>
      <c r="D6652" s="1">
        <v>0</v>
      </c>
      <c r="E6652">
        <f>D6652*C6652</f>
        <v>0</v>
      </c>
      <c r="F6652" s="1" t="s">
        <v>19080</v>
      </c>
      <c r="G6652" s="17">
        <v>63029</v>
      </c>
    </row>
    <row r="6653" spans="1:7">
      <c r="A6653" s="1" t="s">
        <v>19081</v>
      </c>
      <c r="B6653" s="1" t="s">
        <v>19082</v>
      </c>
      <c r="C6653">
        <f>(1-(B7/100))*2506.19</f>
        <v>2506.19</v>
      </c>
      <c r="D6653" s="1">
        <v>0</v>
      </c>
      <c r="E6653">
        <f>D6653*C6653</f>
        <v>0</v>
      </c>
      <c r="F6653" s="1" t="s">
        <v>19083</v>
      </c>
      <c r="G6653" s="17">
        <v>63030</v>
      </c>
    </row>
    <row r="6654" spans="1:7">
      <c r="A6654" s="1" t="s">
        <v>19084</v>
      </c>
      <c r="B6654" s="1" t="s">
        <v>19085</v>
      </c>
      <c r="C6654">
        <f>(1-(B7/100))*2193.32</f>
        <v>2193.32</v>
      </c>
      <c r="D6654" s="1">
        <v>0</v>
      </c>
      <c r="E6654">
        <f>D6654*C6654</f>
        <v>0</v>
      </c>
      <c r="F6654" s="1" t="s">
        <v>19086</v>
      </c>
      <c r="G6654" s="17">
        <v>63031</v>
      </c>
    </row>
    <row r="6655" spans="1:7">
      <c r="A6655" s="1" t="s">
        <v>19087</v>
      </c>
      <c r="B6655" s="1" t="s">
        <v>19088</v>
      </c>
      <c r="C6655">
        <f>(1-(B7/100))*2193.32</f>
        <v>2193.32</v>
      </c>
      <c r="D6655" s="1">
        <v>0</v>
      </c>
      <c r="E6655">
        <f>D6655*C6655</f>
        <v>0</v>
      </c>
      <c r="F6655" s="1" t="s">
        <v>19089</v>
      </c>
      <c r="G6655" s="17">
        <v>63032</v>
      </c>
    </row>
    <row r="6656" spans="1:7">
      <c r="A6656" s="1" t="s">
        <v>19090</v>
      </c>
      <c r="B6656" s="1" t="s">
        <v>19091</v>
      </c>
      <c r="C6656">
        <f>(1-(B7/100))*1939.14</f>
        <v>1939.14</v>
      </c>
      <c r="D6656" s="1">
        <v>0</v>
      </c>
      <c r="E6656">
        <f>D6656*C6656</f>
        <v>0</v>
      </c>
      <c r="F6656" s="1" t="s">
        <v>19092</v>
      </c>
      <c r="G6656" s="17">
        <v>63033</v>
      </c>
    </row>
    <row r="6657" spans="1:7">
      <c r="A6657" s="1" t="s">
        <v>19093</v>
      </c>
      <c r="B6657" s="1" t="s">
        <v>19094</v>
      </c>
      <c r="C6657">
        <f>(1-(B7/100))*1939.14</f>
        <v>1939.14</v>
      </c>
      <c r="D6657" s="1">
        <v>0</v>
      </c>
      <c r="E6657">
        <f>D6657*C6657</f>
        <v>0</v>
      </c>
      <c r="F6657" s="1" t="s">
        <v>19095</v>
      </c>
      <c r="G6657" s="17">
        <v>63034</v>
      </c>
    </row>
    <row r="6658" spans="1:7">
      <c r="A6658" s="1" t="s">
        <v>19096</v>
      </c>
      <c r="B6658" s="1" t="s">
        <v>19097</v>
      </c>
      <c r="C6658">
        <f>(1-(B7/100))*2047.92</f>
        <v>2047.92</v>
      </c>
      <c r="D6658" s="1">
        <v>0</v>
      </c>
      <c r="E6658">
        <f>D6658*C6658</f>
        <v>0</v>
      </c>
      <c r="F6658" s="1" t="s">
        <v>19098</v>
      </c>
      <c r="G6658" s="17">
        <v>63035</v>
      </c>
    </row>
    <row r="6659" spans="1:7">
      <c r="A6659" s="1" t="s">
        <v>19099</v>
      </c>
      <c r="B6659" s="1" t="s">
        <v>19100</v>
      </c>
      <c r="C6659">
        <f>(1-(B7/100))*2047.92</f>
        <v>2047.92</v>
      </c>
      <c r="D6659" s="1">
        <v>0</v>
      </c>
      <c r="E6659">
        <f>D6659*C6659</f>
        <v>0</v>
      </c>
      <c r="F6659" s="1" t="s">
        <v>19101</v>
      </c>
      <c r="G6659" s="17">
        <v>63036</v>
      </c>
    </row>
    <row r="6660" spans="1:7">
      <c r="A6660" s="1" t="s">
        <v>19102</v>
      </c>
      <c r="B6660" s="1" t="s">
        <v>19103</v>
      </c>
      <c r="C6660">
        <f>(1-(B7/100))*1796.95</f>
        <v>1796.95</v>
      </c>
      <c r="D6660" s="1">
        <v>0</v>
      </c>
      <c r="E6660">
        <f>D6660*C6660</f>
        <v>0</v>
      </c>
      <c r="F6660" s="1" t="s">
        <v>19104</v>
      </c>
      <c r="G6660" s="17">
        <v>63037</v>
      </c>
    </row>
    <row r="6661" spans="1:7">
      <c r="A6661" s="1" t="s">
        <v>19105</v>
      </c>
      <c r="B6661" s="1" t="s">
        <v>19106</v>
      </c>
      <c r="C6661">
        <f>(1-(B7/100))*1796.95</f>
        <v>1796.95</v>
      </c>
      <c r="D6661" s="1">
        <v>0</v>
      </c>
      <c r="E6661">
        <f>D6661*C6661</f>
        <v>0</v>
      </c>
      <c r="F6661" s="1" t="s">
        <v>19107</v>
      </c>
      <c r="G6661" s="17">
        <v>63038</v>
      </c>
    </row>
    <row r="6662" spans="1:7">
      <c r="A6662" s="1" t="s">
        <v>19108</v>
      </c>
      <c r="B6662" s="1" t="s">
        <v>19109</v>
      </c>
      <c r="C6662">
        <f>(1-(B7/100))*1955.96</f>
        <v>1955.96</v>
      </c>
      <c r="D6662" s="1">
        <v>0</v>
      </c>
      <c r="E6662">
        <f>D6662*C6662</f>
        <v>0</v>
      </c>
      <c r="F6662" s="1" t="s">
        <v>19110</v>
      </c>
      <c r="G6662" s="17">
        <v>63039</v>
      </c>
    </row>
    <row r="6663" spans="1:7">
      <c r="A6663" s="1" t="s">
        <v>19111</v>
      </c>
      <c r="B6663" s="1" t="s">
        <v>19112</v>
      </c>
      <c r="C6663">
        <f>(1-(B7/100))*1955.96</f>
        <v>1955.96</v>
      </c>
      <c r="D6663" s="1">
        <v>0</v>
      </c>
      <c r="E6663">
        <f>D6663*C6663</f>
        <v>0</v>
      </c>
      <c r="F6663" s="1" t="s">
        <v>19113</v>
      </c>
      <c r="G6663" s="17">
        <v>63040</v>
      </c>
    </row>
    <row r="6664" spans="1:7">
      <c r="A6664" s="1" t="s">
        <v>19114</v>
      </c>
      <c r="B6664" s="1" t="s">
        <v>19115</v>
      </c>
      <c r="C6664">
        <f>(1-(B7/100))*2537.57</f>
        <v>2537.57</v>
      </c>
      <c r="D6664" s="1">
        <v>0</v>
      </c>
      <c r="E6664">
        <f>D6664*C6664</f>
        <v>0</v>
      </c>
      <c r="F6664" s="1" t="s">
        <v>19116</v>
      </c>
      <c r="G6664" s="17">
        <v>63041</v>
      </c>
    </row>
    <row r="6665" spans="1:7">
      <c r="A6665" s="1" t="s">
        <v>19117</v>
      </c>
      <c r="B6665" s="1" t="s">
        <v>19118</v>
      </c>
      <c r="C6665">
        <f>(1-(B7/100))*3347.16</f>
        <v>3347.16</v>
      </c>
      <c r="D6665" s="1">
        <v>0</v>
      </c>
      <c r="E6665">
        <f>D6665*C6665</f>
        <v>0</v>
      </c>
      <c r="F6665" s="1" t="s">
        <v>19119</v>
      </c>
      <c r="G6665" s="17">
        <v>63042</v>
      </c>
    </row>
    <row r="6666" spans="1:7">
      <c r="A6666" s="1" t="s">
        <v>19120</v>
      </c>
      <c r="B6666" s="1" t="s">
        <v>19121</v>
      </c>
      <c r="C6666">
        <f>(1-(B7/100))*3344.54</f>
        <v>3344.54</v>
      </c>
      <c r="D6666" s="1">
        <v>0</v>
      </c>
      <c r="E6666">
        <f>D6666*C6666</f>
        <v>0</v>
      </c>
      <c r="F6666" s="1" t="s">
        <v>19122</v>
      </c>
      <c r="G6666" s="17">
        <v>63043</v>
      </c>
    </row>
    <row r="6667" spans="1:7">
      <c r="A6667" s="1" t="s">
        <v>19123</v>
      </c>
      <c r="B6667" s="1" t="s">
        <v>19124</v>
      </c>
      <c r="C6667">
        <f>(1-(B7/100))*2331.95</f>
        <v>2331.95</v>
      </c>
      <c r="D6667" s="1">
        <v>0</v>
      </c>
      <c r="E6667">
        <f>D6667*C6667</f>
        <v>0</v>
      </c>
      <c r="F6667" s="1" t="s">
        <v>19125</v>
      </c>
      <c r="G6667" s="17">
        <v>63044</v>
      </c>
    </row>
    <row r="6668" spans="1:7">
      <c r="A6668" s="1" t="s">
        <v>19126</v>
      </c>
      <c r="B6668" s="1" t="s">
        <v>19127</v>
      </c>
      <c r="C6668">
        <f>(1-(B7/100))*3003.64</f>
        <v>3003.64</v>
      </c>
      <c r="D6668" s="1">
        <v>0</v>
      </c>
      <c r="E6668">
        <f>D6668*C6668</f>
        <v>0</v>
      </c>
      <c r="F6668" s="1" t="s">
        <v>19128</v>
      </c>
      <c r="G6668" s="17">
        <v>63110</v>
      </c>
    </row>
    <row r="6669" spans="1:7">
      <c r="A6669" s="1" t="s">
        <v>19129</v>
      </c>
      <c r="B6669" s="1" t="s">
        <v>19130</v>
      </c>
      <c r="C6669">
        <f>(1-(B7/100))*2488.68</f>
        <v>2488.68</v>
      </c>
      <c r="D6669" s="1">
        <v>0</v>
      </c>
      <c r="E6669">
        <f>D6669*C6669</f>
        <v>0</v>
      </c>
      <c r="F6669" s="1" t="s">
        <v>19131</v>
      </c>
      <c r="G6669" s="17">
        <v>63452</v>
      </c>
    </row>
    <row r="6670" spans="1:7">
      <c r="A6670" s="1" t="s">
        <v>19132</v>
      </c>
      <c r="B6670" s="1" t="s">
        <v>19133</v>
      </c>
      <c r="C6670">
        <f>(1-(B7/100))*1614.05</f>
        <v>1614.05</v>
      </c>
      <c r="D6670" s="1">
        <v>0</v>
      </c>
      <c r="E6670">
        <f>D6670*C6670</f>
        <v>0</v>
      </c>
      <c r="F6670" s="1" t="s">
        <v>19134</v>
      </c>
      <c r="G6670" s="17">
        <v>70035</v>
      </c>
    </row>
    <row r="6671" spans="1:7">
      <c r="A6671" s="1" t="s">
        <v>19135</v>
      </c>
      <c r="B6671" s="1" t="s">
        <v>19136</v>
      </c>
      <c r="C6671">
        <f>(1-(B7/100))*1843.66</f>
        <v>1843.66</v>
      </c>
      <c r="D6671" s="1">
        <v>0</v>
      </c>
      <c r="E6671">
        <f>D6671*C6671</f>
        <v>0</v>
      </c>
      <c r="F6671" s="1" t="s">
        <v>19137</v>
      </c>
      <c r="G6671" s="17">
        <v>70036</v>
      </c>
    </row>
    <row r="6672" spans="1:7">
      <c r="A6672" s="1" t="s">
        <v>19138</v>
      </c>
      <c r="B6672" s="1" t="s">
        <v>19139</v>
      </c>
      <c r="C6672">
        <f>(1-(B7/100))*2392.82</f>
        <v>2392.82</v>
      </c>
      <c r="D6672" s="1">
        <v>0</v>
      </c>
      <c r="E6672">
        <f>D6672*C6672</f>
        <v>0</v>
      </c>
      <c r="F6672" s="1" t="s">
        <v>19140</v>
      </c>
      <c r="G6672" s="17">
        <v>70042</v>
      </c>
    </row>
    <row r="6673" spans="1:7">
      <c r="A6673" s="1" t="s">
        <v>19141</v>
      </c>
      <c r="B6673" s="1" t="s">
        <v>19142</v>
      </c>
      <c r="C6673">
        <f>(1-(B7/100))*407.65</f>
        <v>407.65</v>
      </c>
      <c r="D6673" s="1">
        <v>0</v>
      </c>
      <c r="E6673">
        <f>D6673*C6673</f>
        <v>0</v>
      </c>
      <c r="F6673" s="1" t="s">
        <v>19143</v>
      </c>
      <c r="G6673" s="17">
        <v>70125</v>
      </c>
    </row>
    <row r="6674" spans="1:7">
      <c r="A6674" s="1" t="s">
        <v>19144</v>
      </c>
      <c r="B6674" s="1" t="s">
        <v>19145</v>
      </c>
      <c r="C6674">
        <f>(1-(B7/100))*2592.29</f>
        <v>2592.29</v>
      </c>
      <c r="D6674" s="1">
        <v>0</v>
      </c>
      <c r="E6674">
        <f>D6674*C6674</f>
        <v>0</v>
      </c>
      <c r="F6674" s="1" t="s">
        <v>16</v>
      </c>
      <c r="G6674" s="17">
        <v>70899</v>
      </c>
    </row>
    <row r="6675" spans="1:7">
      <c r="A6675" s="1" t="s">
        <v>19146</v>
      </c>
      <c r="B6675" s="1" t="s">
        <v>19147</v>
      </c>
      <c r="C6675">
        <f>(1-(B7/100))*3263.44</f>
        <v>3263.44</v>
      </c>
      <c r="D6675" s="1">
        <v>0</v>
      </c>
      <c r="E6675">
        <f>D6675*C6675</f>
        <v>0</v>
      </c>
      <c r="F6675" s="1" t="s">
        <v>19148</v>
      </c>
      <c r="G6675" s="17">
        <v>71184</v>
      </c>
    </row>
    <row r="6676" spans="1:7">
      <c r="A6676" s="1" t="s">
        <v>19149</v>
      </c>
      <c r="B6676" s="1" t="s">
        <v>19150</v>
      </c>
      <c r="C6676">
        <f>(1-(B7/100))*4201.01</f>
        <v>4201.01</v>
      </c>
      <c r="D6676" s="1">
        <v>0</v>
      </c>
      <c r="E6676">
        <f>D6676*C6676</f>
        <v>0</v>
      </c>
      <c r="F6676" s="1" t="s">
        <v>19151</v>
      </c>
      <c r="G6676" s="17">
        <v>71296</v>
      </c>
    </row>
    <row r="6677" spans="1:7">
      <c r="A6677" s="1" t="s">
        <v>19152</v>
      </c>
      <c r="B6677" s="1" t="s">
        <v>19153</v>
      </c>
      <c r="C6677">
        <f>(1-(B7/100))*1691.34</f>
        <v>1691.34</v>
      </c>
      <c r="D6677" s="1">
        <v>0</v>
      </c>
      <c r="E6677">
        <f>D6677*C6677</f>
        <v>0</v>
      </c>
      <c r="F6677" s="1" t="s">
        <v>19154</v>
      </c>
      <c r="G6677" s="17">
        <v>71299</v>
      </c>
    </row>
    <row r="6678" spans="1:7">
      <c r="A6678" s="1" t="s">
        <v>19155</v>
      </c>
      <c r="B6678" s="1" t="s">
        <v>19156</v>
      </c>
      <c r="C6678">
        <f>(1-(B7/100))*1843.66</f>
        <v>1843.66</v>
      </c>
      <c r="D6678" s="1">
        <v>0</v>
      </c>
      <c r="E6678">
        <f>D6678*C6678</f>
        <v>0</v>
      </c>
      <c r="F6678" s="1" t="s">
        <v>19157</v>
      </c>
      <c r="G6678" s="17">
        <v>71300</v>
      </c>
    </row>
    <row r="6679" spans="1:7">
      <c r="A6679" s="1" t="s">
        <v>19158</v>
      </c>
      <c r="B6679" s="1" t="s">
        <v>19159</v>
      </c>
      <c r="C6679">
        <f>(1-(B7/100))*1465.81</f>
        <v>1465.81</v>
      </c>
      <c r="D6679" s="1">
        <v>0</v>
      </c>
      <c r="E6679">
        <f>D6679*C6679</f>
        <v>0</v>
      </c>
      <c r="F6679" s="1" t="s">
        <v>19160</v>
      </c>
      <c r="G6679" s="17">
        <v>71304</v>
      </c>
    </row>
    <row r="6680" spans="1:7">
      <c r="A6680" s="1" t="s">
        <v>19161</v>
      </c>
      <c r="B6680" s="1" t="s">
        <v>19162</v>
      </c>
      <c r="C6680">
        <f>(1-(B7/100))*1293.32</f>
        <v>1293.32</v>
      </c>
      <c r="D6680" s="1">
        <v>0</v>
      </c>
      <c r="E6680">
        <f>D6680*C6680</f>
        <v>0</v>
      </c>
      <c r="F6680" s="1" t="s">
        <v>19163</v>
      </c>
      <c r="G6680" s="17">
        <v>71305</v>
      </c>
    </row>
    <row r="6681" spans="1:7">
      <c r="A6681" s="1" t="s">
        <v>19164</v>
      </c>
      <c r="B6681" s="1" t="s">
        <v>19165</v>
      </c>
      <c r="C6681">
        <f>(1-(B7/100))*1465.81</f>
        <v>1465.81</v>
      </c>
      <c r="D6681" s="1">
        <v>0</v>
      </c>
      <c r="E6681">
        <f>D6681*C6681</f>
        <v>0</v>
      </c>
      <c r="F6681" s="1" t="s">
        <v>19166</v>
      </c>
      <c r="G6681" s="17">
        <v>71306</v>
      </c>
    </row>
    <row r="6682" spans="1:7">
      <c r="A6682" s="1" t="s">
        <v>19167</v>
      </c>
      <c r="B6682" s="1" t="s">
        <v>19168</v>
      </c>
      <c r="C6682">
        <f>(1-(B7/100))*4634.34</f>
        <v>4634.34</v>
      </c>
      <c r="D6682" s="1">
        <v>0</v>
      </c>
      <c r="E6682">
        <f>D6682*C6682</f>
        <v>0</v>
      </c>
      <c r="F6682" s="1" t="s">
        <v>19169</v>
      </c>
      <c r="G6682" s="17">
        <v>71332</v>
      </c>
    </row>
    <row r="6683" spans="1:7">
      <c r="A6683" s="1" t="s">
        <v>19170</v>
      </c>
      <c r="B6683" s="1" t="s">
        <v>19171</v>
      </c>
      <c r="C6683">
        <f>(1-(B7/100))*1717.54</f>
        <v>1717.54</v>
      </c>
      <c r="D6683" s="1">
        <v>0</v>
      </c>
      <c r="E6683">
        <f>D6683*C6683</f>
        <v>0</v>
      </c>
      <c r="F6683" s="1" t="s">
        <v>16</v>
      </c>
      <c r="G6683" s="17">
        <v>71485</v>
      </c>
    </row>
    <row r="6684" spans="1:7">
      <c r="A6684" s="1" t="s">
        <v>19172</v>
      </c>
      <c r="B6684" s="1" t="s">
        <v>19165</v>
      </c>
      <c r="C6684">
        <f>(1-(B7/100))*1130.01</f>
        <v>1130.01</v>
      </c>
      <c r="D6684" s="1">
        <v>0</v>
      </c>
      <c r="E6684">
        <f>D6684*C6684</f>
        <v>0</v>
      </c>
      <c r="F6684" s="1" t="s">
        <v>19173</v>
      </c>
      <c r="G6684" s="17">
        <v>71600</v>
      </c>
    </row>
    <row r="6685" spans="1:7">
      <c r="A6685" s="1" t="s">
        <v>19174</v>
      </c>
      <c r="B6685" s="1" t="s">
        <v>19175</v>
      </c>
      <c r="C6685">
        <f>(1-(B7/100))*1249.12</f>
        <v>1249.12</v>
      </c>
      <c r="D6685" s="1">
        <v>0</v>
      </c>
      <c r="E6685">
        <f>D6685*C6685</f>
        <v>0</v>
      </c>
      <c r="F6685" s="1" t="s">
        <v>16</v>
      </c>
      <c r="G6685" s="17">
        <v>71824</v>
      </c>
    </row>
    <row r="6686" spans="1:7">
      <c r="A6686" s="1" t="s">
        <v>19176</v>
      </c>
      <c r="B6686" s="1" t="s">
        <v>19177</v>
      </c>
      <c r="C6686">
        <f>(1-(B7/100))*1604.1</f>
        <v>1604.1</v>
      </c>
      <c r="D6686" s="1">
        <v>0</v>
      </c>
      <c r="E6686">
        <f>D6686*C6686</f>
        <v>0</v>
      </c>
      <c r="F6686" s="1" t="s">
        <v>16</v>
      </c>
      <c r="G6686" s="17">
        <v>71930</v>
      </c>
    </row>
    <row r="6687" spans="1:7">
      <c r="A6687" s="1" t="s">
        <v>19178</v>
      </c>
      <c r="B6687" s="1" t="s">
        <v>19179</v>
      </c>
      <c r="C6687">
        <f>(1-(B7/100))*1150</f>
        <v>1150</v>
      </c>
      <c r="D6687" s="1">
        <v>0</v>
      </c>
      <c r="E6687">
        <f>D6687*C6687</f>
        <v>0</v>
      </c>
      <c r="F6687" s="1" t="s">
        <v>16</v>
      </c>
      <c r="G6687" s="17">
        <v>72153</v>
      </c>
    </row>
    <row r="6688" spans="1:7">
      <c r="A6688" s="1" t="s">
        <v>19180</v>
      </c>
      <c r="B6688" s="1" t="s">
        <v>19181</v>
      </c>
      <c r="C6688">
        <f>(1-(B7/100))*1500</f>
        <v>1500</v>
      </c>
      <c r="D6688" s="1">
        <v>0</v>
      </c>
      <c r="E6688">
        <f>D6688*C6688</f>
        <v>0</v>
      </c>
      <c r="F6688" s="1" t="s">
        <v>16</v>
      </c>
      <c r="G6688" s="17">
        <v>72165</v>
      </c>
    </row>
    <row r="6689" spans="1:7">
      <c r="A6689" s="1" t="s">
        <v>19182</v>
      </c>
      <c r="B6689" s="1" t="s">
        <v>19183</v>
      </c>
      <c r="C6689">
        <f>(1-(B7/100))*4515.29</f>
        <v>4515.29</v>
      </c>
      <c r="D6689" s="1">
        <v>0</v>
      </c>
      <c r="E6689">
        <f>D6689*C6689</f>
        <v>0</v>
      </c>
      <c r="F6689" s="1" t="s">
        <v>19184</v>
      </c>
      <c r="G6689" s="17">
        <v>73700</v>
      </c>
    </row>
    <row r="6690" spans="1:7">
      <c r="A6690" s="1" t="s">
        <v>19185</v>
      </c>
      <c r="B6690" s="1" t="s">
        <v>19186</v>
      </c>
      <c r="C6690">
        <f>(1-(B7/100))*4515.29</f>
        <v>4515.29</v>
      </c>
      <c r="D6690" s="1">
        <v>0</v>
      </c>
      <c r="E6690">
        <f>D6690*C6690</f>
        <v>0</v>
      </c>
      <c r="F6690" s="1" t="s">
        <v>19187</v>
      </c>
      <c r="G6690" s="17">
        <v>73701</v>
      </c>
    </row>
    <row r="6691" spans="1:7">
      <c r="A6691" s="1" t="s">
        <v>19188</v>
      </c>
      <c r="B6691" s="1" t="s">
        <v>19189</v>
      </c>
      <c r="C6691">
        <f>(1-(B7/100))*2070.72</f>
        <v>2070.72</v>
      </c>
      <c r="D6691" s="1">
        <v>0</v>
      </c>
      <c r="E6691">
        <f>D6691*C6691</f>
        <v>0</v>
      </c>
      <c r="F6691" s="1" t="s">
        <v>19190</v>
      </c>
      <c r="G6691" s="17">
        <v>76663</v>
      </c>
    </row>
    <row r="6692" spans="1:7">
      <c r="A6692" s="1" t="s">
        <v>19191</v>
      </c>
      <c r="B6692" s="1" t="s">
        <v>19192</v>
      </c>
      <c r="C6692">
        <f>(1-(B7/100))*1724.41</f>
        <v>1724.41</v>
      </c>
      <c r="D6692" s="1">
        <v>0</v>
      </c>
      <c r="E6692">
        <f>D6692*C6692</f>
        <v>0</v>
      </c>
      <c r="F6692" s="1" t="s">
        <v>19193</v>
      </c>
      <c r="G6692" s="17">
        <v>76665</v>
      </c>
    </row>
    <row r="6693" spans="1:7">
      <c r="A6693" s="1" t="s">
        <v>19194</v>
      </c>
      <c r="B6693" s="1" t="s">
        <v>19195</v>
      </c>
      <c r="C6693">
        <f>(1-(B7/100))*2574.86</f>
        <v>2574.86</v>
      </c>
      <c r="D6693" s="1">
        <v>0</v>
      </c>
      <c r="E6693">
        <f>D6693*C6693</f>
        <v>0</v>
      </c>
      <c r="F6693" s="1" t="s">
        <v>19196</v>
      </c>
      <c r="G6693" s="17">
        <v>76669</v>
      </c>
    </row>
    <row r="6694" spans="1:7">
      <c r="A6694" s="1" t="s">
        <v>19197</v>
      </c>
      <c r="B6694" s="1" t="s">
        <v>19198</v>
      </c>
      <c r="C6694">
        <f>(1-(B7/100))*1557.68</f>
        <v>1557.68</v>
      </c>
      <c r="D6694" s="1">
        <v>0</v>
      </c>
      <c r="E6694">
        <f>D6694*C6694</f>
        <v>0</v>
      </c>
      <c r="F6694" s="1" t="s">
        <v>19199</v>
      </c>
      <c r="G6694" s="17">
        <v>76671</v>
      </c>
    </row>
    <row r="6695" spans="1:7">
      <c r="A6695" s="1" t="s">
        <v>19200</v>
      </c>
      <c r="B6695" s="1" t="s">
        <v>19201</v>
      </c>
      <c r="C6695">
        <f>(1-(B7/100))*1843.66</f>
        <v>1843.66</v>
      </c>
      <c r="D6695" s="1">
        <v>0</v>
      </c>
      <c r="E6695">
        <f>D6695*C6695</f>
        <v>0</v>
      </c>
      <c r="F6695" s="1" t="s">
        <v>19202</v>
      </c>
      <c r="G6695" s="17">
        <v>76672</v>
      </c>
    </row>
    <row r="6696" spans="1:7">
      <c r="A6696" s="1" t="s">
        <v>19203</v>
      </c>
      <c r="B6696" s="1" t="s">
        <v>19204</v>
      </c>
      <c r="C6696">
        <f>(1-(B7/100))*1781.47</f>
        <v>1781.47</v>
      </c>
      <c r="D6696" s="1">
        <v>0</v>
      </c>
      <c r="E6696">
        <f>D6696*C6696</f>
        <v>0</v>
      </c>
      <c r="F6696" s="1" t="s">
        <v>19205</v>
      </c>
      <c r="G6696" s="17">
        <v>76673</v>
      </c>
    </row>
    <row r="6697" spans="1:7">
      <c r="A6697" s="1" t="s">
        <v>19206</v>
      </c>
      <c r="B6697" s="1" t="s">
        <v>19207</v>
      </c>
      <c r="C6697">
        <f>(1-(B7/100))*2007.43</f>
        <v>2007.43</v>
      </c>
      <c r="D6697" s="1">
        <v>0</v>
      </c>
      <c r="E6697">
        <f>D6697*C6697</f>
        <v>0</v>
      </c>
      <c r="F6697" s="1" t="s">
        <v>19208</v>
      </c>
      <c r="G6697" s="17">
        <v>76679</v>
      </c>
    </row>
    <row r="6698" spans="1:7">
      <c r="A6698" s="1" t="s">
        <v>19209</v>
      </c>
      <c r="B6698" s="1" t="s">
        <v>19210</v>
      </c>
      <c r="C6698">
        <f>(1-(B7/100))*2886.94</f>
        <v>2886.94</v>
      </c>
      <c r="D6698" s="1">
        <v>0</v>
      </c>
      <c r="E6698">
        <f>D6698*C6698</f>
        <v>0</v>
      </c>
      <c r="F6698" s="1" t="s">
        <v>19211</v>
      </c>
      <c r="G6698" s="17">
        <v>76680</v>
      </c>
    </row>
    <row r="6699" spans="1:7">
      <c r="A6699" s="1" t="s">
        <v>19212</v>
      </c>
      <c r="B6699" s="1" t="s">
        <v>19213</v>
      </c>
      <c r="C6699">
        <f>(1-(B7/100))*1494.42</f>
        <v>1494.42</v>
      </c>
      <c r="D6699" s="1">
        <v>0</v>
      </c>
      <c r="E6699">
        <f>D6699*C6699</f>
        <v>0</v>
      </c>
      <c r="F6699" s="1" t="s">
        <v>19214</v>
      </c>
      <c r="G6699" s="17">
        <v>76683</v>
      </c>
    </row>
    <row r="6700" spans="1:7">
      <c r="A6700" s="1" t="s">
        <v>19215</v>
      </c>
      <c r="B6700" s="1" t="s">
        <v>19216</v>
      </c>
      <c r="C6700">
        <f>(1-(B7/100))*1774.52</f>
        <v>1774.52</v>
      </c>
      <c r="D6700" s="1">
        <v>0</v>
      </c>
      <c r="E6700">
        <f>D6700*C6700</f>
        <v>0</v>
      </c>
      <c r="F6700" s="1" t="s">
        <v>19217</v>
      </c>
      <c r="G6700" s="17">
        <v>76686</v>
      </c>
    </row>
    <row r="6701" spans="1:7">
      <c r="A6701" s="1" t="s">
        <v>19218</v>
      </c>
      <c r="B6701" s="1" t="s">
        <v>19219</v>
      </c>
      <c r="C6701">
        <f>(1-(B7/100))*1724.41</f>
        <v>1724.41</v>
      </c>
      <c r="D6701" s="1">
        <v>0</v>
      </c>
      <c r="E6701">
        <f>D6701*C6701</f>
        <v>0</v>
      </c>
      <c r="F6701" s="1" t="s">
        <v>19220</v>
      </c>
      <c r="G6701" s="17">
        <v>76687</v>
      </c>
    </row>
    <row r="6702" spans="1:7">
      <c r="A6702" s="1" t="s">
        <v>19221</v>
      </c>
      <c r="B6702" s="1" t="s">
        <v>19222</v>
      </c>
      <c r="C6702">
        <f>(1-(B7/100))*2868.46</f>
        <v>2868.46</v>
      </c>
      <c r="D6702" s="1">
        <v>0</v>
      </c>
      <c r="E6702">
        <f>D6702*C6702</f>
        <v>0</v>
      </c>
      <c r="F6702" s="1" t="s">
        <v>19223</v>
      </c>
      <c r="G6702" s="17">
        <v>76689</v>
      </c>
    </row>
    <row r="6703" spans="1:7">
      <c r="A6703" s="1" t="s">
        <v>19224</v>
      </c>
      <c r="B6703" s="1" t="s">
        <v>19225</v>
      </c>
      <c r="C6703">
        <f>(1-(B7/100))*2607.13</f>
        <v>2607.13</v>
      </c>
      <c r="D6703" s="1">
        <v>0</v>
      </c>
      <c r="E6703">
        <f>D6703*C6703</f>
        <v>0</v>
      </c>
      <c r="F6703" s="1" t="s">
        <v>19226</v>
      </c>
      <c r="G6703" s="17">
        <v>76690</v>
      </c>
    </row>
    <row r="6704" spans="1:7">
      <c r="A6704" s="1" t="s">
        <v>19227</v>
      </c>
      <c r="B6704" s="1" t="s">
        <v>19228</v>
      </c>
      <c r="C6704">
        <f>(1-(B7/100))*1980.49</f>
        <v>1980.49</v>
      </c>
      <c r="D6704" s="1">
        <v>0</v>
      </c>
      <c r="E6704">
        <f>D6704*C6704</f>
        <v>0</v>
      </c>
      <c r="F6704" s="1" t="s">
        <v>19229</v>
      </c>
      <c r="G6704" s="17">
        <v>76702</v>
      </c>
    </row>
    <row r="6705" spans="1:7">
      <c r="A6705" s="1" t="s">
        <v>19230</v>
      </c>
      <c r="B6705" s="1" t="s">
        <v>19231</v>
      </c>
      <c r="C6705">
        <f>(1-(B7/100))*1724.41</f>
        <v>1724.41</v>
      </c>
      <c r="D6705" s="1">
        <v>0</v>
      </c>
      <c r="E6705">
        <f>D6705*C6705</f>
        <v>0</v>
      </c>
      <c r="F6705" s="1" t="s">
        <v>19232</v>
      </c>
      <c r="G6705" s="17">
        <v>76712</v>
      </c>
    </row>
    <row r="6706" spans="1:7">
      <c r="A6706" s="1" t="s">
        <v>19233</v>
      </c>
      <c r="B6706" s="1" t="s">
        <v>19234</v>
      </c>
      <c r="C6706">
        <f>(1-(B7/100))*1592.89</f>
        <v>1592.89</v>
      </c>
      <c r="D6706" s="1">
        <v>0</v>
      </c>
      <c r="E6706">
        <f>D6706*C6706</f>
        <v>0</v>
      </c>
      <c r="F6706" s="1" t="s">
        <v>19235</v>
      </c>
      <c r="G6706" s="17">
        <v>76713</v>
      </c>
    </row>
    <row r="6707" spans="1:7">
      <c r="A6707" s="1" t="s">
        <v>19236</v>
      </c>
      <c r="B6707" s="1" t="s">
        <v>19237</v>
      </c>
      <c r="C6707">
        <f>(1-(B7/100))*1809.11</f>
        <v>1809.11</v>
      </c>
      <c r="D6707" s="1">
        <v>0</v>
      </c>
      <c r="E6707">
        <f>D6707*C6707</f>
        <v>0</v>
      </c>
      <c r="F6707" s="1" t="s">
        <v>19238</v>
      </c>
      <c r="G6707" s="17">
        <v>85806</v>
      </c>
    </row>
    <row r="6708" spans="1:7">
      <c r="A6708" s="1" t="s">
        <v>19239</v>
      </c>
      <c r="B6708" s="1" t="s">
        <v>19240</v>
      </c>
      <c r="C6708">
        <f>(1-(B7/100))*421.57</f>
        <v>421.57</v>
      </c>
      <c r="D6708" s="1">
        <v>0</v>
      </c>
      <c r="E6708">
        <f>D6708*C6708</f>
        <v>0</v>
      </c>
      <c r="F6708" s="1" t="s">
        <v>19241</v>
      </c>
      <c r="G6708" s="17">
        <v>86739</v>
      </c>
    </row>
    <row r="6709" spans="1:7">
      <c r="A6709" s="16"/>
      <c r="B6709" s="16" t="s">
        <v>19242</v>
      </c>
      <c r="C6709" s="16"/>
      <c r="D6709" s="16"/>
      <c r="E6709" s="16"/>
      <c r="F6709" s="16"/>
    </row>
    <row r="6710" spans="1:7">
      <c r="A6710" s="1">
        <v>5273418</v>
      </c>
      <c r="B6710" s="1" t="s">
        <v>19243</v>
      </c>
      <c r="C6710">
        <f>(1-(B7/100))*225.23</f>
        <v>225.23</v>
      </c>
      <c r="D6710" s="1">
        <v>0</v>
      </c>
      <c r="E6710">
        <f>D6710*C6710</f>
        <v>0</v>
      </c>
      <c r="F6710" s="1" t="s">
        <v>19244</v>
      </c>
      <c r="G6710" s="17">
        <v>64314</v>
      </c>
    </row>
    <row r="6711" spans="1:7">
      <c r="A6711" s="1" t="s">
        <v>19245</v>
      </c>
      <c r="B6711" s="1" t="s">
        <v>19246</v>
      </c>
      <c r="C6711">
        <f>(1-(B7/100))*168.92</f>
        <v>168.92</v>
      </c>
      <c r="D6711" s="1">
        <v>0</v>
      </c>
      <c r="E6711">
        <f>D6711*C6711</f>
        <v>0</v>
      </c>
      <c r="F6711" s="1" t="s">
        <v>19247</v>
      </c>
      <c r="G6711" s="17">
        <v>69172</v>
      </c>
    </row>
    <row r="6712" spans="1:7">
      <c r="A6712" s="1" t="s">
        <v>19248</v>
      </c>
      <c r="B6712" s="1" t="s">
        <v>19249</v>
      </c>
      <c r="C6712">
        <f>(1-(B7/100))*168.92</f>
        <v>168.92</v>
      </c>
      <c r="D6712" s="1">
        <v>0</v>
      </c>
      <c r="E6712">
        <f>D6712*C6712</f>
        <v>0</v>
      </c>
      <c r="F6712" s="1" t="s">
        <v>19250</v>
      </c>
      <c r="G6712" s="17">
        <v>73082</v>
      </c>
    </row>
    <row r="6713" spans="1:7">
      <c r="A6713" s="1" t="s">
        <v>19251</v>
      </c>
      <c r="B6713" s="1" t="s">
        <v>19252</v>
      </c>
      <c r="C6713">
        <f>(1-(B7/100))*168.92</f>
        <v>168.92</v>
      </c>
      <c r="D6713" s="1">
        <v>0</v>
      </c>
      <c r="E6713">
        <f>D6713*C6713</f>
        <v>0</v>
      </c>
      <c r="F6713" s="1" t="s">
        <v>19253</v>
      </c>
      <c r="G6713" s="17">
        <v>84379</v>
      </c>
    </row>
    <row r="6714" spans="1:7">
      <c r="A6714" s="1" t="s">
        <v>19254</v>
      </c>
      <c r="B6714" s="1" t="s">
        <v>19255</v>
      </c>
      <c r="C6714">
        <f>(1-(B7/100))*168.92</f>
        <v>168.92</v>
      </c>
      <c r="D6714" s="1">
        <v>0</v>
      </c>
      <c r="E6714">
        <f>D6714*C6714</f>
        <v>0</v>
      </c>
      <c r="F6714" s="1" t="s">
        <v>19256</v>
      </c>
      <c r="G6714" s="17">
        <v>84380</v>
      </c>
    </row>
    <row r="6715" spans="1:7">
      <c r="A6715" s="16"/>
      <c r="B6715" s="16" t="s">
        <v>19257</v>
      </c>
      <c r="C6715" s="16"/>
      <c r="D6715" s="16"/>
      <c r="E6715" s="16"/>
      <c r="F6715" s="16"/>
    </row>
    <row r="6716" spans="1:7">
      <c r="A6716" s="16"/>
      <c r="B6716" s="16" t="s">
        <v>19258</v>
      </c>
      <c r="C6716" s="16"/>
      <c r="D6716" s="16"/>
      <c r="E6716" s="16"/>
      <c r="F6716" s="16"/>
    </row>
    <row r="6717" spans="1:7">
      <c r="A6717" s="16"/>
      <c r="B6717" s="16" t="s">
        <v>19259</v>
      </c>
      <c r="C6717" s="16"/>
      <c r="D6717" s="16"/>
      <c r="E6717" s="16"/>
      <c r="F6717" s="16"/>
    </row>
    <row r="6718" spans="1:7">
      <c r="A6718" s="16"/>
      <c r="B6718" s="16" t="s">
        <v>19260</v>
      </c>
      <c r="C6718" s="16"/>
      <c r="D6718" s="16"/>
      <c r="E6718" s="16"/>
      <c r="F6718" s="16"/>
    </row>
    <row r="6719" spans="1:7">
      <c r="A6719" s="16"/>
      <c r="B6719" s="16" t="s">
        <v>19261</v>
      </c>
      <c r="C6719" s="16"/>
      <c r="D6719" s="16"/>
      <c r="E6719" s="16"/>
      <c r="F6719" s="16"/>
    </row>
    <row r="6720" spans="1:7">
      <c r="A6720" s="1" t="s">
        <v>19262</v>
      </c>
      <c r="B6720" s="1" t="s">
        <v>19263</v>
      </c>
      <c r="C6720">
        <f>(1-(B7/100))*2774.2</f>
        <v>2774.2</v>
      </c>
      <c r="D6720" s="1">
        <v>0</v>
      </c>
      <c r="E6720">
        <f>D6720*C6720</f>
        <v>0</v>
      </c>
      <c r="F6720" s="1" t="s">
        <v>16</v>
      </c>
      <c r="G6720" s="17">
        <v>62785</v>
      </c>
    </row>
    <row r="6721" spans="1:7">
      <c r="A6721" s="1" t="s">
        <v>19264</v>
      </c>
      <c r="B6721" s="1" t="s">
        <v>19265</v>
      </c>
      <c r="C6721">
        <f>(1-(B7/100))*1844.41</f>
        <v>1844.41</v>
      </c>
      <c r="D6721" s="1">
        <v>0</v>
      </c>
      <c r="E6721">
        <f>D6721*C6721</f>
        <v>0</v>
      </c>
      <c r="F6721" s="1" t="s">
        <v>16</v>
      </c>
      <c r="G6721" s="17">
        <v>62862</v>
      </c>
    </row>
    <row r="6722" spans="1:7">
      <c r="A6722" s="1" t="s">
        <v>19266</v>
      </c>
      <c r="B6722" s="1" t="s">
        <v>19267</v>
      </c>
      <c r="C6722">
        <f>(1-(B7/100))*325.39</f>
        <v>325.39</v>
      </c>
      <c r="D6722" s="1">
        <v>0</v>
      </c>
      <c r="E6722">
        <f>D6722*C6722</f>
        <v>0</v>
      </c>
      <c r="F6722" s="1" t="s">
        <v>16</v>
      </c>
      <c r="G6722" s="17">
        <v>62971</v>
      </c>
    </row>
    <row r="6723" spans="1:7">
      <c r="A6723" s="1" t="s">
        <v>19268</v>
      </c>
      <c r="B6723" s="1" t="s">
        <v>19269</v>
      </c>
      <c r="C6723">
        <f>(1-(B7/100))*303.71</f>
        <v>303.71</v>
      </c>
      <c r="D6723" s="1">
        <v>0</v>
      </c>
      <c r="E6723">
        <f>D6723*C6723</f>
        <v>0</v>
      </c>
      <c r="F6723" s="1" t="s">
        <v>16</v>
      </c>
      <c r="G6723" s="17">
        <v>62972</v>
      </c>
    </row>
    <row r="6724" spans="1:7">
      <c r="A6724" s="1" t="s">
        <v>19270</v>
      </c>
      <c r="B6724" s="1" t="s">
        <v>19271</v>
      </c>
      <c r="C6724">
        <f>(1-(B7/100))*303.71</f>
        <v>303.71</v>
      </c>
      <c r="D6724" s="1">
        <v>0</v>
      </c>
      <c r="E6724">
        <f>D6724*C6724</f>
        <v>0</v>
      </c>
      <c r="F6724" s="1" t="s">
        <v>19272</v>
      </c>
      <c r="G6724" s="17">
        <v>62973</v>
      </c>
    </row>
    <row r="6725" spans="1:7">
      <c r="A6725" s="1" t="s">
        <v>19273</v>
      </c>
      <c r="B6725" s="1" t="s">
        <v>19274</v>
      </c>
      <c r="C6725">
        <f>(1-(B7/100))*260.32</f>
        <v>260.32</v>
      </c>
      <c r="D6725" s="1">
        <v>0</v>
      </c>
      <c r="E6725">
        <f>D6725*C6725</f>
        <v>0</v>
      </c>
      <c r="F6725" s="1" t="s">
        <v>16</v>
      </c>
      <c r="G6725" s="17">
        <v>62974</v>
      </c>
    </row>
    <row r="6726" spans="1:7">
      <c r="A6726" s="1" t="s">
        <v>19275</v>
      </c>
      <c r="B6726" s="1" t="s">
        <v>19276</v>
      </c>
      <c r="C6726">
        <f>(1-(B7/100))*260.32</f>
        <v>260.32</v>
      </c>
      <c r="D6726" s="1">
        <v>0</v>
      </c>
      <c r="E6726">
        <f>D6726*C6726</f>
        <v>0</v>
      </c>
      <c r="F6726" s="1" t="s">
        <v>19277</v>
      </c>
      <c r="G6726" s="17">
        <v>62975</v>
      </c>
    </row>
    <row r="6727" spans="1:7">
      <c r="A6727" s="1" t="s">
        <v>19278</v>
      </c>
      <c r="B6727" s="1" t="s">
        <v>19279</v>
      </c>
      <c r="C6727">
        <f>(1-(B7/100))*282.01</f>
        <v>282.01</v>
      </c>
      <c r="D6727" s="1">
        <v>0</v>
      </c>
      <c r="E6727">
        <f>D6727*C6727</f>
        <v>0</v>
      </c>
      <c r="F6727" s="1" t="s">
        <v>16</v>
      </c>
      <c r="G6727" s="17">
        <v>62976</v>
      </c>
    </row>
    <row r="6728" spans="1:7">
      <c r="A6728" s="1" t="s">
        <v>19280</v>
      </c>
      <c r="B6728" s="1" t="s">
        <v>19281</v>
      </c>
      <c r="C6728">
        <f>(1-(B7/100))*282.01</f>
        <v>282.01</v>
      </c>
      <c r="D6728" s="1">
        <v>0</v>
      </c>
      <c r="E6728">
        <f>D6728*C6728</f>
        <v>0</v>
      </c>
      <c r="F6728" s="1" t="s">
        <v>16</v>
      </c>
      <c r="G6728" s="17">
        <v>62977</v>
      </c>
    </row>
    <row r="6729" spans="1:7">
      <c r="A6729" s="1" t="s">
        <v>19282</v>
      </c>
      <c r="B6729" s="1" t="s">
        <v>19283</v>
      </c>
      <c r="C6729">
        <f>(1-(B7/100))*282.01</f>
        <v>282.01</v>
      </c>
      <c r="D6729" s="1">
        <v>0</v>
      </c>
      <c r="E6729">
        <f>D6729*C6729</f>
        <v>0</v>
      </c>
      <c r="F6729" s="1" t="s">
        <v>19284</v>
      </c>
      <c r="G6729" s="17">
        <v>62978</v>
      </c>
    </row>
    <row r="6730" spans="1:7">
      <c r="A6730" s="1" t="s">
        <v>19285</v>
      </c>
      <c r="B6730" s="1" t="s">
        <v>19286</v>
      </c>
      <c r="C6730">
        <f>(1-(B7/100))*1309.74</f>
        <v>1309.74</v>
      </c>
      <c r="D6730" s="1">
        <v>0</v>
      </c>
      <c r="E6730">
        <f>D6730*C6730</f>
        <v>0</v>
      </c>
      <c r="F6730" s="1" t="s">
        <v>16</v>
      </c>
      <c r="G6730" s="17">
        <v>62980</v>
      </c>
    </row>
    <row r="6731" spans="1:7">
      <c r="A6731" s="1" t="s">
        <v>19287</v>
      </c>
      <c r="B6731" s="1" t="s">
        <v>19288</v>
      </c>
      <c r="C6731">
        <f>(1-(B7/100))*154.87</f>
        <v>154.87</v>
      </c>
      <c r="D6731" s="1">
        <v>0</v>
      </c>
      <c r="E6731">
        <f>D6731*C6731</f>
        <v>0</v>
      </c>
      <c r="F6731" s="1" t="s">
        <v>19289</v>
      </c>
      <c r="G6731" s="17">
        <v>62981</v>
      </c>
    </row>
    <row r="6732" spans="1:7">
      <c r="A6732" s="1" t="s">
        <v>19290</v>
      </c>
      <c r="B6732" s="1" t="s">
        <v>19291</v>
      </c>
      <c r="C6732">
        <f>(1-(B7/100))*246.36</f>
        <v>246.36</v>
      </c>
      <c r="D6732" s="1">
        <v>0</v>
      </c>
      <c r="E6732">
        <f>D6732*C6732</f>
        <v>0</v>
      </c>
      <c r="F6732" s="1" t="s">
        <v>16</v>
      </c>
      <c r="G6732" s="17">
        <v>63119</v>
      </c>
    </row>
    <row r="6733" spans="1:7">
      <c r="A6733" s="1" t="s">
        <v>19292</v>
      </c>
      <c r="B6733" s="1" t="s">
        <v>19293</v>
      </c>
      <c r="C6733">
        <f>(1-(B7/100))*40.94</f>
        <v>40.94</v>
      </c>
      <c r="D6733" s="1">
        <v>0</v>
      </c>
      <c r="E6733">
        <f>D6733*C6733</f>
        <v>0</v>
      </c>
      <c r="F6733" s="1" t="s">
        <v>16</v>
      </c>
      <c r="G6733" s="17">
        <v>63181</v>
      </c>
    </row>
    <row r="6734" spans="1:7">
      <c r="A6734" s="1" t="s">
        <v>19294</v>
      </c>
      <c r="B6734" s="1" t="s">
        <v>19295</v>
      </c>
      <c r="C6734">
        <f>(1-(B7/100))*765.78</f>
        <v>765.78</v>
      </c>
      <c r="D6734" s="1">
        <v>0</v>
      </c>
      <c r="E6734">
        <f>D6734*C6734</f>
        <v>0</v>
      </c>
      <c r="F6734" s="1" t="s">
        <v>16</v>
      </c>
      <c r="G6734" s="17">
        <v>63342</v>
      </c>
    </row>
    <row r="6735" spans="1:7">
      <c r="A6735" s="1" t="s">
        <v>19296</v>
      </c>
      <c r="B6735" s="1" t="s">
        <v>19297</v>
      </c>
      <c r="C6735">
        <f>(1-(B7/100))*40.94</f>
        <v>40.94</v>
      </c>
      <c r="D6735" s="1">
        <v>0</v>
      </c>
      <c r="E6735">
        <f>D6735*C6735</f>
        <v>0</v>
      </c>
      <c r="F6735" s="1" t="s">
        <v>16</v>
      </c>
      <c r="G6735" s="17">
        <v>63344</v>
      </c>
    </row>
    <row r="6736" spans="1:7">
      <c r="A6736" s="1" t="s">
        <v>19298</v>
      </c>
      <c r="B6736" s="1" t="s">
        <v>19299</v>
      </c>
      <c r="C6736">
        <f>(1-(B7/100))*2728.64</f>
        <v>2728.64</v>
      </c>
      <c r="D6736" s="1">
        <v>0</v>
      </c>
      <c r="E6736">
        <f>D6736*C6736</f>
        <v>0</v>
      </c>
      <c r="F6736" s="1" t="s">
        <v>16</v>
      </c>
      <c r="G6736" s="17">
        <v>63382</v>
      </c>
    </row>
    <row r="6737" spans="1:7">
      <c r="A6737" s="1" t="s">
        <v>19300</v>
      </c>
      <c r="B6737" s="1" t="s">
        <v>19301</v>
      </c>
      <c r="C6737">
        <f>(1-(B7/100))*98.75</f>
        <v>98.75</v>
      </c>
      <c r="D6737" s="1">
        <v>0</v>
      </c>
      <c r="E6737">
        <f>D6737*C6737</f>
        <v>0</v>
      </c>
      <c r="F6737" s="1" t="s">
        <v>16</v>
      </c>
      <c r="G6737" s="17">
        <v>63383</v>
      </c>
    </row>
    <row r="6738" spans="1:7">
      <c r="A6738" s="1" t="s">
        <v>19302</v>
      </c>
      <c r="B6738" s="1" t="s">
        <v>19303</v>
      </c>
      <c r="C6738">
        <f>(1-(B7/100))*81.87</f>
        <v>81.87</v>
      </c>
      <c r="D6738" s="1">
        <v>0</v>
      </c>
      <c r="E6738">
        <f>D6738*C6738</f>
        <v>0</v>
      </c>
      <c r="F6738" s="1" t="s">
        <v>16</v>
      </c>
      <c r="G6738" s="17">
        <v>63385</v>
      </c>
    </row>
    <row r="6739" spans="1:7">
      <c r="A6739" s="1" t="s">
        <v>19304</v>
      </c>
      <c r="B6739" s="1" t="s">
        <v>19305</v>
      </c>
      <c r="C6739">
        <f>(1-(B7/100))*1215.25</f>
        <v>1215.25</v>
      </c>
      <c r="D6739" s="1">
        <v>0</v>
      </c>
      <c r="E6739">
        <f>D6739*C6739</f>
        <v>0</v>
      </c>
      <c r="F6739" s="1" t="s">
        <v>16</v>
      </c>
      <c r="G6739" s="17">
        <v>63837</v>
      </c>
    </row>
    <row r="6740" spans="1:7">
      <c r="A6740" s="1" t="s">
        <v>19306</v>
      </c>
      <c r="B6740" s="1" t="s">
        <v>19307</v>
      </c>
      <c r="C6740">
        <f>(1-(B7/100))*61.38</f>
        <v>61.38</v>
      </c>
      <c r="D6740" s="1">
        <v>0</v>
      </c>
      <c r="E6740">
        <f>D6740*C6740</f>
        <v>0</v>
      </c>
      <c r="F6740" s="1" t="s">
        <v>16</v>
      </c>
      <c r="G6740" s="17">
        <v>64047</v>
      </c>
    </row>
    <row r="6741" spans="1:7">
      <c r="A6741" s="1" t="s">
        <v>19308</v>
      </c>
      <c r="B6741" s="1" t="s">
        <v>19309</v>
      </c>
      <c r="C6741">
        <f>(1-(B7/100))*321.22</f>
        <v>321.22</v>
      </c>
      <c r="D6741" s="1">
        <v>0</v>
      </c>
      <c r="E6741">
        <f>D6741*C6741</f>
        <v>0</v>
      </c>
      <c r="F6741" s="1" t="s">
        <v>16</v>
      </c>
      <c r="G6741" s="17">
        <v>64108</v>
      </c>
    </row>
    <row r="6742" spans="1:7">
      <c r="A6742" s="1" t="s">
        <v>19310</v>
      </c>
      <c r="B6742" s="1" t="s">
        <v>19311</v>
      </c>
      <c r="C6742">
        <f>(1-(B7/100))*49.07</f>
        <v>49.07</v>
      </c>
      <c r="D6742" s="1">
        <v>0</v>
      </c>
      <c r="E6742">
        <f>D6742*C6742</f>
        <v>0</v>
      </c>
      <c r="F6742" s="1" t="s">
        <v>16</v>
      </c>
      <c r="G6742" s="17">
        <v>64135</v>
      </c>
    </row>
    <row r="6743" spans="1:7">
      <c r="A6743" s="1" t="s">
        <v>19312</v>
      </c>
      <c r="B6743" s="1" t="s">
        <v>19313</v>
      </c>
      <c r="C6743">
        <f>(1-(B7/100))*122.82</f>
        <v>122.82</v>
      </c>
      <c r="D6743" s="1">
        <v>0</v>
      </c>
      <c r="E6743">
        <f>D6743*C6743</f>
        <v>0</v>
      </c>
      <c r="F6743" s="1" t="s">
        <v>16</v>
      </c>
      <c r="G6743" s="17">
        <v>64136</v>
      </c>
    </row>
    <row r="6744" spans="1:7">
      <c r="A6744" s="1" t="s">
        <v>19314</v>
      </c>
      <c r="B6744" s="1" t="s">
        <v>19315</v>
      </c>
      <c r="C6744">
        <f>(1-(B7/100))*87.84</f>
        <v>87.84</v>
      </c>
      <c r="D6744" s="1">
        <v>0</v>
      </c>
      <c r="E6744">
        <f>D6744*C6744</f>
        <v>0</v>
      </c>
      <c r="F6744" s="1" t="s">
        <v>16</v>
      </c>
      <c r="G6744" s="17">
        <v>64238</v>
      </c>
    </row>
    <row r="6745" spans="1:7">
      <c r="A6745" s="1" t="s">
        <v>19316</v>
      </c>
      <c r="B6745" s="1" t="s">
        <v>19317</v>
      </c>
      <c r="C6745">
        <f>(1-(B7/100))*2713.89</f>
        <v>2713.89</v>
      </c>
      <c r="D6745" s="1">
        <v>0</v>
      </c>
      <c r="E6745">
        <f>D6745*C6745</f>
        <v>0</v>
      </c>
      <c r="F6745" s="1" t="s">
        <v>16</v>
      </c>
      <c r="G6745" s="17">
        <v>64303</v>
      </c>
    </row>
    <row r="6746" spans="1:7">
      <c r="A6746" s="1" t="s">
        <v>19318</v>
      </c>
      <c r="B6746" s="1" t="s">
        <v>19319</v>
      </c>
      <c r="C6746">
        <f>(1-(B7/100))*61.38</f>
        <v>61.38</v>
      </c>
      <c r="D6746" s="1">
        <v>0</v>
      </c>
      <c r="E6746">
        <f>D6746*C6746</f>
        <v>0</v>
      </c>
      <c r="F6746" s="1" t="s">
        <v>19320</v>
      </c>
      <c r="G6746" s="17">
        <v>64304</v>
      </c>
    </row>
    <row r="6747" spans="1:7">
      <c r="A6747" s="1" t="s">
        <v>19321</v>
      </c>
      <c r="B6747" s="1" t="s">
        <v>19322</v>
      </c>
      <c r="C6747">
        <f>(1-(B7/100))*6304.88</f>
        <v>6304.88</v>
      </c>
      <c r="D6747" s="1">
        <v>0</v>
      </c>
      <c r="E6747">
        <f>D6747*C6747</f>
        <v>0</v>
      </c>
      <c r="F6747" s="1" t="s">
        <v>16</v>
      </c>
      <c r="G6747" s="17">
        <v>64355</v>
      </c>
    </row>
    <row r="6748" spans="1:7">
      <c r="A6748" s="1" t="s">
        <v>19323</v>
      </c>
      <c r="B6748" s="1" t="s">
        <v>19324</v>
      </c>
      <c r="C6748">
        <f>(1-(B7/100))*1616.63</f>
        <v>1616.63</v>
      </c>
      <c r="D6748" s="1">
        <v>0</v>
      </c>
      <c r="E6748">
        <f>D6748*C6748</f>
        <v>0</v>
      </c>
      <c r="F6748" s="1" t="s">
        <v>16</v>
      </c>
      <c r="G6748" s="17">
        <v>64357</v>
      </c>
    </row>
    <row r="6749" spans="1:7">
      <c r="A6749" s="1" t="s">
        <v>19325</v>
      </c>
      <c r="B6749" s="1" t="s">
        <v>19326</v>
      </c>
      <c r="C6749">
        <f>(1-(B7/100))*218.25</f>
        <v>218.25</v>
      </c>
      <c r="D6749" s="1">
        <v>0</v>
      </c>
      <c r="E6749">
        <f>D6749*C6749</f>
        <v>0</v>
      </c>
      <c r="F6749" s="1" t="s">
        <v>16</v>
      </c>
      <c r="G6749" s="17">
        <v>64442</v>
      </c>
    </row>
    <row r="6750" spans="1:7">
      <c r="A6750" s="1" t="s">
        <v>19327</v>
      </c>
      <c r="B6750" s="1" t="s">
        <v>19328</v>
      </c>
      <c r="C6750">
        <f>(1-(B7/100))*1368.19</f>
        <v>1368.19</v>
      </c>
      <c r="D6750" s="1">
        <v>0</v>
      </c>
      <c r="E6750">
        <f>D6750*C6750</f>
        <v>0</v>
      </c>
      <c r="F6750" s="1" t="s">
        <v>16</v>
      </c>
      <c r="G6750" s="17">
        <v>64447</v>
      </c>
    </row>
    <row r="6751" spans="1:7">
      <c r="A6751" s="1" t="s">
        <v>19329</v>
      </c>
      <c r="B6751" s="1" t="s">
        <v>19330</v>
      </c>
      <c r="C6751">
        <f>(1-(B7/100))*1227.89</f>
        <v>1227.89</v>
      </c>
      <c r="D6751" s="1">
        <v>0</v>
      </c>
      <c r="E6751">
        <f>D6751*C6751</f>
        <v>0</v>
      </c>
      <c r="F6751" s="1" t="s">
        <v>19331</v>
      </c>
      <c r="G6751" s="17">
        <v>64463</v>
      </c>
    </row>
    <row r="6752" spans="1:7">
      <c r="A6752" s="1" t="s">
        <v>19332</v>
      </c>
      <c r="B6752" s="1" t="s">
        <v>19333</v>
      </c>
      <c r="C6752">
        <f>(1-(B7/100))*81.87</f>
        <v>81.87</v>
      </c>
      <c r="D6752" s="1">
        <v>0</v>
      </c>
      <c r="E6752">
        <f>D6752*C6752</f>
        <v>0</v>
      </c>
      <c r="F6752" s="1" t="s">
        <v>19334</v>
      </c>
      <c r="G6752" s="17">
        <v>64505</v>
      </c>
    </row>
    <row r="6753" spans="1:7">
      <c r="A6753" s="1" t="s">
        <v>19335</v>
      </c>
      <c r="B6753" s="1" t="s">
        <v>19336</v>
      </c>
      <c r="C6753">
        <f>(1-(B7/100))*1103.76</f>
        <v>1103.76</v>
      </c>
      <c r="D6753" s="1">
        <v>0</v>
      </c>
      <c r="E6753">
        <f>D6753*C6753</f>
        <v>0</v>
      </c>
      <c r="F6753" s="1" t="s">
        <v>16</v>
      </c>
      <c r="G6753" s="17">
        <v>64506</v>
      </c>
    </row>
    <row r="6754" spans="1:7">
      <c r="A6754" s="1" t="s">
        <v>19337</v>
      </c>
      <c r="B6754" s="1" t="s">
        <v>19338</v>
      </c>
      <c r="C6754">
        <f>(1-(B7/100))*214.23</f>
        <v>214.23</v>
      </c>
      <c r="D6754" s="1">
        <v>0</v>
      </c>
      <c r="E6754">
        <f>D6754*C6754</f>
        <v>0</v>
      </c>
      <c r="F6754" s="1" t="s">
        <v>16</v>
      </c>
      <c r="G6754" s="17">
        <v>64509</v>
      </c>
    </row>
    <row r="6755" spans="1:7">
      <c r="A6755" s="1" t="s">
        <v>19339</v>
      </c>
      <c r="B6755" s="1" t="s">
        <v>19340</v>
      </c>
      <c r="C6755">
        <f>(1-(B7/100))*279.31</f>
        <v>279.31</v>
      </c>
      <c r="D6755" s="1">
        <v>0</v>
      </c>
      <c r="E6755">
        <f>D6755*C6755</f>
        <v>0</v>
      </c>
      <c r="F6755" s="1" t="s">
        <v>16</v>
      </c>
      <c r="G6755" s="17">
        <v>64510</v>
      </c>
    </row>
    <row r="6756" spans="1:7">
      <c r="A6756" s="1" t="s">
        <v>19341</v>
      </c>
      <c r="B6756" s="1" t="s">
        <v>19342</v>
      </c>
      <c r="C6756">
        <f>(1-(B7/100))*213.6</f>
        <v>213.6</v>
      </c>
      <c r="D6756" s="1">
        <v>0</v>
      </c>
      <c r="E6756">
        <f>D6756*C6756</f>
        <v>0</v>
      </c>
      <c r="F6756" s="1" t="s">
        <v>16</v>
      </c>
      <c r="G6756" s="17">
        <v>64511</v>
      </c>
    </row>
    <row r="6757" spans="1:7">
      <c r="A6757" s="1" t="s">
        <v>19343</v>
      </c>
      <c r="B6757" s="1" t="s">
        <v>19344</v>
      </c>
      <c r="C6757">
        <f>(1-(B7/100))*73.66</f>
        <v>73.66</v>
      </c>
      <c r="D6757" s="1">
        <v>0</v>
      </c>
      <c r="E6757">
        <f>D6757*C6757</f>
        <v>0</v>
      </c>
      <c r="F6757" s="1" t="s">
        <v>16</v>
      </c>
      <c r="G6757" s="17">
        <v>64514</v>
      </c>
    </row>
    <row r="6758" spans="1:7">
      <c r="A6758" s="1" t="s">
        <v>19345</v>
      </c>
      <c r="B6758" s="1" t="s">
        <v>19346</v>
      </c>
      <c r="C6758">
        <f>(1-(B7/100))*103.15</f>
        <v>103.15</v>
      </c>
      <c r="D6758" s="1">
        <v>0</v>
      </c>
      <c r="E6758">
        <f>D6758*C6758</f>
        <v>0</v>
      </c>
      <c r="F6758" s="1" t="s">
        <v>16</v>
      </c>
      <c r="G6758" s="17">
        <v>64515</v>
      </c>
    </row>
    <row r="6759" spans="1:7">
      <c r="A6759" s="1" t="s">
        <v>19347</v>
      </c>
      <c r="B6759" s="1" t="s">
        <v>19348</v>
      </c>
      <c r="C6759">
        <f>(1-(B7/100))*143.27</f>
        <v>143.27</v>
      </c>
      <c r="D6759" s="1">
        <v>0</v>
      </c>
      <c r="E6759">
        <f>D6759*C6759</f>
        <v>0</v>
      </c>
      <c r="F6759" s="1" t="s">
        <v>16</v>
      </c>
      <c r="G6759" s="17">
        <v>64517</v>
      </c>
    </row>
    <row r="6760" spans="1:7">
      <c r="A6760" s="1" t="s">
        <v>19349</v>
      </c>
      <c r="B6760" s="1" t="s">
        <v>19350</v>
      </c>
      <c r="C6760">
        <f>(1-(B7/100))*306.96</f>
        <v>306.96</v>
      </c>
      <c r="D6760" s="1">
        <v>0</v>
      </c>
      <c r="E6760">
        <f>D6760*C6760</f>
        <v>0</v>
      </c>
      <c r="F6760" s="1" t="s">
        <v>16</v>
      </c>
      <c r="G6760" s="17">
        <v>64519</v>
      </c>
    </row>
    <row r="6761" spans="1:7">
      <c r="A6761" s="1" t="s">
        <v>19351</v>
      </c>
      <c r="B6761" s="1" t="s">
        <v>19352</v>
      </c>
      <c r="C6761">
        <f>(1-(B7/100))*306.96</f>
        <v>306.96</v>
      </c>
      <c r="D6761" s="1">
        <v>0</v>
      </c>
      <c r="E6761">
        <f>D6761*C6761</f>
        <v>0</v>
      </c>
      <c r="F6761" s="1" t="s">
        <v>16</v>
      </c>
      <c r="G6761" s="17">
        <v>64520</v>
      </c>
    </row>
    <row r="6762" spans="1:7">
      <c r="A6762" s="1" t="s">
        <v>19353</v>
      </c>
      <c r="B6762" s="1" t="s">
        <v>19354</v>
      </c>
      <c r="C6762">
        <f>(1-(B7/100))*266.04</f>
        <v>266.04</v>
      </c>
      <c r="D6762" s="1">
        <v>0</v>
      </c>
      <c r="E6762">
        <f>D6762*C6762</f>
        <v>0</v>
      </c>
      <c r="F6762" s="1" t="s">
        <v>16</v>
      </c>
      <c r="G6762" s="17">
        <v>64521</v>
      </c>
    </row>
    <row r="6763" spans="1:7">
      <c r="A6763" s="1" t="s">
        <v>19355</v>
      </c>
      <c r="B6763" s="1" t="s">
        <v>19356</v>
      </c>
      <c r="C6763">
        <f>(1-(B7/100))*306.96</f>
        <v>306.96</v>
      </c>
      <c r="D6763" s="1">
        <v>0</v>
      </c>
      <c r="E6763">
        <f>D6763*C6763</f>
        <v>0</v>
      </c>
      <c r="F6763" s="1" t="s">
        <v>16</v>
      </c>
      <c r="G6763" s="17">
        <v>64523</v>
      </c>
    </row>
    <row r="6764" spans="1:7">
      <c r="A6764" s="1" t="s">
        <v>19357</v>
      </c>
      <c r="B6764" s="1" t="s">
        <v>19358</v>
      </c>
      <c r="C6764">
        <f>(1-(B7/100))*221.03</f>
        <v>221.03</v>
      </c>
      <c r="D6764" s="1">
        <v>0</v>
      </c>
      <c r="E6764">
        <f>D6764*C6764</f>
        <v>0</v>
      </c>
      <c r="F6764" s="1" t="s">
        <v>16</v>
      </c>
      <c r="G6764" s="17">
        <v>64524</v>
      </c>
    </row>
    <row r="6765" spans="1:7">
      <c r="A6765" s="1" t="s">
        <v>19359</v>
      </c>
      <c r="B6765" s="1" t="s">
        <v>19360</v>
      </c>
      <c r="C6765">
        <f>(1-(B7/100))*343.8</f>
        <v>343.8</v>
      </c>
      <c r="D6765" s="1">
        <v>0</v>
      </c>
      <c r="E6765">
        <f>D6765*C6765</f>
        <v>0</v>
      </c>
      <c r="F6765" s="1" t="s">
        <v>16</v>
      </c>
      <c r="G6765" s="17">
        <v>64525</v>
      </c>
    </row>
    <row r="6766" spans="1:7">
      <c r="A6766" s="1" t="s">
        <v>19361</v>
      </c>
      <c r="B6766" s="1" t="s">
        <v>19362</v>
      </c>
      <c r="C6766">
        <f>(1-(B7/100))*1117.83</f>
        <v>1117.83</v>
      </c>
      <c r="D6766" s="1">
        <v>0</v>
      </c>
      <c r="E6766">
        <f>D6766*C6766</f>
        <v>0</v>
      </c>
      <c r="F6766" s="1" t="s">
        <v>16</v>
      </c>
      <c r="G6766" s="17">
        <v>65031</v>
      </c>
    </row>
    <row r="6767" spans="1:7">
      <c r="A6767" s="1" t="s">
        <v>19363</v>
      </c>
      <c r="B6767" s="1" t="s">
        <v>19364</v>
      </c>
      <c r="C6767">
        <f>(1-(B7/100))*1616.95</f>
        <v>1616.95</v>
      </c>
      <c r="D6767" s="1">
        <v>0</v>
      </c>
      <c r="E6767">
        <f>D6767*C6767</f>
        <v>0</v>
      </c>
      <c r="F6767" s="1" t="s">
        <v>16</v>
      </c>
      <c r="G6767" s="17">
        <v>70231</v>
      </c>
    </row>
    <row r="6768" spans="1:7">
      <c r="A6768" s="1" t="s">
        <v>19365</v>
      </c>
      <c r="B6768" s="1" t="s">
        <v>19366</v>
      </c>
      <c r="C6768">
        <f>(1-(B7/100))*81.87</f>
        <v>81.87</v>
      </c>
      <c r="D6768" s="1">
        <v>0</v>
      </c>
      <c r="E6768">
        <f>D6768*C6768</f>
        <v>0</v>
      </c>
      <c r="F6768" s="1" t="s">
        <v>16</v>
      </c>
      <c r="G6768" s="17">
        <v>70309</v>
      </c>
    </row>
    <row r="6769" spans="1:7">
      <c r="A6769" s="1" t="s">
        <v>19367</v>
      </c>
      <c r="B6769" s="1" t="s">
        <v>19368</v>
      </c>
      <c r="C6769">
        <f>(1-(B7/100))*81.87</f>
        <v>81.87</v>
      </c>
      <c r="D6769" s="1">
        <v>0</v>
      </c>
      <c r="E6769">
        <f>D6769*C6769</f>
        <v>0</v>
      </c>
      <c r="F6769" s="1" t="s">
        <v>19369</v>
      </c>
      <c r="G6769" s="17">
        <v>70330</v>
      </c>
    </row>
    <row r="6770" spans="1:7">
      <c r="A6770" s="1" t="s">
        <v>19370</v>
      </c>
      <c r="B6770" s="1" t="s">
        <v>19371</v>
      </c>
      <c r="C6770">
        <f>(1-(B7/100))*156.61</f>
        <v>156.61</v>
      </c>
      <c r="D6770" s="1">
        <v>0</v>
      </c>
      <c r="E6770">
        <f>D6770*C6770</f>
        <v>0</v>
      </c>
      <c r="F6770" s="1" t="s">
        <v>16</v>
      </c>
      <c r="G6770" s="17">
        <v>70336</v>
      </c>
    </row>
    <row r="6771" spans="1:7">
      <c r="A6771" s="1" t="s">
        <v>19372</v>
      </c>
      <c r="B6771" s="1" t="s">
        <v>19373</v>
      </c>
      <c r="C6771">
        <f>(1-(B7/100))*245.7</f>
        <v>245.7</v>
      </c>
      <c r="D6771" s="1">
        <v>0</v>
      </c>
      <c r="E6771">
        <f>D6771*C6771</f>
        <v>0</v>
      </c>
      <c r="F6771" s="1" t="s">
        <v>16</v>
      </c>
      <c r="G6771" s="17">
        <v>70347</v>
      </c>
    </row>
    <row r="6772" spans="1:7">
      <c r="A6772" s="1" t="s">
        <v>19374</v>
      </c>
      <c r="B6772" s="1" t="s">
        <v>19375</v>
      </c>
      <c r="C6772">
        <f>(1-(B7/100))*1409.14</f>
        <v>1409.14</v>
      </c>
      <c r="D6772" s="1">
        <v>0</v>
      </c>
      <c r="E6772">
        <f>D6772*C6772</f>
        <v>0</v>
      </c>
      <c r="F6772" s="1" t="s">
        <v>16</v>
      </c>
      <c r="G6772" s="17">
        <v>70444</v>
      </c>
    </row>
    <row r="6773" spans="1:7">
      <c r="A6773" s="1" t="s">
        <v>19376</v>
      </c>
      <c r="B6773" s="1" t="s">
        <v>19377</v>
      </c>
      <c r="C6773">
        <f>(1-(B7/100))*81.87</f>
        <v>81.87</v>
      </c>
      <c r="D6773" s="1">
        <v>0</v>
      </c>
      <c r="E6773">
        <f>D6773*C6773</f>
        <v>0</v>
      </c>
      <c r="F6773" s="1" t="s">
        <v>19378</v>
      </c>
      <c r="G6773" s="17">
        <v>70470</v>
      </c>
    </row>
    <row r="6774" spans="1:7">
      <c r="A6774" s="1" t="s">
        <v>19379</v>
      </c>
      <c r="B6774" s="1" t="s">
        <v>19380</v>
      </c>
      <c r="C6774">
        <f>(1-(B7/100))*57.32</f>
        <v>57.32</v>
      </c>
      <c r="D6774" s="1">
        <v>0</v>
      </c>
      <c r="E6774">
        <f>D6774*C6774</f>
        <v>0</v>
      </c>
      <c r="F6774" s="1" t="s">
        <v>16</v>
      </c>
      <c r="G6774" s="17">
        <v>70494</v>
      </c>
    </row>
    <row r="6775" spans="1:7">
      <c r="A6775" s="1" t="s">
        <v>19381</v>
      </c>
      <c r="B6775" s="1" t="s">
        <v>19382</v>
      </c>
      <c r="C6775">
        <f>(1-(B7/100))*412.26</f>
        <v>412.26</v>
      </c>
      <c r="D6775" s="1">
        <v>0</v>
      </c>
      <c r="E6775">
        <f>D6775*C6775</f>
        <v>0</v>
      </c>
      <c r="F6775" s="1" t="s">
        <v>16</v>
      </c>
      <c r="G6775" s="17">
        <v>70623</v>
      </c>
    </row>
    <row r="6776" spans="1:7">
      <c r="A6776" s="1" t="s">
        <v>19383</v>
      </c>
      <c r="B6776" s="1" t="s">
        <v>19384</v>
      </c>
      <c r="C6776">
        <f>(1-(B7/100))*163.72</f>
        <v>163.72</v>
      </c>
      <c r="D6776" s="1">
        <v>0</v>
      </c>
      <c r="E6776">
        <f>D6776*C6776</f>
        <v>0</v>
      </c>
      <c r="F6776" s="1" t="s">
        <v>16</v>
      </c>
      <c r="G6776" s="17">
        <v>70673</v>
      </c>
    </row>
    <row r="6777" spans="1:7">
      <c r="A6777" s="1" t="s">
        <v>19385</v>
      </c>
      <c r="B6777" s="1" t="s">
        <v>19386</v>
      </c>
      <c r="C6777">
        <f>(1-(B7/100))*163.72</f>
        <v>163.72</v>
      </c>
      <c r="D6777" s="1">
        <v>0</v>
      </c>
      <c r="E6777">
        <f>D6777*C6777</f>
        <v>0</v>
      </c>
      <c r="F6777" s="1" t="s">
        <v>16</v>
      </c>
      <c r="G6777" s="17">
        <v>70674</v>
      </c>
    </row>
    <row r="6778" spans="1:7">
      <c r="A6778" s="1" t="s">
        <v>19387</v>
      </c>
      <c r="B6778" s="1" t="s">
        <v>19388</v>
      </c>
      <c r="C6778">
        <f>(1-(B7/100))*81.87</f>
        <v>81.87</v>
      </c>
      <c r="D6778" s="1">
        <v>0</v>
      </c>
      <c r="E6778">
        <f>D6778*C6778</f>
        <v>0</v>
      </c>
      <c r="F6778" s="1" t="s">
        <v>16</v>
      </c>
      <c r="G6778" s="17">
        <v>70795</v>
      </c>
    </row>
    <row r="6779" spans="1:7">
      <c r="A6779" s="1" t="s">
        <v>19389</v>
      </c>
      <c r="B6779" s="1" t="s">
        <v>19390</v>
      </c>
      <c r="C6779">
        <f>(1-(B7/100))*40.94</f>
        <v>40.94</v>
      </c>
      <c r="D6779" s="1">
        <v>0</v>
      </c>
      <c r="E6779">
        <f>D6779*C6779</f>
        <v>0</v>
      </c>
      <c r="F6779" s="1" t="s">
        <v>19391</v>
      </c>
      <c r="G6779" s="17">
        <v>70878</v>
      </c>
    </row>
    <row r="6780" spans="1:7">
      <c r="A6780" s="1" t="s">
        <v>19392</v>
      </c>
      <c r="B6780" s="1" t="s">
        <v>19393</v>
      </c>
      <c r="C6780">
        <f>(1-(B7/100))*49.07</f>
        <v>49.07</v>
      </c>
      <c r="D6780" s="1">
        <v>0</v>
      </c>
      <c r="E6780">
        <f>D6780*C6780</f>
        <v>0</v>
      </c>
      <c r="F6780" s="1" t="s">
        <v>19394</v>
      </c>
      <c r="G6780" s="17">
        <v>70885</v>
      </c>
    </row>
    <row r="6781" spans="1:7">
      <c r="A6781" s="1" t="s">
        <v>19395</v>
      </c>
      <c r="B6781" s="1" t="s">
        <v>19396</v>
      </c>
      <c r="C6781">
        <f>(1-(B7/100))*990.21</f>
        <v>990.21</v>
      </c>
      <c r="D6781" s="1">
        <v>0</v>
      </c>
      <c r="E6781">
        <f>D6781*C6781</f>
        <v>0</v>
      </c>
      <c r="F6781" s="1" t="s">
        <v>16</v>
      </c>
      <c r="G6781" s="17">
        <v>70905</v>
      </c>
    </row>
    <row r="6782" spans="1:7">
      <c r="A6782" s="1" t="s">
        <v>19397</v>
      </c>
      <c r="B6782" s="1" t="s">
        <v>19398</v>
      </c>
      <c r="C6782">
        <f>(1-(B7/100))*122.82</f>
        <v>122.82</v>
      </c>
      <c r="D6782" s="1">
        <v>0</v>
      </c>
      <c r="E6782">
        <f>D6782*C6782</f>
        <v>0</v>
      </c>
      <c r="F6782" s="1" t="s">
        <v>16</v>
      </c>
      <c r="G6782" s="17">
        <v>70906</v>
      </c>
    </row>
    <row r="6783" spans="1:7">
      <c r="A6783" s="1" t="s">
        <v>19399</v>
      </c>
      <c r="B6783" s="1" t="s">
        <v>19400</v>
      </c>
      <c r="C6783">
        <f>(1-(B7/100))*1359.97</f>
        <v>1359.97</v>
      </c>
      <c r="D6783" s="1">
        <v>0</v>
      </c>
      <c r="E6783">
        <f>D6783*C6783</f>
        <v>0</v>
      </c>
      <c r="F6783" s="1" t="s">
        <v>16</v>
      </c>
      <c r="G6783" s="17">
        <v>70921</v>
      </c>
    </row>
    <row r="6784" spans="1:7">
      <c r="A6784" s="1" t="s">
        <v>19401</v>
      </c>
      <c r="B6784" s="1" t="s">
        <v>19402</v>
      </c>
      <c r="C6784">
        <f>(1-(B7/100))*737.33</f>
        <v>737.33</v>
      </c>
      <c r="D6784" s="1">
        <v>0</v>
      </c>
      <c r="E6784">
        <f>D6784*C6784</f>
        <v>0</v>
      </c>
      <c r="F6784" s="1" t="s">
        <v>16</v>
      </c>
      <c r="G6784" s="17">
        <v>70923</v>
      </c>
    </row>
    <row r="6785" spans="1:7">
      <c r="A6785" s="1" t="s">
        <v>19403</v>
      </c>
      <c r="B6785" s="1" t="s">
        <v>19404</v>
      </c>
      <c r="C6785">
        <f>(1-(B7/100))*1141.22</f>
        <v>1141.22</v>
      </c>
      <c r="D6785" s="1">
        <v>0</v>
      </c>
      <c r="E6785">
        <f>D6785*C6785</f>
        <v>0</v>
      </c>
      <c r="F6785" s="1" t="s">
        <v>16</v>
      </c>
      <c r="G6785" s="17">
        <v>71230</v>
      </c>
    </row>
    <row r="6786" spans="1:7">
      <c r="A6786" s="1" t="s">
        <v>19405</v>
      </c>
      <c r="B6786" s="1" t="s">
        <v>19406</v>
      </c>
      <c r="C6786">
        <f>(1-(B7/100))*61.38</f>
        <v>61.38</v>
      </c>
      <c r="D6786" s="1">
        <v>0</v>
      </c>
      <c r="E6786">
        <f>D6786*C6786</f>
        <v>0</v>
      </c>
      <c r="F6786" s="1" t="s">
        <v>19407</v>
      </c>
      <c r="G6786" s="17">
        <v>71231</v>
      </c>
    </row>
    <row r="6787" spans="1:7">
      <c r="A6787" s="1" t="s">
        <v>19408</v>
      </c>
      <c r="B6787" s="1" t="s">
        <v>19409</v>
      </c>
      <c r="C6787">
        <f>(1-(B7/100))*24.58</f>
        <v>24.58</v>
      </c>
      <c r="D6787" s="1">
        <v>0</v>
      </c>
      <c r="E6787">
        <f>D6787*C6787</f>
        <v>0</v>
      </c>
      <c r="F6787" s="1" t="s">
        <v>19410</v>
      </c>
      <c r="G6787" s="17">
        <v>71234</v>
      </c>
    </row>
    <row r="6788" spans="1:7">
      <c r="A6788" s="1" t="s">
        <v>19411</v>
      </c>
      <c r="B6788" s="1" t="s">
        <v>19412</v>
      </c>
      <c r="C6788">
        <f>(1-(B7/100))*103.99</f>
        <v>103.99</v>
      </c>
      <c r="D6788" s="1">
        <v>0</v>
      </c>
      <c r="E6788">
        <f>D6788*C6788</f>
        <v>0</v>
      </c>
      <c r="F6788" s="1" t="s">
        <v>16</v>
      </c>
      <c r="G6788" s="17">
        <v>71825</v>
      </c>
    </row>
    <row r="6789" spans="1:7">
      <c r="A6789" s="1" t="s">
        <v>19413</v>
      </c>
      <c r="B6789" s="1" t="s">
        <v>19414</v>
      </c>
      <c r="C6789">
        <f>(1-(B7/100))*169.77</f>
        <v>169.77</v>
      </c>
      <c r="D6789" s="1">
        <v>0</v>
      </c>
      <c r="E6789">
        <f>D6789*C6789</f>
        <v>0</v>
      </c>
      <c r="F6789" s="1" t="s">
        <v>16</v>
      </c>
      <c r="G6789" s="17">
        <v>71843</v>
      </c>
    </row>
    <row r="6790" spans="1:7">
      <c r="A6790" s="1" t="s">
        <v>19415</v>
      </c>
      <c r="B6790" s="1" t="s">
        <v>19416</v>
      </c>
      <c r="C6790">
        <f>(1-(B7/100))*360.17</f>
        <v>360.17</v>
      </c>
      <c r="D6790" s="1">
        <v>0</v>
      </c>
      <c r="E6790">
        <f>D6790*C6790</f>
        <v>0</v>
      </c>
      <c r="F6790" s="1" t="s">
        <v>16</v>
      </c>
      <c r="G6790" s="17">
        <v>71846</v>
      </c>
    </row>
    <row r="6791" spans="1:7">
      <c r="A6791" s="1" t="s">
        <v>19417</v>
      </c>
      <c r="B6791" s="1" t="s">
        <v>19418</v>
      </c>
      <c r="C6791">
        <f>(1-(B7/100))*207.42</f>
        <v>207.42</v>
      </c>
      <c r="D6791" s="1">
        <v>0</v>
      </c>
      <c r="E6791">
        <f>D6791*C6791</f>
        <v>0</v>
      </c>
      <c r="F6791" s="1" t="s">
        <v>16</v>
      </c>
      <c r="G6791" s="17">
        <v>71848</v>
      </c>
    </row>
    <row r="6792" spans="1:7">
      <c r="A6792" s="1" t="s">
        <v>19419</v>
      </c>
      <c r="B6792" s="1" t="s">
        <v>19420</v>
      </c>
      <c r="C6792">
        <f>(1-(B7/100))*1163.07</f>
        <v>1163.07</v>
      </c>
      <c r="D6792" s="1">
        <v>0</v>
      </c>
      <c r="E6792">
        <f>D6792*C6792</f>
        <v>0</v>
      </c>
      <c r="F6792" s="1" t="s">
        <v>16</v>
      </c>
      <c r="G6792" s="17">
        <v>71994</v>
      </c>
    </row>
    <row r="6793" spans="1:7">
      <c r="A6793" s="1" t="s">
        <v>19421</v>
      </c>
      <c r="B6793" s="1" t="s">
        <v>19422</v>
      </c>
      <c r="C6793">
        <f>(1-(B7/100))*1615.35</f>
        <v>1615.35</v>
      </c>
      <c r="D6793" s="1">
        <v>0</v>
      </c>
      <c r="E6793">
        <f>D6793*C6793</f>
        <v>0</v>
      </c>
      <c r="F6793" s="1" t="s">
        <v>16</v>
      </c>
      <c r="G6793" s="17">
        <v>72021</v>
      </c>
    </row>
    <row r="6794" spans="1:7">
      <c r="A6794" s="1" t="s">
        <v>19423</v>
      </c>
      <c r="B6794" s="1" t="s">
        <v>19424</v>
      </c>
      <c r="C6794">
        <f>(1-(B7/100))*346.04</f>
        <v>346.04</v>
      </c>
      <c r="D6794" s="1">
        <v>0</v>
      </c>
      <c r="E6794">
        <f>D6794*C6794</f>
        <v>0</v>
      </c>
      <c r="F6794" s="1" t="s">
        <v>16</v>
      </c>
      <c r="G6794" s="17">
        <v>72023</v>
      </c>
    </row>
    <row r="6795" spans="1:7">
      <c r="A6795" s="1" t="s">
        <v>19425</v>
      </c>
      <c r="B6795" s="1" t="s">
        <v>19426</v>
      </c>
      <c r="C6795">
        <f>(1-(B7/100))*314.75</f>
        <v>314.75</v>
      </c>
      <c r="D6795" s="1">
        <v>0</v>
      </c>
      <c r="E6795">
        <f>D6795*C6795</f>
        <v>0</v>
      </c>
      <c r="F6795" s="1" t="s">
        <v>16</v>
      </c>
      <c r="G6795" s="17">
        <v>72025</v>
      </c>
    </row>
    <row r="6796" spans="1:7">
      <c r="A6796" s="1" t="s">
        <v>19427</v>
      </c>
      <c r="B6796" s="1" t="s">
        <v>19428</v>
      </c>
      <c r="C6796">
        <f>(1-(B7/100))*1136.57</f>
        <v>1136.57</v>
      </c>
      <c r="D6796" s="1">
        <v>0</v>
      </c>
      <c r="E6796">
        <f>D6796*C6796</f>
        <v>0</v>
      </c>
      <c r="F6796" s="1" t="s">
        <v>16</v>
      </c>
      <c r="G6796" s="17">
        <v>72031</v>
      </c>
    </row>
    <row r="6797" spans="1:7">
      <c r="A6797" s="1" t="s">
        <v>19429</v>
      </c>
      <c r="B6797" s="1" t="s">
        <v>19430</v>
      </c>
      <c r="C6797">
        <f>(1-(B7/100))*160.02</f>
        <v>160.02</v>
      </c>
      <c r="D6797" s="1">
        <v>0</v>
      </c>
      <c r="E6797">
        <f>D6797*C6797</f>
        <v>0</v>
      </c>
      <c r="F6797" s="1" t="s">
        <v>16</v>
      </c>
      <c r="G6797" s="17">
        <v>72033</v>
      </c>
    </row>
    <row r="6798" spans="1:7">
      <c r="A6798" s="1" t="s">
        <v>19431</v>
      </c>
      <c r="B6798" s="1" t="s">
        <v>19432</v>
      </c>
      <c r="C6798">
        <f>(1-(B7/100))*1795.34</f>
        <v>1795.34</v>
      </c>
      <c r="D6798" s="1">
        <v>0</v>
      </c>
      <c r="E6798">
        <f>D6798*C6798</f>
        <v>0</v>
      </c>
      <c r="F6798" s="1" t="s">
        <v>16</v>
      </c>
      <c r="G6798" s="17">
        <v>72041</v>
      </c>
    </row>
    <row r="6799" spans="1:7">
      <c r="A6799" s="1" t="s">
        <v>19433</v>
      </c>
      <c r="B6799" s="1" t="s">
        <v>19434</v>
      </c>
      <c r="C6799">
        <f>(1-(B7/100))*260.64</f>
        <v>260.64</v>
      </c>
      <c r="D6799" s="1">
        <v>0</v>
      </c>
      <c r="E6799">
        <f>D6799*C6799</f>
        <v>0</v>
      </c>
      <c r="F6799" s="1" t="s">
        <v>16</v>
      </c>
      <c r="G6799" s="17">
        <v>72042</v>
      </c>
    </row>
    <row r="6800" spans="1:7">
      <c r="A6800" s="1" t="s">
        <v>19435</v>
      </c>
      <c r="B6800" s="1" t="s">
        <v>19436</v>
      </c>
      <c r="C6800">
        <f>(1-(B7/100))*2019.21</f>
        <v>2019.21</v>
      </c>
      <c r="D6800" s="1">
        <v>0</v>
      </c>
      <c r="E6800">
        <f>D6800*C6800</f>
        <v>0</v>
      </c>
      <c r="F6800" s="1" t="s">
        <v>16</v>
      </c>
      <c r="G6800" s="17">
        <v>72043</v>
      </c>
    </row>
    <row r="6801" spans="1:7">
      <c r="A6801" s="1" t="s">
        <v>19437</v>
      </c>
      <c r="B6801" s="1" t="s">
        <v>19438</v>
      </c>
      <c r="C6801">
        <f>(1-(B7/100))*456.72</f>
        <v>456.72</v>
      </c>
      <c r="D6801" s="1">
        <v>0</v>
      </c>
      <c r="E6801">
        <f>D6801*C6801</f>
        <v>0</v>
      </c>
      <c r="F6801" s="1" t="s">
        <v>16</v>
      </c>
      <c r="G6801" s="17">
        <v>72055</v>
      </c>
    </row>
    <row r="6802" spans="1:7">
      <c r="A6802" s="1" t="s">
        <v>19439</v>
      </c>
      <c r="B6802" s="1" t="s">
        <v>19440</v>
      </c>
      <c r="C6802">
        <f>(1-(B7/100))*348.95</f>
        <v>348.95</v>
      </c>
      <c r="D6802" s="1">
        <v>0</v>
      </c>
      <c r="E6802">
        <f>D6802*C6802</f>
        <v>0</v>
      </c>
      <c r="F6802" s="1" t="s">
        <v>16</v>
      </c>
      <c r="G6802" s="17">
        <v>72057</v>
      </c>
    </row>
    <row r="6803" spans="1:7">
      <c r="A6803" s="1" t="s">
        <v>19441</v>
      </c>
      <c r="B6803" s="1" t="s">
        <v>19442</v>
      </c>
      <c r="C6803">
        <f>(1-(B7/100))*6304.88</f>
        <v>6304.88</v>
      </c>
      <c r="D6803" s="1">
        <v>0</v>
      </c>
      <c r="E6803">
        <f>D6803*C6803</f>
        <v>0</v>
      </c>
      <c r="F6803" s="1" t="s">
        <v>16</v>
      </c>
      <c r="G6803" s="17">
        <v>72059</v>
      </c>
    </row>
    <row r="6804" spans="1:7">
      <c r="A6804" s="1" t="s">
        <v>19443</v>
      </c>
      <c r="B6804" s="1" t="s">
        <v>19444</v>
      </c>
      <c r="C6804">
        <f>(1-(B7/100))*1251.79</f>
        <v>1251.79</v>
      </c>
      <c r="D6804" s="1">
        <v>0</v>
      </c>
      <c r="E6804">
        <f>D6804*C6804</f>
        <v>0</v>
      </c>
      <c r="F6804" s="1" t="s">
        <v>16</v>
      </c>
      <c r="G6804" s="17">
        <v>72066</v>
      </c>
    </row>
    <row r="6805" spans="1:7">
      <c r="A6805" s="1" t="s">
        <v>19445</v>
      </c>
      <c r="B6805" s="1" t="s">
        <v>19446</v>
      </c>
      <c r="C6805">
        <f>(1-(B7/100))*154.09</f>
        <v>154.09</v>
      </c>
      <c r="D6805" s="1">
        <v>0</v>
      </c>
      <c r="E6805">
        <f>D6805*C6805</f>
        <v>0</v>
      </c>
      <c r="F6805" s="1" t="s">
        <v>16</v>
      </c>
      <c r="G6805" s="17">
        <v>72084</v>
      </c>
    </row>
    <row r="6806" spans="1:7">
      <c r="A6806" s="1" t="s">
        <v>19447</v>
      </c>
      <c r="B6806" s="1" t="s">
        <v>19448</v>
      </c>
      <c r="C6806">
        <f>(1-(B7/100))*6494.69</f>
        <v>6494.69</v>
      </c>
      <c r="D6806" s="1">
        <v>0</v>
      </c>
      <c r="E6806">
        <f>D6806*C6806</f>
        <v>0</v>
      </c>
      <c r="F6806" s="1" t="s">
        <v>16</v>
      </c>
      <c r="G6806" s="17">
        <v>72087</v>
      </c>
    </row>
    <row r="6807" spans="1:7">
      <c r="A6807" s="1" t="s">
        <v>19449</v>
      </c>
      <c r="B6807" s="1" t="s">
        <v>19450</v>
      </c>
      <c r="C6807">
        <f>(1-(B7/100))*803.67</f>
        <v>803.67</v>
      </c>
      <c r="D6807" s="1">
        <v>0</v>
      </c>
      <c r="E6807">
        <f>D6807*C6807</f>
        <v>0</v>
      </c>
      <c r="F6807" s="1" t="s">
        <v>16</v>
      </c>
      <c r="G6807" s="17">
        <v>72091</v>
      </c>
    </row>
    <row r="6808" spans="1:7">
      <c r="A6808" s="1" t="s">
        <v>19451</v>
      </c>
      <c r="B6808" s="1" t="s">
        <v>19452</v>
      </c>
      <c r="C6808">
        <f>(1-(B7/100))*696.78</f>
        <v>696.78</v>
      </c>
      <c r="D6808" s="1">
        <v>0</v>
      </c>
      <c r="E6808">
        <f>D6808*C6808</f>
        <v>0</v>
      </c>
      <c r="F6808" s="1" t="s">
        <v>16</v>
      </c>
      <c r="G6808" s="17">
        <v>72282</v>
      </c>
    </row>
    <row r="6809" spans="1:7">
      <c r="A6809" s="1" t="s">
        <v>19453</v>
      </c>
      <c r="B6809" s="1" t="s">
        <v>19454</v>
      </c>
      <c r="C6809">
        <f>(1-(B7/100))*7637.71</f>
        <v>7637.71</v>
      </c>
      <c r="D6809" s="1">
        <v>0</v>
      </c>
      <c r="E6809">
        <f>D6809*C6809</f>
        <v>0</v>
      </c>
      <c r="F6809" s="1" t="s">
        <v>16</v>
      </c>
      <c r="G6809" s="17">
        <v>72283</v>
      </c>
    </row>
    <row r="6810" spans="1:7">
      <c r="A6810" s="1" t="s">
        <v>19455</v>
      </c>
      <c r="B6810" s="1" t="s">
        <v>19456</v>
      </c>
      <c r="C6810">
        <f>(1-(B7/100))*268.08</f>
        <v>268.08</v>
      </c>
      <c r="D6810" s="1">
        <v>0</v>
      </c>
      <c r="E6810">
        <f>D6810*C6810</f>
        <v>0</v>
      </c>
      <c r="F6810" s="1" t="s">
        <v>16</v>
      </c>
      <c r="G6810" s="17">
        <v>72284</v>
      </c>
    </row>
    <row r="6811" spans="1:7">
      <c r="A6811" s="1" t="s">
        <v>19457</v>
      </c>
      <c r="B6811" s="1" t="s">
        <v>19458</v>
      </c>
      <c r="C6811">
        <f>(1-(B7/100))*327.41</f>
        <v>327.41</v>
      </c>
      <c r="D6811" s="1">
        <v>0</v>
      </c>
      <c r="E6811">
        <f>D6811*C6811</f>
        <v>0</v>
      </c>
      <c r="F6811" s="1" t="s">
        <v>19459</v>
      </c>
      <c r="G6811" s="17">
        <v>72375</v>
      </c>
    </row>
    <row r="6812" spans="1:7">
      <c r="A6812" s="1" t="s">
        <v>19460</v>
      </c>
      <c r="B6812" s="1" t="s">
        <v>19461</v>
      </c>
      <c r="C6812">
        <f>(1-(B7/100))*273.28</f>
        <v>273.28</v>
      </c>
      <c r="D6812" s="1">
        <v>0</v>
      </c>
      <c r="E6812">
        <f>D6812*C6812</f>
        <v>0</v>
      </c>
      <c r="F6812" s="1" t="s">
        <v>16</v>
      </c>
      <c r="G6812" s="17">
        <v>72525</v>
      </c>
    </row>
    <row r="6813" spans="1:7">
      <c r="A6813" s="1" t="s">
        <v>19462</v>
      </c>
      <c r="B6813" s="1" t="s">
        <v>19463</v>
      </c>
      <c r="C6813">
        <f>(1-(B7/100))*1596.72</f>
        <v>1596.72</v>
      </c>
      <c r="D6813" s="1">
        <v>0</v>
      </c>
      <c r="E6813">
        <f>D6813*C6813</f>
        <v>0</v>
      </c>
      <c r="F6813" s="1" t="s">
        <v>16</v>
      </c>
      <c r="G6813" s="17">
        <v>72526</v>
      </c>
    </row>
    <row r="6814" spans="1:7">
      <c r="A6814" s="1" t="s">
        <v>19464</v>
      </c>
      <c r="B6814" s="1" t="s">
        <v>19465</v>
      </c>
      <c r="C6814">
        <f>(1-(B7/100))*409.33</f>
        <v>409.33</v>
      </c>
      <c r="D6814" s="1">
        <v>0</v>
      </c>
      <c r="E6814">
        <f>D6814*C6814</f>
        <v>0</v>
      </c>
      <c r="F6814" s="1" t="s">
        <v>16</v>
      </c>
      <c r="G6814" s="17">
        <v>72527</v>
      </c>
    </row>
    <row r="6815" spans="1:7">
      <c r="A6815" s="1" t="s">
        <v>19466</v>
      </c>
      <c r="B6815" s="1" t="s">
        <v>19467</v>
      </c>
      <c r="C6815">
        <f>(1-(B7/100))*245.57</f>
        <v>245.57</v>
      </c>
      <c r="D6815" s="1">
        <v>0</v>
      </c>
      <c r="E6815">
        <f>D6815*C6815</f>
        <v>0</v>
      </c>
      <c r="F6815" s="1" t="s">
        <v>16</v>
      </c>
      <c r="G6815" s="17">
        <v>72636</v>
      </c>
    </row>
    <row r="6816" spans="1:7">
      <c r="A6816" s="1" t="s">
        <v>19468</v>
      </c>
      <c r="B6816" s="1" t="s">
        <v>19469</v>
      </c>
      <c r="C6816">
        <f>(1-(B7/100))*1637.2</f>
        <v>1637.2</v>
      </c>
      <c r="D6816" s="1">
        <v>0</v>
      </c>
      <c r="E6816">
        <f>D6816*C6816</f>
        <v>0</v>
      </c>
      <c r="F6816" s="1" t="s">
        <v>16</v>
      </c>
      <c r="G6816" s="17">
        <v>72644</v>
      </c>
    </row>
    <row r="6817" spans="1:7">
      <c r="A6817" s="1" t="s">
        <v>19470</v>
      </c>
      <c r="B6817" s="1" t="s">
        <v>19471</v>
      </c>
      <c r="C6817">
        <f>(1-(B7/100))*523.19</f>
        <v>523.19</v>
      </c>
      <c r="D6817" s="1">
        <v>0</v>
      </c>
      <c r="E6817">
        <f>D6817*C6817</f>
        <v>0</v>
      </c>
      <c r="F6817" s="1" t="s">
        <v>16</v>
      </c>
      <c r="G6817" s="17">
        <v>72813</v>
      </c>
    </row>
    <row r="6818" spans="1:7">
      <c r="A6818" s="1" t="s">
        <v>19472</v>
      </c>
      <c r="B6818" s="1" t="s">
        <v>19473</v>
      </c>
      <c r="C6818">
        <f>(1-(B7/100))*1117.83</f>
        <v>1117.83</v>
      </c>
      <c r="D6818" s="1">
        <v>0</v>
      </c>
      <c r="E6818">
        <f>D6818*C6818</f>
        <v>0</v>
      </c>
      <c r="F6818" s="1" t="s">
        <v>16</v>
      </c>
      <c r="G6818" s="17">
        <v>73007</v>
      </c>
    </row>
    <row r="6819" spans="1:7">
      <c r="A6819" s="1" t="s">
        <v>19474</v>
      </c>
      <c r="B6819" s="1" t="s">
        <v>19475</v>
      </c>
      <c r="C6819">
        <f>(1-(B7/100))*40.94</f>
        <v>40.94</v>
      </c>
      <c r="D6819" s="1">
        <v>0</v>
      </c>
      <c r="E6819">
        <f>D6819*C6819</f>
        <v>0</v>
      </c>
      <c r="F6819" s="1" t="s">
        <v>16</v>
      </c>
      <c r="G6819" s="17">
        <v>73025</v>
      </c>
    </row>
    <row r="6820" spans="1:7">
      <c r="A6820" s="1" t="s">
        <v>19476</v>
      </c>
      <c r="B6820" s="1" t="s">
        <v>19477</v>
      </c>
      <c r="C6820">
        <f>(1-(B7/100))*245.57</f>
        <v>245.57</v>
      </c>
      <c r="D6820" s="1">
        <v>0</v>
      </c>
      <c r="E6820">
        <f>D6820*C6820</f>
        <v>0</v>
      </c>
      <c r="F6820" s="1" t="s">
        <v>16</v>
      </c>
      <c r="G6820" s="17">
        <v>73029</v>
      </c>
    </row>
    <row r="6821" spans="1:7">
      <c r="A6821" s="1" t="s">
        <v>19478</v>
      </c>
      <c r="B6821" s="1" t="s">
        <v>19479</v>
      </c>
      <c r="C6821">
        <f>(1-(B7/100))*78.57</f>
        <v>78.57</v>
      </c>
      <c r="D6821" s="1">
        <v>0</v>
      </c>
      <c r="E6821">
        <f>D6821*C6821</f>
        <v>0</v>
      </c>
      <c r="F6821" s="1" t="s">
        <v>16</v>
      </c>
      <c r="G6821" s="17">
        <v>73060</v>
      </c>
    </row>
    <row r="6822" spans="1:7">
      <c r="A6822" s="1" t="s">
        <v>19480</v>
      </c>
      <c r="B6822" s="1" t="s">
        <v>19481</v>
      </c>
      <c r="C6822">
        <f>(1-(B7/100))*78.57</f>
        <v>78.57</v>
      </c>
      <c r="D6822" s="1">
        <v>0</v>
      </c>
      <c r="E6822">
        <f>D6822*C6822</f>
        <v>0</v>
      </c>
      <c r="F6822" s="1" t="s">
        <v>19482</v>
      </c>
      <c r="G6822" s="17">
        <v>73062</v>
      </c>
    </row>
    <row r="6823" spans="1:7">
      <c r="A6823" s="1" t="s">
        <v>19483</v>
      </c>
      <c r="B6823" s="1" t="s">
        <v>19484</v>
      </c>
      <c r="C6823">
        <f>(1-(B7/100))*104.78</f>
        <v>104.78</v>
      </c>
      <c r="D6823" s="1">
        <v>0</v>
      </c>
      <c r="E6823">
        <f>D6823*C6823</f>
        <v>0</v>
      </c>
      <c r="F6823" s="1" t="s">
        <v>16</v>
      </c>
      <c r="G6823" s="17">
        <v>73064</v>
      </c>
    </row>
    <row r="6824" spans="1:7">
      <c r="A6824" s="1" t="s">
        <v>19485</v>
      </c>
      <c r="B6824" s="1" t="s">
        <v>19486</v>
      </c>
      <c r="C6824">
        <f>(1-(B7/100))*81.87</f>
        <v>81.87</v>
      </c>
      <c r="D6824" s="1">
        <v>0</v>
      </c>
      <c r="E6824">
        <f>D6824*C6824</f>
        <v>0</v>
      </c>
      <c r="F6824" s="1" t="s">
        <v>16</v>
      </c>
      <c r="G6824" s="17">
        <v>73133</v>
      </c>
    </row>
    <row r="6825" spans="1:7">
      <c r="A6825" s="1" t="s">
        <v>19487</v>
      </c>
      <c r="B6825" s="1" t="s">
        <v>19488</v>
      </c>
      <c r="C6825">
        <f>(1-(B7/100))*80.21</f>
        <v>80.21</v>
      </c>
      <c r="D6825" s="1">
        <v>0</v>
      </c>
      <c r="E6825">
        <f>D6825*C6825</f>
        <v>0</v>
      </c>
      <c r="F6825" s="1" t="s">
        <v>19489</v>
      </c>
      <c r="G6825" s="17">
        <v>73333</v>
      </c>
    </row>
    <row r="6826" spans="1:7">
      <c r="A6826" s="1" t="s">
        <v>19490</v>
      </c>
      <c r="B6826" s="1" t="s">
        <v>19491</v>
      </c>
      <c r="C6826">
        <f>(1-(B7/100))*245.57</f>
        <v>245.57</v>
      </c>
      <c r="D6826" s="1">
        <v>0</v>
      </c>
      <c r="E6826">
        <f>D6826*C6826</f>
        <v>0</v>
      </c>
      <c r="F6826" s="1" t="s">
        <v>16</v>
      </c>
      <c r="G6826" s="17">
        <v>73335</v>
      </c>
    </row>
    <row r="6827" spans="1:7">
      <c r="A6827" s="1" t="s">
        <v>19492</v>
      </c>
      <c r="B6827" s="1" t="s">
        <v>19493</v>
      </c>
      <c r="C6827">
        <f>(1-(B7/100))*1187.32</f>
        <v>1187.32</v>
      </c>
      <c r="D6827" s="1">
        <v>0</v>
      </c>
      <c r="E6827">
        <f>D6827*C6827</f>
        <v>0</v>
      </c>
      <c r="F6827" s="1" t="s">
        <v>16</v>
      </c>
      <c r="G6827" s="17">
        <v>73361</v>
      </c>
    </row>
    <row r="6828" spans="1:7">
      <c r="A6828" s="1" t="s">
        <v>19494</v>
      </c>
      <c r="B6828" s="1" t="s">
        <v>19495</v>
      </c>
      <c r="C6828">
        <f>(1-(B7/100))*1038.9</f>
        <v>1038.9</v>
      </c>
      <c r="D6828" s="1">
        <v>0</v>
      </c>
      <c r="E6828">
        <f>D6828*C6828</f>
        <v>0</v>
      </c>
      <c r="F6828" s="1" t="s">
        <v>16</v>
      </c>
      <c r="G6828" s="17">
        <v>73362</v>
      </c>
    </row>
    <row r="6829" spans="1:7">
      <c r="A6829" s="1" t="s">
        <v>19496</v>
      </c>
      <c r="B6829" s="1" t="s">
        <v>19497</v>
      </c>
      <c r="C6829">
        <f>(1-(B7/100))*1038.9</f>
        <v>1038.9</v>
      </c>
      <c r="D6829" s="1">
        <v>0</v>
      </c>
      <c r="E6829">
        <f>D6829*C6829</f>
        <v>0</v>
      </c>
      <c r="F6829" s="1" t="s">
        <v>16</v>
      </c>
      <c r="G6829" s="17">
        <v>73363</v>
      </c>
    </row>
    <row r="6830" spans="1:7">
      <c r="A6830" s="1" t="s">
        <v>19498</v>
      </c>
      <c r="B6830" s="1" t="s">
        <v>19499</v>
      </c>
      <c r="C6830">
        <f>(1-(B7/100))*136.72</f>
        <v>136.72</v>
      </c>
      <c r="D6830" s="1">
        <v>0</v>
      </c>
      <c r="E6830">
        <f>D6830*C6830</f>
        <v>0</v>
      </c>
      <c r="F6830" s="1" t="s">
        <v>16</v>
      </c>
      <c r="G6830" s="17">
        <v>73364</v>
      </c>
    </row>
    <row r="6831" spans="1:7">
      <c r="A6831" s="1" t="s">
        <v>19500</v>
      </c>
      <c r="B6831" s="1" t="s">
        <v>19467</v>
      </c>
      <c r="C6831">
        <f>(1-(B7/100))*204.64</f>
        <v>204.64</v>
      </c>
      <c r="D6831" s="1">
        <v>0</v>
      </c>
      <c r="E6831">
        <f>D6831*C6831</f>
        <v>0</v>
      </c>
      <c r="F6831" s="1" t="s">
        <v>16</v>
      </c>
      <c r="G6831" s="17">
        <v>73367</v>
      </c>
    </row>
    <row r="6832" spans="1:7">
      <c r="A6832" s="1" t="s">
        <v>19501</v>
      </c>
      <c r="B6832" s="1" t="s">
        <v>19502</v>
      </c>
      <c r="C6832">
        <f>(1-(B7/100))*1473.48</f>
        <v>1473.48</v>
      </c>
      <c r="D6832" s="1">
        <v>0</v>
      </c>
      <c r="E6832">
        <f>D6832*C6832</f>
        <v>0</v>
      </c>
      <c r="F6832" s="1" t="s">
        <v>16</v>
      </c>
      <c r="G6832" s="17">
        <v>73371</v>
      </c>
    </row>
    <row r="6833" spans="1:7">
      <c r="A6833" s="1" t="s">
        <v>19503</v>
      </c>
      <c r="B6833" s="1" t="s">
        <v>19504</v>
      </c>
      <c r="C6833">
        <f>(1-(B7/100))*476.35</f>
        <v>476.35</v>
      </c>
      <c r="D6833" s="1">
        <v>0</v>
      </c>
      <c r="E6833">
        <f>D6833*C6833</f>
        <v>0</v>
      </c>
      <c r="F6833" s="1" t="s">
        <v>16</v>
      </c>
      <c r="G6833" s="17">
        <v>73374</v>
      </c>
    </row>
    <row r="6834" spans="1:7">
      <c r="A6834" s="1" t="s">
        <v>19505</v>
      </c>
      <c r="B6834" s="1" t="s">
        <v>19506</v>
      </c>
      <c r="C6834">
        <f>(1-(B7/100))*284.34</f>
        <v>284.34</v>
      </c>
      <c r="D6834" s="1">
        <v>0</v>
      </c>
      <c r="E6834">
        <f>D6834*C6834</f>
        <v>0</v>
      </c>
      <c r="F6834" s="1" t="s">
        <v>16</v>
      </c>
      <c r="G6834" s="17">
        <v>73709</v>
      </c>
    </row>
    <row r="6835" spans="1:7">
      <c r="A6835" s="1" t="s">
        <v>19507</v>
      </c>
      <c r="B6835" s="1" t="s">
        <v>19508</v>
      </c>
      <c r="C6835">
        <f>(1-(B7/100))*950.16</f>
        <v>950.16</v>
      </c>
      <c r="D6835" s="1">
        <v>0</v>
      </c>
      <c r="E6835">
        <f>D6835*C6835</f>
        <v>0</v>
      </c>
      <c r="F6835" s="1" t="s">
        <v>16</v>
      </c>
      <c r="G6835" s="17">
        <v>73710</v>
      </c>
    </row>
    <row r="6836" spans="1:7">
      <c r="A6836" s="1" t="s">
        <v>19509</v>
      </c>
      <c r="B6836" s="1" t="s">
        <v>19510</v>
      </c>
      <c r="C6836">
        <f>(1-(B7/100))*275.06</f>
        <v>275.06</v>
      </c>
      <c r="D6836" s="1">
        <v>0</v>
      </c>
      <c r="E6836">
        <f>D6836*C6836</f>
        <v>0</v>
      </c>
      <c r="F6836" s="1" t="s">
        <v>16</v>
      </c>
      <c r="G6836" s="17">
        <v>73776</v>
      </c>
    </row>
    <row r="6837" spans="1:7">
      <c r="A6837" s="1" t="s">
        <v>19511</v>
      </c>
      <c r="B6837" s="1" t="s">
        <v>19512</v>
      </c>
      <c r="C6837">
        <f>(1-(B7/100))*654.88</f>
        <v>654.88</v>
      </c>
      <c r="D6837" s="1">
        <v>0</v>
      </c>
      <c r="E6837">
        <f>D6837*C6837</f>
        <v>0</v>
      </c>
      <c r="F6837" s="1" t="s">
        <v>16</v>
      </c>
      <c r="G6837" s="17">
        <v>73787</v>
      </c>
    </row>
    <row r="6838" spans="1:7">
      <c r="A6838" s="1" t="s">
        <v>19513</v>
      </c>
      <c r="B6838" s="1" t="s">
        <v>19514</v>
      </c>
      <c r="C6838">
        <f>(1-(B7/100))*4584.09</f>
        <v>4584.09</v>
      </c>
      <c r="D6838" s="1">
        <v>0</v>
      </c>
      <c r="E6838">
        <f>D6838*C6838</f>
        <v>0</v>
      </c>
      <c r="F6838" s="1" t="s">
        <v>16</v>
      </c>
      <c r="G6838" s="17">
        <v>73794</v>
      </c>
    </row>
    <row r="6839" spans="1:7">
      <c r="A6839" s="1" t="s">
        <v>19515</v>
      </c>
      <c r="B6839" s="1" t="s">
        <v>19516</v>
      </c>
      <c r="C6839">
        <f>(1-(B7/100))*873.19</f>
        <v>873.19</v>
      </c>
      <c r="D6839" s="1">
        <v>0</v>
      </c>
      <c r="E6839">
        <f>D6839*C6839</f>
        <v>0</v>
      </c>
      <c r="F6839" s="1" t="s">
        <v>16</v>
      </c>
      <c r="G6839" s="17">
        <v>73817</v>
      </c>
    </row>
    <row r="6840" spans="1:7">
      <c r="A6840" s="1" t="s">
        <v>19517</v>
      </c>
      <c r="B6840" s="1" t="s">
        <v>19518</v>
      </c>
      <c r="C6840">
        <f>(1-(B7/100))*458.42</f>
        <v>458.42</v>
      </c>
      <c r="D6840" s="1">
        <v>0</v>
      </c>
      <c r="E6840">
        <f>D6840*C6840</f>
        <v>0</v>
      </c>
      <c r="F6840" s="1" t="s">
        <v>16</v>
      </c>
      <c r="G6840" s="17">
        <v>73836</v>
      </c>
    </row>
    <row r="6841" spans="1:7">
      <c r="A6841" s="1" t="s">
        <v>19519</v>
      </c>
      <c r="B6841" s="1" t="s">
        <v>19520</v>
      </c>
      <c r="C6841">
        <f>(1-(B7/100))*49.07</f>
        <v>49.07</v>
      </c>
      <c r="D6841" s="1">
        <v>0</v>
      </c>
      <c r="E6841">
        <f>D6841*C6841</f>
        <v>0</v>
      </c>
      <c r="F6841" s="1" t="s">
        <v>19521</v>
      </c>
      <c r="G6841" s="17">
        <v>73841</v>
      </c>
    </row>
    <row r="6842" spans="1:7">
      <c r="A6842" s="1" t="s">
        <v>19522</v>
      </c>
      <c r="B6842" s="1" t="s">
        <v>19523</v>
      </c>
      <c r="C6842">
        <f>(1-(B7/100))*382</f>
        <v>382</v>
      </c>
      <c r="D6842" s="1">
        <v>0</v>
      </c>
      <c r="E6842">
        <f>D6842*C6842</f>
        <v>0</v>
      </c>
      <c r="F6842" s="1" t="s">
        <v>16</v>
      </c>
      <c r="G6842" s="17">
        <v>73849</v>
      </c>
    </row>
    <row r="6843" spans="1:7">
      <c r="A6843" s="1" t="s">
        <v>19524</v>
      </c>
      <c r="B6843" s="1" t="s">
        <v>19525</v>
      </c>
      <c r="C6843">
        <f>(1-(B7/100))*3612.8</f>
        <v>3612.8</v>
      </c>
      <c r="D6843" s="1">
        <v>0</v>
      </c>
      <c r="E6843">
        <f>D6843*C6843</f>
        <v>0</v>
      </c>
      <c r="F6843" s="1" t="s">
        <v>16</v>
      </c>
      <c r="G6843" s="17">
        <v>73870</v>
      </c>
    </row>
    <row r="6844" spans="1:7">
      <c r="A6844" s="1" t="s">
        <v>19526</v>
      </c>
      <c r="B6844" s="1" t="s">
        <v>19527</v>
      </c>
      <c r="C6844">
        <f>(1-(B7/100))*240.53</f>
        <v>240.53</v>
      </c>
      <c r="D6844" s="1">
        <v>0</v>
      </c>
      <c r="E6844">
        <f>D6844*C6844</f>
        <v>0</v>
      </c>
      <c r="F6844" s="1" t="s">
        <v>16</v>
      </c>
      <c r="G6844" s="17">
        <v>74045</v>
      </c>
    </row>
    <row r="6845" spans="1:7">
      <c r="A6845" s="1" t="s">
        <v>19528</v>
      </c>
      <c r="B6845" s="1" t="s">
        <v>19529</v>
      </c>
      <c r="C6845">
        <f>(1-(B7/100))*1617.09</f>
        <v>1617.09</v>
      </c>
      <c r="D6845" s="1">
        <v>0</v>
      </c>
      <c r="E6845">
        <f>D6845*C6845</f>
        <v>0</v>
      </c>
      <c r="F6845" s="1" t="s">
        <v>16</v>
      </c>
      <c r="G6845" s="17">
        <v>74057</v>
      </c>
    </row>
    <row r="6846" spans="1:7">
      <c r="A6846" s="1" t="s">
        <v>19530</v>
      </c>
      <c r="B6846" s="1" t="s">
        <v>19531</v>
      </c>
      <c r="C6846">
        <f>(1-(B7/100))*245.57</f>
        <v>245.57</v>
      </c>
      <c r="D6846" s="1">
        <v>0</v>
      </c>
      <c r="E6846">
        <f>D6846*C6846</f>
        <v>0</v>
      </c>
      <c r="F6846" s="1" t="s">
        <v>19532</v>
      </c>
      <c r="G6846" s="17">
        <v>74126</v>
      </c>
    </row>
    <row r="6847" spans="1:7">
      <c r="A6847" s="1" t="s">
        <v>19533</v>
      </c>
      <c r="B6847" s="1" t="s">
        <v>19380</v>
      </c>
      <c r="C6847">
        <f>(1-(B7/100))*57.32</f>
        <v>57.32</v>
      </c>
      <c r="D6847" s="1">
        <v>0</v>
      </c>
      <c r="E6847">
        <f>D6847*C6847</f>
        <v>0</v>
      </c>
      <c r="F6847" s="1" t="s">
        <v>16</v>
      </c>
      <c r="G6847" s="17">
        <v>74138</v>
      </c>
    </row>
    <row r="6848" spans="1:7">
      <c r="A6848" s="1" t="s">
        <v>19534</v>
      </c>
      <c r="B6848" s="1" t="s">
        <v>19535</v>
      </c>
      <c r="C6848">
        <f>(1-(B7/100))*57.32</f>
        <v>57.32</v>
      </c>
      <c r="D6848" s="1">
        <v>0</v>
      </c>
      <c r="E6848">
        <f>D6848*C6848</f>
        <v>0</v>
      </c>
      <c r="F6848" s="1" t="s">
        <v>16</v>
      </c>
      <c r="G6848" s="17">
        <v>74140</v>
      </c>
    </row>
    <row r="6849" spans="1:7">
      <c r="A6849" s="1" t="s">
        <v>19536</v>
      </c>
      <c r="B6849" s="1" t="s">
        <v>19537</v>
      </c>
      <c r="C6849">
        <f>(1-(B7/100))*86.14</f>
        <v>86.14</v>
      </c>
      <c r="D6849" s="1">
        <v>0</v>
      </c>
      <c r="E6849">
        <f>D6849*C6849</f>
        <v>0</v>
      </c>
      <c r="F6849" s="1" t="s">
        <v>19538</v>
      </c>
      <c r="G6849" s="17">
        <v>74210</v>
      </c>
    </row>
    <row r="6850" spans="1:7">
      <c r="A6850" s="1" t="s">
        <v>19539</v>
      </c>
      <c r="B6850" s="1" t="s">
        <v>19540</v>
      </c>
      <c r="C6850">
        <f>(1-(B7/100))*1073.99</f>
        <v>1073.99</v>
      </c>
      <c r="D6850" s="1">
        <v>0</v>
      </c>
      <c r="E6850">
        <f>D6850*C6850</f>
        <v>0</v>
      </c>
      <c r="F6850" s="1" t="s">
        <v>16</v>
      </c>
      <c r="G6850" s="17">
        <v>74226</v>
      </c>
    </row>
    <row r="6851" spans="1:7">
      <c r="A6851" s="1" t="s">
        <v>19541</v>
      </c>
      <c r="B6851" s="1" t="s">
        <v>19542</v>
      </c>
      <c r="C6851">
        <f>(1-(B7/100))*57.32</f>
        <v>57.32</v>
      </c>
      <c r="D6851" s="1">
        <v>0</v>
      </c>
      <c r="E6851">
        <f>D6851*C6851</f>
        <v>0</v>
      </c>
      <c r="F6851" s="1" t="s">
        <v>19543</v>
      </c>
      <c r="G6851" s="17">
        <v>74229</v>
      </c>
    </row>
    <row r="6852" spans="1:7">
      <c r="A6852" s="1" t="s">
        <v>19544</v>
      </c>
      <c r="B6852" s="1" t="s">
        <v>19545</v>
      </c>
      <c r="C6852">
        <f>(1-(B7/100))*290.92</f>
        <v>290.92</v>
      </c>
      <c r="D6852" s="1">
        <v>0</v>
      </c>
      <c r="E6852">
        <f>D6852*C6852</f>
        <v>0</v>
      </c>
      <c r="F6852" s="1" t="s">
        <v>19546</v>
      </c>
      <c r="G6852" s="17">
        <v>74233</v>
      </c>
    </row>
    <row r="6853" spans="1:7">
      <c r="A6853" s="1" t="s">
        <v>19547</v>
      </c>
      <c r="B6853" s="1" t="s">
        <v>19548</v>
      </c>
      <c r="C6853">
        <f>(1-(B7/100))*122.82</f>
        <v>122.82</v>
      </c>
      <c r="D6853" s="1">
        <v>0</v>
      </c>
      <c r="E6853">
        <f>D6853*C6853</f>
        <v>0</v>
      </c>
      <c r="F6853" s="1" t="s">
        <v>16</v>
      </c>
      <c r="G6853" s="17">
        <v>85589</v>
      </c>
    </row>
    <row r="6854" spans="1:7">
      <c r="A6854" s="1" t="s">
        <v>19549</v>
      </c>
      <c r="B6854" s="1" t="s">
        <v>19550</v>
      </c>
      <c r="C6854">
        <f>(1-(B7/100))*81.87</f>
        <v>81.87</v>
      </c>
      <c r="D6854" s="1">
        <v>0</v>
      </c>
      <c r="E6854">
        <f>D6854*C6854</f>
        <v>0</v>
      </c>
      <c r="F6854" s="1" t="s">
        <v>19551</v>
      </c>
      <c r="G6854" s="17">
        <v>85594</v>
      </c>
    </row>
    <row r="6855" spans="1:7">
      <c r="A6855" s="1" t="s">
        <v>19552</v>
      </c>
      <c r="B6855" s="1" t="s">
        <v>19553</v>
      </c>
      <c r="C6855">
        <f>(1-(B7/100))*713.73</f>
        <v>713.73</v>
      </c>
      <c r="D6855" s="1">
        <v>0</v>
      </c>
      <c r="E6855">
        <f>D6855*C6855</f>
        <v>0</v>
      </c>
      <c r="F6855" s="1" t="s">
        <v>16</v>
      </c>
      <c r="G6855" s="17">
        <v>85602</v>
      </c>
    </row>
    <row r="6856" spans="1:7">
      <c r="A6856" s="1" t="s">
        <v>19554</v>
      </c>
      <c r="B6856" s="1" t="s">
        <v>19555</v>
      </c>
      <c r="C6856">
        <f>(1-(B7/100))*547.46</f>
        <v>547.46</v>
      </c>
      <c r="D6856" s="1">
        <v>0</v>
      </c>
      <c r="E6856">
        <f>D6856*C6856</f>
        <v>0</v>
      </c>
      <c r="F6856" s="1" t="s">
        <v>16</v>
      </c>
      <c r="G6856" s="17">
        <v>85603</v>
      </c>
    </row>
    <row r="6857" spans="1:7">
      <c r="A6857" s="1" t="s">
        <v>19556</v>
      </c>
      <c r="B6857" s="1" t="s">
        <v>19557</v>
      </c>
      <c r="C6857">
        <f>(1-(B7/100))*3353.48</f>
        <v>3353.48</v>
      </c>
      <c r="D6857" s="1">
        <v>0</v>
      </c>
      <c r="E6857">
        <f>D6857*C6857</f>
        <v>0</v>
      </c>
      <c r="F6857" s="1" t="s">
        <v>16</v>
      </c>
      <c r="G6857" s="17">
        <v>85627</v>
      </c>
    </row>
    <row r="6858" spans="1:7">
      <c r="A6858" s="1" t="s">
        <v>19558</v>
      </c>
      <c r="B6858" s="1" t="s">
        <v>19559</v>
      </c>
      <c r="C6858">
        <f>(1-(B7/100))*132.25</f>
        <v>132.25</v>
      </c>
      <c r="D6858" s="1">
        <v>0</v>
      </c>
      <c r="E6858">
        <f>D6858*C6858</f>
        <v>0</v>
      </c>
      <c r="F6858" s="1" t="s">
        <v>16</v>
      </c>
      <c r="G6858" s="17">
        <v>85668</v>
      </c>
    </row>
    <row r="6859" spans="1:7">
      <c r="A6859" s="1" t="s">
        <v>19560</v>
      </c>
      <c r="B6859" s="1" t="s">
        <v>19561</v>
      </c>
      <c r="C6859">
        <f>(1-(B7/100))*57.32</f>
        <v>57.32</v>
      </c>
      <c r="D6859" s="1">
        <v>0</v>
      </c>
      <c r="E6859">
        <f>D6859*C6859</f>
        <v>0</v>
      </c>
      <c r="F6859" s="1" t="s">
        <v>16</v>
      </c>
      <c r="G6859" s="17">
        <v>86105</v>
      </c>
    </row>
    <row r="6860" spans="1:7">
      <c r="A6860" s="1" t="s">
        <v>19562</v>
      </c>
      <c r="B6860" s="1" t="s">
        <v>19563</v>
      </c>
      <c r="C6860">
        <f>(1-(B7/100))*73.66</f>
        <v>73.66</v>
      </c>
      <c r="D6860" s="1">
        <v>0</v>
      </c>
      <c r="E6860">
        <f>D6860*C6860</f>
        <v>0</v>
      </c>
      <c r="F6860" s="1" t="s">
        <v>16</v>
      </c>
      <c r="G6860" s="17">
        <v>86114</v>
      </c>
    </row>
    <row r="6861" spans="1:7">
      <c r="A6861" s="1" t="s">
        <v>19564</v>
      </c>
      <c r="B6861" s="1" t="s">
        <v>19565</v>
      </c>
      <c r="C6861">
        <f>(1-(B7/100))*73.66</f>
        <v>73.66</v>
      </c>
      <c r="D6861" s="1">
        <v>0</v>
      </c>
      <c r="E6861">
        <f>D6861*C6861</f>
        <v>0</v>
      </c>
      <c r="F6861" s="1" t="s">
        <v>19566</v>
      </c>
      <c r="G6861" s="17">
        <v>86115</v>
      </c>
    </row>
    <row r="6862" spans="1:7">
      <c r="A6862" s="1" t="s">
        <v>19567</v>
      </c>
      <c r="B6862" s="1" t="s">
        <v>19568</v>
      </c>
      <c r="C6862">
        <f>(1-(B7/100))*1077.76</f>
        <v>1077.76</v>
      </c>
      <c r="D6862" s="1">
        <v>0</v>
      </c>
      <c r="E6862">
        <f>D6862*C6862</f>
        <v>0</v>
      </c>
      <c r="F6862" s="1" t="s">
        <v>16</v>
      </c>
      <c r="G6862" s="17">
        <v>86208</v>
      </c>
    </row>
    <row r="6863" spans="1:7">
      <c r="A6863" s="1" t="s">
        <v>19569</v>
      </c>
      <c r="B6863" s="1" t="s">
        <v>19570</v>
      </c>
      <c r="C6863">
        <f>(1-(B7/100))*122.82</f>
        <v>122.82</v>
      </c>
      <c r="D6863" s="1">
        <v>0</v>
      </c>
      <c r="E6863">
        <f>D6863*C6863</f>
        <v>0</v>
      </c>
      <c r="F6863" s="1" t="s">
        <v>16</v>
      </c>
      <c r="G6863" s="17">
        <v>86317</v>
      </c>
    </row>
    <row r="6864" spans="1:7">
      <c r="A6864" s="1" t="s">
        <v>19571</v>
      </c>
      <c r="B6864" s="1" t="s">
        <v>19572</v>
      </c>
      <c r="C6864">
        <f>(1-(B7/100))*214.67</f>
        <v>214.67</v>
      </c>
      <c r="D6864" s="1">
        <v>0</v>
      </c>
      <c r="E6864">
        <f>D6864*C6864</f>
        <v>0</v>
      </c>
      <c r="F6864" s="1" t="s">
        <v>16</v>
      </c>
      <c r="G6864" s="17">
        <v>86340</v>
      </c>
    </row>
    <row r="6865" spans="1:7">
      <c r="A6865" s="1" t="s">
        <v>19573</v>
      </c>
      <c r="B6865" s="1" t="s">
        <v>19574</v>
      </c>
      <c r="C6865">
        <f>(1-(B7/100))*573.01</f>
        <v>573.01</v>
      </c>
      <c r="D6865" s="1">
        <v>0</v>
      </c>
      <c r="E6865">
        <f>D6865*C6865</f>
        <v>0</v>
      </c>
      <c r="F6865" s="1" t="s">
        <v>16</v>
      </c>
      <c r="G6865" s="17">
        <v>86857</v>
      </c>
    </row>
    <row r="6866" spans="1:7">
      <c r="A6866" s="1" t="s">
        <v>19575</v>
      </c>
      <c r="B6866" s="1" t="s">
        <v>19576</v>
      </c>
      <c r="C6866">
        <f>(1-(B7/100))*818.6</f>
        <v>818.6</v>
      </c>
      <c r="D6866" s="1">
        <v>0</v>
      </c>
      <c r="E6866">
        <f>D6866*C6866</f>
        <v>0</v>
      </c>
      <c r="F6866" s="1" t="s">
        <v>16</v>
      </c>
      <c r="G6866" s="17">
        <v>86858</v>
      </c>
    </row>
    <row r="6867" spans="1:7">
      <c r="A6867" s="1" t="s">
        <v>19577</v>
      </c>
      <c r="B6867" s="1" t="s">
        <v>19578</v>
      </c>
      <c r="C6867">
        <f>(1-(B7/100))*818.6</f>
        <v>818.6</v>
      </c>
      <c r="D6867" s="1">
        <v>0</v>
      </c>
      <c r="E6867">
        <f>D6867*C6867</f>
        <v>0</v>
      </c>
      <c r="F6867" s="1" t="s">
        <v>16</v>
      </c>
      <c r="G6867" s="17">
        <v>86865</v>
      </c>
    </row>
    <row r="6868" spans="1:7">
      <c r="A6868" s="1" t="s">
        <v>19579</v>
      </c>
      <c r="B6868" s="1" t="s">
        <v>19580</v>
      </c>
      <c r="C6868">
        <f>(1-(B7/100))*1184.82</f>
        <v>1184.82</v>
      </c>
      <c r="D6868" s="1">
        <v>0</v>
      </c>
      <c r="E6868">
        <f>D6868*C6868</f>
        <v>0</v>
      </c>
      <c r="F6868" s="1" t="s">
        <v>19581</v>
      </c>
      <c r="G6868" s="17">
        <v>86919</v>
      </c>
    </row>
    <row r="6869" spans="1:7">
      <c r="A6869" s="1" t="s">
        <v>19582</v>
      </c>
      <c r="B6869" s="1" t="s">
        <v>19486</v>
      </c>
      <c r="C6869">
        <f>(1-(B7/100))*81.87</f>
        <v>81.87</v>
      </c>
      <c r="D6869" s="1">
        <v>0</v>
      </c>
      <c r="E6869">
        <f>D6869*C6869</f>
        <v>0</v>
      </c>
      <c r="F6869" s="1" t="s">
        <v>16</v>
      </c>
      <c r="G6869" s="17">
        <v>86921</v>
      </c>
    </row>
    <row r="6870" spans="1:7">
      <c r="A6870" s="1" t="s">
        <v>19583</v>
      </c>
      <c r="B6870" s="1" t="s">
        <v>19584</v>
      </c>
      <c r="C6870">
        <f>(1-(B7/100))*1803.69</f>
        <v>1803.69</v>
      </c>
      <c r="D6870" s="1">
        <v>0</v>
      </c>
      <c r="E6870">
        <f>D6870*C6870</f>
        <v>0</v>
      </c>
      <c r="F6870" s="1" t="s">
        <v>16</v>
      </c>
      <c r="G6870" s="17">
        <v>86951</v>
      </c>
    </row>
    <row r="6871" spans="1:7">
      <c r="A6871" s="1" t="s">
        <v>19585</v>
      </c>
      <c r="B6871" s="1" t="s">
        <v>19586</v>
      </c>
      <c r="C6871">
        <f>(1-(B7/100))*1047.82</f>
        <v>1047.82</v>
      </c>
      <c r="D6871" s="1">
        <v>0</v>
      </c>
      <c r="E6871">
        <f>D6871*C6871</f>
        <v>0</v>
      </c>
      <c r="F6871" s="1" t="s">
        <v>16</v>
      </c>
      <c r="G6871" s="17">
        <v>87239</v>
      </c>
    </row>
    <row r="6872" spans="1:7">
      <c r="A6872" s="16"/>
      <c r="B6872" s="16" t="s">
        <v>19587</v>
      </c>
      <c r="C6872" s="16"/>
      <c r="D6872" s="16"/>
      <c r="E6872" s="16"/>
      <c r="F6872" s="16"/>
    </row>
    <row r="6873" spans="1:7">
      <c r="A6873" s="1">
        <v>20210902</v>
      </c>
      <c r="B6873" s="1" t="s">
        <v>19588</v>
      </c>
      <c r="C6873">
        <f>(1-(B7/100))*434.77</f>
        <v>434.77</v>
      </c>
      <c r="D6873" s="1">
        <v>0</v>
      </c>
      <c r="E6873">
        <f>D6873*C6873</f>
        <v>0</v>
      </c>
      <c r="F6873" s="1" t="s">
        <v>19589</v>
      </c>
      <c r="G6873" s="17">
        <v>62797</v>
      </c>
    </row>
    <row r="6874" spans="1:7">
      <c r="A6874" s="1" t="s">
        <v>19590</v>
      </c>
      <c r="B6874" s="1" t="s">
        <v>19591</v>
      </c>
      <c r="C6874">
        <f>(1-(B7/100))*434.77</f>
        <v>434.77</v>
      </c>
      <c r="D6874" s="1">
        <v>0</v>
      </c>
      <c r="E6874">
        <f>D6874*C6874</f>
        <v>0</v>
      </c>
      <c r="F6874" s="1" t="s">
        <v>19592</v>
      </c>
      <c r="G6874" s="17">
        <v>62799</v>
      </c>
    </row>
    <row r="6875" spans="1:7">
      <c r="A6875" s="1" t="s">
        <v>19593</v>
      </c>
      <c r="B6875" s="1" t="s">
        <v>19594</v>
      </c>
      <c r="C6875">
        <f>(1-(B7/100))*434.77</f>
        <v>434.77</v>
      </c>
      <c r="D6875" s="1">
        <v>0</v>
      </c>
      <c r="E6875">
        <f>D6875*C6875</f>
        <v>0</v>
      </c>
      <c r="F6875" s="1" t="s">
        <v>19595</v>
      </c>
      <c r="G6875" s="17">
        <v>62800</v>
      </c>
    </row>
    <row r="6876" spans="1:7">
      <c r="A6876" s="1" t="s">
        <v>19596</v>
      </c>
      <c r="B6876" s="1" t="s">
        <v>19597</v>
      </c>
      <c r="C6876">
        <f>(1-(B7/100))*143.71</f>
        <v>143.71</v>
      </c>
      <c r="D6876" s="1">
        <v>0</v>
      </c>
      <c r="E6876">
        <f>D6876*C6876</f>
        <v>0</v>
      </c>
      <c r="F6876" s="1" t="s">
        <v>16</v>
      </c>
      <c r="G6876" s="17">
        <v>67046</v>
      </c>
    </row>
    <row r="6877" spans="1:7">
      <c r="A6877" s="1" t="s">
        <v>19598</v>
      </c>
      <c r="B6877" s="1" t="s">
        <v>19599</v>
      </c>
      <c r="C6877">
        <f>(1-(B7/100))*150.94</f>
        <v>150.94</v>
      </c>
      <c r="D6877" s="1">
        <v>0</v>
      </c>
      <c r="E6877">
        <f>D6877*C6877</f>
        <v>0</v>
      </c>
      <c r="F6877" s="1" t="s">
        <v>16</v>
      </c>
      <c r="G6877" s="17">
        <v>71823</v>
      </c>
    </row>
    <row r="6878" spans="1:7">
      <c r="A6878" s="1" t="s">
        <v>19600</v>
      </c>
      <c r="B6878" s="1" t="s">
        <v>19601</v>
      </c>
      <c r="C6878">
        <f>(1-(B7/100))*271.73</f>
        <v>271.73</v>
      </c>
      <c r="D6878" s="1">
        <v>0</v>
      </c>
      <c r="E6878">
        <f>D6878*C6878</f>
        <v>0</v>
      </c>
      <c r="F6878" s="1" t="s">
        <v>19602</v>
      </c>
      <c r="G6878" s="17">
        <v>72237</v>
      </c>
    </row>
    <row r="6879" spans="1:7">
      <c r="A6879" s="1" t="s">
        <v>19603</v>
      </c>
      <c r="B6879" s="1" t="s">
        <v>19604</v>
      </c>
      <c r="C6879">
        <f>(1-(B7/100))*262.02</f>
        <v>262.02</v>
      </c>
      <c r="D6879" s="1">
        <v>0</v>
      </c>
      <c r="E6879">
        <f>D6879*C6879</f>
        <v>0</v>
      </c>
      <c r="F6879" s="1" t="s">
        <v>16</v>
      </c>
      <c r="G6879" s="17">
        <v>73037</v>
      </c>
    </row>
    <row r="6880" spans="1:7">
      <c r="A6880" s="1" t="s">
        <v>19605</v>
      </c>
      <c r="B6880" s="1" t="s">
        <v>19606</v>
      </c>
      <c r="C6880">
        <f>(1-(B7/100))*575.9</f>
        <v>575.9</v>
      </c>
      <c r="D6880" s="1">
        <v>0</v>
      </c>
      <c r="E6880">
        <f>D6880*C6880</f>
        <v>0</v>
      </c>
      <c r="F6880" s="1" t="s">
        <v>19607</v>
      </c>
      <c r="G6880" s="17">
        <v>80255</v>
      </c>
    </row>
    <row r="6881" spans="1:7">
      <c r="A6881" s="1" t="s">
        <v>19608</v>
      </c>
      <c r="B6881" s="1" t="s">
        <v>19609</v>
      </c>
      <c r="C6881">
        <f>(1-(B7/100))*545.77</f>
        <v>545.77</v>
      </c>
      <c r="D6881" s="1">
        <v>0</v>
      </c>
      <c r="E6881">
        <f>D6881*C6881</f>
        <v>0</v>
      </c>
      <c r="F6881" s="1" t="s">
        <v>19610</v>
      </c>
      <c r="G6881" s="17">
        <v>80256</v>
      </c>
    </row>
    <row r="6882" spans="1:7">
      <c r="A6882" s="1" t="s">
        <v>19611</v>
      </c>
      <c r="B6882" s="1" t="s">
        <v>19612</v>
      </c>
      <c r="C6882">
        <f>(1-(B7/100))*293.38</f>
        <v>293.38</v>
      </c>
      <c r="D6882" s="1">
        <v>0</v>
      </c>
      <c r="E6882">
        <f>D6882*C6882</f>
        <v>0</v>
      </c>
      <c r="F6882" s="1" t="s">
        <v>19613</v>
      </c>
      <c r="G6882" s="17">
        <v>80257</v>
      </c>
    </row>
    <row r="6883" spans="1:7">
      <c r="A6883" s="1" t="s">
        <v>19614</v>
      </c>
      <c r="B6883" s="1" t="s">
        <v>19615</v>
      </c>
      <c r="C6883">
        <f>(1-(B7/100))*247.75</f>
        <v>247.75</v>
      </c>
      <c r="D6883" s="1">
        <v>0</v>
      </c>
      <c r="E6883">
        <f>D6883*C6883</f>
        <v>0</v>
      </c>
      <c r="F6883" s="1" t="s">
        <v>19616</v>
      </c>
      <c r="G6883" s="17">
        <v>80600</v>
      </c>
    </row>
    <row r="6884" spans="1:7">
      <c r="A6884" s="1" t="s">
        <v>19617</v>
      </c>
      <c r="B6884" s="1" t="s">
        <v>19618</v>
      </c>
      <c r="C6884">
        <f>(1-(B7/100))*247.75</f>
        <v>247.75</v>
      </c>
      <c r="D6884" s="1">
        <v>0</v>
      </c>
      <c r="E6884">
        <f>D6884*C6884</f>
        <v>0</v>
      </c>
      <c r="F6884" s="1" t="s">
        <v>19619</v>
      </c>
      <c r="G6884" s="17">
        <v>80601</v>
      </c>
    </row>
    <row r="6885" spans="1:7">
      <c r="A6885" s="1" t="s">
        <v>19620</v>
      </c>
      <c r="B6885" s="1" t="s">
        <v>19621</v>
      </c>
      <c r="C6885">
        <f>(1-(B7/100))*247.75</f>
        <v>247.75</v>
      </c>
      <c r="D6885" s="1">
        <v>0</v>
      </c>
      <c r="E6885">
        <f>D6885*C6885</f>
        <v>0</v>
      </c>
      <c r="F6885" s="1" t="s">
        <v>19622</v>
      </c>
      <c r="G6885" s="17">
        <v>80602</v>
      </c>
    </row>
    <row r="6886" spans="1:7">
      <c r="A6886" s="1" t="s">
        <v>19623</v>
      </c>
      <c r="B6886" s="1" t="s">
        <v>19624</v>
      </c>
      <c r="C6886">
        <f>(1-(B7/100))*247.75</f>
        <v>247.75</v>
      </c>
      <c r="D6886" s="1">
        <v>0</v>
      </c>
      <c r="E6886">
        <f>D6886*C6886</f>
        <v>0</v>
      </c>
      <c r="F6886" s="1" t="s">
        <v>19625</v>
      </c>
      <c r="G6886" s="17">
        <v>80603</v>
      </c>
    </row>
    <row r="6887" spans="1:7">
      <c r="A6887" s="1" t="s">
        <v>19626</v>
      </c>
      <c r="B6887" s="1" t="s">
        <v>19627</v>
      </c>
      <c r="C6887">
        <f>(1-(B7/100))*313.42</f>
        <v>313.42</v>
      </c>
      <c r="D6887" s="1">
        <v>0</v>
      </c>
      <c r="E6887">
        <f>D6887*C6887</f>
        <v>0</v>
      </c>
      <c r="F6887" s="1" t="s">
        <v>19628</v>
      </c>
      <c r="G6887" s="17">
        <v>82225</v>
      </c>
    </row>
    <row r="6888" spans="1:7">
      <c r="A6888" s="1" t="s">
        <v>19629</v>
      </c>
      <c r="B6888" s="1" t="s">
        <v>19630</v>
      </c>
      <c r="C6888">
        <f>(1-(B7/100))*433.34</f>
        <v>433.34</v>
      </c>
      <c r="D6888" s="1">
        <v>0</v>
      </c>
      <c r="E6888">
        <f>D6888*C6888</f>
        <v>0</v>
      </c>
      <c r="F6888" s="1" t="s">
        <v>19631</v>
      </c>
      <c r="G6888" s="17">
        <v>82226</v>
      </c>
    </row>
    <row r="6889" spans="1:7">
      <c r="A6889" s="1" t="s">
        <v>19632</v>
      </c>
      <c r="B6889" s="1" t="s">
        <v>19633</v>
      </c>
      <c r="C6889">
        <f>(1-(B7/100))*691.01</f>
        <v>691.01</v>
      </c>
      <c r="D6889" s="1">
        <v>0</v>
      </c>
      <c r="E6889">
        <f>D6889*C6889</f>
        <v>0</v>
      </c>
      <c r="F6889" s="1" t="s">
        <v>19634</v>
      </c>
      <c r="G6889" s="17">
        <v>82401</v>
      </c>
    </row>
    <row r="6890" spans="1:7">
      <c r="A6890" s="1" t="s">
        <v>19635</v>
      </c>
      <c r="B6890" s="1" t="s">
        <v>19636</v>
      </c>
      <c r="C6890">
        <f>(1-(B7/100))*716.19</f>
        <v>716.19</v>
      </c>
      <c r="D6890" s="1">
        <v>0</v>
      </c>
      <c r="E6890">
        <f>D6890*C6890</f>
        <v>0</v>
      </c>
      <c r="F6890" s="1" t="s">
        <v>19637</v>
      </c>
      <c r="G6890" s="17">
        <v>84487</v>
      </c>
    </row>
    <row r="6891" spans="1:7">
      <c r="A6891" s="1" t="s">
        <v>19638</v>
      </c>
      <c r="B6891" s="1" t="s">
        <v>19639</v>
      </c>
      <c r="C6891">
        <f>(1-(B7/100))*971.83</f>
        <v>971.83</v>
      </c>
      <c r="D6891" s="1">
        <v>0</v>
      </c>
      <c r="E6891">
        <f>D6891*C6891</f>
        <v>0</v>
      </c>
      <c r="F6891" s="1" t="s">
        <v>19640</v>
      </c>
      <c r="G6891" s="17">
        <v>84489</v>
      </c>
    </row>
    <row r="6892" spans="1:7">
      <c r="A6892" s="1" t="s">
        <v>19641</v>
      </c>
      <c r="B6892" s="1" t="s">
        <v>19642</v>
      </c>
      <c r="C6892">
        <f>(1-(B7/100))*528.63</f>
        <v>528.63</v>
      </c>
      <c r="D6892" s="1">
        <v>0</v>
      </c>
      <c r="E6892">
        <f>D6892*C6892</f>
        <v>0</v>
      </c>
      <c r="F6892" s="1" t="s">
        <v>19643</v>
      </c>
      <c r="G6892" s="17">
        <v>84490</v>
      </c>
    </row>
    <row r="6893" spans="1:7">
      <c r="A6893" s="1" t="s">
        <v>19644</v>
      </c>
      <c r="B6893" s="1" t="s">
        <v>19645</v>
      </c>
      <c r="C6893">
        <f>(1-(B7/100))*1331.36</f>
        <v>1331.36</v>
      </c>
      <c r="D6893" s="1">
        <v>0</v>
      </c>
      <c r="E6893">
        <f>D6893*C6893</f>
        <v>0</v>
      </c>
      <c r="F6893" s="1" t="s">
        <v>19646</v>
      </c>
      <c r="G6893" s="17">
        <v>84491</v>
      </c>
    </row>
    <row r="6894" spans="1:7">
      <c r="A6894" s="1" t="s">
        <v>19647</v>
      </c>
      <c r="B6894" s="1" t="s">
        <v>19636</v>
      </c>
      <c r="C6894">
        <f>(1-(B7/100))*661.96</f>
        <v>661.96</v>
      </c>
      <c r="D6894" s="1">
        <v>0</v>
      </c>
      <c r="E6894">
        <f>D6894*C6894</f>
        <v>0</v>
      </c>
      <c r="F6894" s="1" t="s">
        <v>19648</v>
      </c>
      <c r="G6894" s="17">
        <v>84493</v>
      </c>
    </row>
    <row r="6895" spans="1:7">
      <c r="A6895" s="1" t="s">
        <v>19649</v>
      </c>
      <c r="B6895" s="1" t="s">
        <v>19650</v>
      </c>
      <c r="C6895">
        <f>(1-(B7/100))*237.11</f>
        <v>237.11</v>
      </c>
      <c r="D6895" s="1">
        <v>0</v>
      </c>
      <c r="E6895">
        <f>D6895*C6895</f>
        <v>0</v>
      </c>
      <c r="F6895" s="1" t="s">
        <v>19651</v>
      </c>
      <c r="G6895" s="17">
        <v>84529</v>
      </c>
    </row>
    <row r="6896" spans="1:7">
      <c r="A6896" s="1" t="s">
        <v>19652</v>
      </c>
      <c r="B6896" s="1" t="s">
        <v>19653</v>
      </c>
      <c r="C6896">
        <f>(1-(B7/100))*301.68</f>
        <v>301.68</v>
      </c>
      <c r="D6896" s="1">
        <v>0</v>
      </c>
      <c r="E6896">
        <f>D6896*C6896</f>
        <v>0</v>
      </c>
      <c r="F6896" s="1" t="s">
        <v>19654</v>
      </c>
      <c r="G6896" s="17">
        <v>84530</v>
      </c>
    </row>
    <row r="6897" spans="1:7">
      <c r="A6897" s="1" t="s">
        <v>19655</v>
      </c>
      <c r="B6897" s="1" t="s">
        <v>19656</v>
      </c>
      <c r="C6897">
        <f>(1-(B7/100))*265.27</f>
        <v>265.27</v>
      </c>
      <c r="D6897" s="1">
        <v>0</v>
      </c>
      <c r="E6897">
        <f>D6897*C6897</f>
        <v>0</v>
      </c>
      <c r="F6897" s="1" t="s">
        <v>19657</v>
      </c>
      <c r="G6897" s="17">
        <v>84531</v>
      </c>
    </row>
    <row r="6898" spans="1:7">
      <c r="A6898" s="1" t="s">
        <v>19658</v>
      </c>
      <c r="B6898" s="1" t="s">
        <v>19659</v>
      </c>
      <c r="C6898">
        <f>(1-(B7/100))*244.63</f>
        <v>244.63</v>
      </c>
      <c r="D6898" s="1">
        <v>0</v>
      </c>
      <c r="E6898">
        <f>D6898*C6898</f>
        <v>0</v>
      </c>
      <c r="F6898" s="1" t="s">
        <v>19660</v>
      </c>
      <c r="G6898" s="17">
        <v>84532</v>
      </c>
    </row>
    <row r="6899" spans="1:7">
      <c r="A6899" s="1" t="s">
        <v>19661</v>
      </c>
      <c r="B6899" s="1" t="s">
        <v>19662</v>
      </c>
      <c r="C6899">
        <f>(1-(B7/100))*244.63</f>
        <v>244.63</v>
      </c>
      <c r="D6899" s="1">
        <v>0</v>
      </c>
      <c r="E6899">
        <f>D6899*C6899</f>
        <v>0</v>
      </c>
      <c r="F6899" s="1" t="s">
        <v>19663</v>
      </c>
      <c r="G6899" s="17">
        <v>84533</v>
      </c>
    </row>
    <row r="6900" spans="1:7">
      <c r="A6900" s="1" t="s">
        <v>19664</v>
      </c>
      <c r="B6900" s="1" t="s">
        <v>19665</v>
      </c>
      <c r="C6900">
        <f>(1-(B7/100))*309.22</f>
        <v>309.22</v>
      </c>
      <c r="D6900" s="1">
        <v>0</v>
      </c>
      <c r="E6900">
        <f>D6900*C6900</f>
        <v>0</v>
      </c>
      <c r="F6900" s="1" t="s">
        <v>19666</v>
      </c>
      <c r="G6900" s="17">
        <v>84534</v>
      </c>
    </row>
    <row r="6901" spans="1:7">
      <c r="A6901" s="1" t="s">
        <v>19667</v>
      </c>
      <c r="B6901" s="1" t="s">
        <v>19668</v>
      </c>
      <c r="C6901">
        <f>(1-(B7/100))*321.6</f>
        <v>321.6</v>
      </c>
      <c r="D6901" s="1">
        <v>0</v>
      </c>
      <c r="E6901">
        <f>D6901*C6901</f>
        <v>0</v>
      </c>
      <c r="F6901" s="1" t="s">
        <v>19669</v>
      </c>
      <c r="G6901" s="17">
        <v>84539</v>
      </c>
    </row>
    <row r="6902" spans="1:7">
      <c r="A6902" s="1" t="s">
        <v>19670</v>
      </c>
      <c r="B6902" s="1" t="s">
        <v>19671</v>
      </c>
      <c r="C6902">
        <f>(1-(B7/100))*692.7</f>
        <v>692.7</v>
      </c>
      <c r="D6902" s="1">
        <v>0</v>
      </c>
      <c r="E6902">
        <f>D6902*C6902</f>
        <v>0</v>
      </c>
      <c r="F6902" s="1" t="s">
        <v>19672</v>
      </c>
      <c r="G6902" s="17">
        <v>84542</v>
      </c>
    </row>
    <row r="6903" spans="1:7">
      <c r="A6903" s="1" t="s">
        <v>19673</v>
      </c>
      <c r="B6903" s="1" t="s">
        <v>19674</v>
      </c>
      <c r="C6903">
        <f>(1-(B7/100))*365.35</f>
        <v>365.35</v>
      </c>
      <c r="D6903" s="1">
        <v>0</v>
      </c>
      <c r="E6903">
        <f>D6903*C6903</f>
        <v>0</v>
      </c>
      <c r="F6903" s="1" t="s">
        <v>19675</v>
      </c>
      <c r="G6903" s="17">
        <v>85176</v>
      </c>
    </row>
    <row r="6904" spans="1:7">
      <c r="A6904" s="1" t="s">
        <v>19676</v>
      </c>
      <c r="B6904" s="1" t="s">
        <v>19677</v>
      </c>
      <c r="C6904">
        <f>(1-(B7/100))*364.43</f>
        <v>364.43</v>
      </c>
      <c r="D6904" s="1">
        <v>0</v>
      </c>
      <c r="E6904">
        <f>D6904*C6904</f>
        <v>0</v>
      </c>
      <c r="F6904" s="1" t="s">
        <v>19678</v>
      </c>
      <c r="G6904" s="17">
        <v>85178</v>
      </c>
    </row>
    <row r="6905" spans="1:7">
      <c r="A6905" s="1" t="s">
        <v>19679</v>
      </c>
      <c r="B6905" s="1" t="s">
        <v>19680</v>
      </c>
      <c r="C6905">
        <f>(1-(B7/100))*257.34</f>
        <v>257.34</v>
      </c>
      <c r="D6905" s="1">
        <v>0</v>
      </c>
      <c r="E6905">
        <f>D6905*C6905</f>
        <v>0</v>
      </c>
      <c r="F6905" s="1" t="s">
        <v>19681</v>
      </c>
      <c r="G6905" s="17">
        <v>85186</v>
      </c>
    </row>
    <row r="6906" spans="1:7">
      <c r="A6906" s="1" t="s">
        <v>19682</v>
      </c>
      <c r="B6906" s="1" t="s">
        <v>19683</v>
      </c>
      <c r="C6906">
        <f>(1-(B7/100))*257.34</f>
        <v>257.34</v>
      </c>
      <c r="D6906" s="1">
        <v>0</v>
      </c>
      <c r="E6906">
        <f>D6906*C6906</f>
        <v>0</v>
      </c>
      <c r="F6906" s="1" t="s">
        <v>19684</v>
      </c>
      <c r="G6906" s="17">
        <v>85187</v>
      </c>
    </row>
    <row r="6907" spans="1:7">
      <c r="A6907" s="1" t="s">
        <v>19685</v>
      </c>
      <c r="B6907" s="1" t="s">
        <v>19636</v>
      </c>
      <c r="C6907">
        <f>(1-(B7/100))*662.82</f>
        <v>662.82</v>
      </c>
      <c r="D6907" s="1">
        <v>0</v>
      </c>
      <c r="E6907">
        <f>D6907*C6907</f>
        <v>0</v>
      </c>
      <c r="F6907" s="1" t="s">
        <v>19686</v>
      </c>
      <c r="G6907" s="17">
        <v>85194</v>
      </c>
    </row>
    <row r="6908" spans="1:7">
      <c r="A6908" s="1" t="s">
        <v>19687</v>
      </c>
      <c r="B6908" s="1" t="s">
        <v>19636</v>
      </c>
      <c r="C6908">
        <f>(1-(B7/100))*674.2</f>
        <v>674.2</v>
      </c>
      <c r="D6908" s="1">
        <v>0</v>
      </c>
      <c r="E6908">
        <f>D6908*C6908</f>
        <v>0</v>
      </c>
      <c r="F6908" s="1" t="s">
        <v>19688</v>
      </c>
      <c r="G6908" s="17">
        <v>85195</v>
      </c>
    </row>
    <row r="6909" spans="1:7">
      <c r="A6909" s="1" t="s">
        <v>19689</v>
      </c>
      <c r="B6909" s="1" t="s">
        <v>19690</v>
      </c>
      <c r="C6909">
        <f>(1-(B7/100))*340.99</f>
        <v>340.99</v>
      </c>
      <c r="D6909" s="1">
        <v>0</v>
      </c>
      <c r="E6909">
        <f>D6909*C6909</f>
        <v>0</v>
      </c>
      <c r="F6909" s="1" t="s">
        <v>19691</v>
      </c>
      <c r="G6909" s="17">
        <v>85210</v>
      </c>
    </row>
    <row r="6910" spans="1:7">
      <c r="A6910" s="16"/>
      <c r="B6910" s="16" t="s">
        <v>19257</v>
      </c>
      <c r="C6910" s="16"/>
      <c r="D6910" s="16"/>
      <c r="E6910" s="16"/>
      <c r="F6910" s="16"/>
    </row>
    <row r="6911" spans="1:7">
      <c r="A6911" s="16"/>
      <c r="B6911" s="16" t="s">
        <v>19258</v>
      </c>
      <c r="C6911" s="16"/>
      <c r="D6911" s="16"/>
      <c r="E6911" s="16"/>
      <c r="F6911" s="16"/>
    </row>
    <row r="6912" spans="1:7">
      <c r="A6912" s="1" t="s">
        <v>19692</v>
      </c>
      <c r="B6912" s="1" t="s">
        <v>19693</v>
      </c>
      <c r="C6912">
        <f>(1-(B7/100))*597.94</f>
        <v>597.94</v>
      </c>
      <c r="D6912" s="1">
        <v>0</v>
      </c>
      <c r="E6912">
        <f>D6912*C6912</f>
        <v>0</v>
      </c>
      <c r="F6912" s="1" t="s">
        <v>19694</v>
      </c>
      <c r="G6912" s="17">
        <v>64738</v>
      </c>
    </row>
    <row r="6913" spans="1:7">
      <c r="A6913" s="16"/>
      <c r="B6913" s="16" t="s">
        <v>19259</v>
      </c>
      <c r="C6913" s="16"/>
      <c r="D6913" s="16"/>
      <c r="E6913" s="16"/>
      <c r="F6913" s="16"/>
    </row>
    <row r="6914" spans="1:7">
      <c r="A6914" s="1" t="s">
        <v>19695</v>
      </c>
      <c r="B6914" s="1" t="s">
        <v>19696</v>
      </c>
      <c r="C6914">
        <f>(1-(B7/100))*1108.31</f>
        <v>1108.31</v>
      </c>
      <c r="D6914" s="1">
        <v>0</v>
      </c>
      <c r="E6914">
        <f>D6914*C6914</f>
        <v>0</v>
      </c>
      <c r="F6914" s="1" t="s">
        <v>19697</v>
      </c>
      <c r="G6914" s="17">
        <v>73882</v>
      </c>
    </row>
    <row r="6915" spans="1:7">
      <c r="A6915" s="1" t="s">
        <v>19698</v>
      </c>
      <c r="B6915" s="1" t="s">
        <v>19699</v>
      </c>
      <c r="C6915">
        <f>(1-(B7/100))*1108.31</f>
        <v>1108.31</v>
      </c>
      <c r="D6915" s="1">
        <v>0</v>
      </c>
      <c r="E6915">
        <f>D6915*C6915</f>
        <v>0</v>
      </c>
      <c r="F6915" s="1" t="s">
        <v>19700</v>
      </c>
      <c r="G6915" s="17">
        <v>73884</v>
      </c>
    </row>
    <row r="6916" spans="1:7">
      <c r="A6916" s="1" t="s">
        <v>19701</v>
      </c>
      <c r="B6916" s="1" t="s">
        <v>19702</v>
      </c>
      <c r="C6916">
        <f>(1-(B7/100))*1212.98</f>
        <v>1212.98</v>
      </c>
      <c r="D6916" s="1">
        <v>0</v>
      </c>
      <c r="E6916">
        <f>D6916*C6916</f>
        <v>0</v>
      </c>
      <c r="F6916" s="1" t="s">
        <v>19703</v>
      </c>
      <c r="G6916" s="17">
        <v>73885</v>
      </c>
    </row>
    <row r="6917" spans="1:7">
      <c r="A6917" s="1" t="s">
        <v>19704</v>
      </c>
      <c r="B6917" s="1" t="s">
        <v>19705</v>
      </c>
      <c r="C6917">
        <f>(1-(B7/100))*1212.98</f>
        <v>1212.98</v>
      </c>
      <c r="D6917" s="1">
        <v>0</v>
      </c>
      <c r="E6917">
        <f>D6917*C6917</f>
        <v>0</v>
      </c>
      <c r="F6917" s="1" t="s">
        <v>19706</v>
      </c>
      <c r="G6917" s="17">
        <v>73886</v>
      </c>
    </row>
    <row r="6918" spans="1:7">
      <c r="A6918" s="1" t="s">
        <v>19707</v>
      </c>
      <c r="B6918" s="1" t="s">
        <v>19708</v>
      </c>
      <c r="C6918">
        <f>(1-(B7/100))*1212.98</f>
        <v>1212.98</v>
      </c>
      <c r="D6918" s="1">
        <v>0</v>
      </c>
      <c r="E6918">
        <f>D6918*C6918</f>
        <v>0</v>
      </c>
      <c r="F6918" s="1" t="s">
        <v>19709</v>
      </c>
      <c r="G6918" s="17">
        <v>73887</v>
      </c>
    </row>
    <row r="6919" spans="1:7">
      <c r="A6919" s="1" t="s">
        <v>19710</v>
      </c>
      <c r="B6919" s="1" t="s">
        <v>19711</v>
      </c>
      <c r="C6919">
        <f>(1-(B7/100))*1312.44</f>
        <v>1312.44</v>
      </c>
      <c r="D6919" s="1">
        <v>0</v>
      </c>
      <c r="E6919">
        <f>D6919*C6919</f>
        <v>0</v>
      </c>
      <c r="F6919" s="1" t="s">
        <v>19712</v>
      </c>
      <c r="G6919" s="17">
        <v>73888</v>
      </c>
    </row>
    <row r="6920" spans="1:7">
      <c r="A6920" s="1" t="s">
        <v>19713</v>
      </c>
      <c r="B6920" s="1" t="s">
        <v>19714</v>
      </c>
      <c r="C6920">
        <f>(1-(B7/100))*1312.44</f>
        <v>1312.44</v>
      </c>
      <c r="D6920" s="1">
        <v>0</v>
      </c>
      <c r="E6920">
        <f>D6920*C6920</f>
        <v>0</v>
      </c>
      <c r="F6920" s="1" t="s">
        <v>19715</v>
      </c>
      <c r="G6920" s="17">
        <v>73889</v>
      </c>
    </row>
    <row r="6921" spans="1:7">
      <c r="A6921" s="1" t="s">
        <v>19716</v>
      </c>
      <c r="B6921" s="1" t="s">
        <v>19717</v>
      </c>
      <c r="C6921">
        <f>(1-(B7/100))*1312.44</f>
        <v>1312.44</v>
      </c>
      <c r="D6921" s="1">
        <v>0</v>
      </c>
      <c r="E6921">
        <f>D6921*C6921</f>
        <v>0</v>
      </c>
      <c r="F6921" s="1" t="s">
        <v>19718</v>
      </c>
      <c r="G6921" s="17">
        <v>73890</v>
      </c>
    </row>
    <row r="6922" spans="1:7">
      <c r="A6922" s="1" t="s">
        <v>19719</v>
      </c>
      <c r="B6922" s="1" t="s">
        <v>19720</v>
      </c>
      <c r="C6922">
        <f>(1-(B7/100))*2766.63</f>
        <v>2766.63</v>
      </c>
      <c r="D6922" s="1">
        <v>0</v>
      </c>
      <c r="E6922">
        <f>D6922*C6922</f>
        <v>0</v>
      </c>
      <c r="F6922" s="1" t="s">
        <v>19721</v>
      </c>
      <c r="G6922" s="17">
        <v>73894</v>
      </c>
    </row>
    <row r="6923" spans="1:7">
      <c r="A6923" s="1" t="s">
        <v>19722</v>
      </c>
      <c r="B6923" s="1" t="s">
        <v>19723</v>
      </c>
      <c r="C6923">
        <f>(1-(B7/100))*2766.63</f>
        <v>2766.63</v>
      </c>
      <c r="D6923" s="1">
        <v>0</v>
      </c>
      <c r="E6923">
        <f>D6923*C6923</f>
        <v>0</v>
      </c>
      <c r="F6923" s="1" t="s">
        <v>19724</v>
      </c>
      <c r="G6923" s="17">
        <v>73895</v>
      </c>
    </row>
    <row r="6924" spans="1:7">
      <c r="A6924" s="1" t="s">
        <v>19725</v>
      </c>
      <c r="B6924" s="1" t="s">
        <v>19726</v>
      </c>
      <c r="C6924">
        <f>(1-(B7/100))*2771.33</f>
        <v>2771.33</v>
      </c>
      <c r="D6924" s="1">
        <v>0</v>
      </c>
      <c r="E6924">
        <f>D6924*C6924</f>
        <v>0</v>
      </c>
      <c r="F6924" s="1" t="s">
        <v>19727</v>
      </c>
      <c r="G6924" s="17">
        <v>73896</v>
      </c>
    </row>
    <row r="6925" spans="1:7">
      <c r="A6925" s="1" t="s">
        <v>19728</v>
      </c>
      <c r="B6925" s="1" t="s">
        <v>19729</v>
      </c>
      <c r="C6925">
        <f>(1-(B7/100))*2031.82</f>
        <v>2031.82</v>
      </c>
      <c r="D6925" s="1">
        <v>0</v>
      </c>
      <c r="E6925">
        <f>D6925*C6925</f>
        <v>0</v>
      </c>
      <c r="F6925" s="1" t="s">
        <v>19730</v>
      </c>
      <c r="G6925" s="17">
        <v>73897</v>
      </c>
    </row>
    <row r="6926" spans="1:7">
      <c r="A6926" s="1" t="s">
        <v>19731</v>
      </c>
      <c r="B6926" s="1" t="s">
        <v>19732</v>
      </c>
      <c r="C6926">
        <f>(1-(B7/100))*2122.99</f>
        <v>2122.99</v>
      </c>
      <c r="D6926" s="1">
        <v>0</v>
      </c>
      <c r="E6926">
        <f>D6926*C6926</f>
        <v>0</v>
      </c>
      <c r="F6926" s="1" t="s">
        <v>19733</v>
      </c>
      <c r="G6926" s="17">
        <v>73900</v>
      </c>
    </row>
    <row r="6927" spans="1:7">
      <c r="A6927" s="1" t="s">
        <v>19734</v>
      </c>
      <c r="B6927" s="1" t="s">
        <v>19735</v>
      </c>
      <c r="C6927">
        <f>(1-(B7/100))*448.84</f>
        <v>448.84</v>
      </c>
      <c r="D6927" s="1">
        <v>0</v>
      </c>
      <c r="E6927">
        <f>D6927*C6927</f>
        <v>0</v>
      </c>
      <c r="F6927" s="1" t="s">
        <v>19736</v>
      </c>
      <c r="G6927" s="17">
        <v>73903</v>
      </c>
    </row>
    <row r="6928" spans="1:7">
      <c r="A6928" s="1" t="s">
        <v>19737</v>
      </c>
      <c r="B6928" s="1" t="s">
        <v>19738</v>
      </c>
      <c r="C6928">
        <f>(1-(B7/100))*448.84</f>
        <v>448.84</v>
      </c>
      <c r="D6928" s="1">
        <v>0</v>
      </c>
      <c r="E6928">
        <f>D6928*C6928</f>
        <v>0</v>
      </c>
      <c r="F6928" s="1" t="s">
        <v>19739</v>
      </c>
      <c r="G6928" s="17">
        <v>73904</v>
      </c>
    </row>
    <row r="6929" spans="1:7">
      <c r="A6929" s="1" t="s">
        <v>19740</v>
      </c>
      <c r="B6929" s="1" t="s">
        <v>19741</v>
      </c>
      <c r="C6929">
        <f>(1-(B7/100))*448.84</f>
        <v>448.84</v>
      </c>
      <c r="D6929" s="1">
        <v>0</v>
      </c>
      <c r="E6929">
        <f>D6929*C6929</f>
        <v>0</v>
      </c>
      <c r="F6929" s="1" t="s">
        <v>19742</v>
      </c>
      <c r="G6929" s="17">
        <v>73905</v>
      </c>
    </row>
    <row r="6930" spans="1:7">
      <c r="A6930" s="1" t="s">
        <v>19743</v>
      </c>
      <c r="B6930" s="1" t="s">
        <v>19744</v>
      </c>
      <c r="C6930">
        <f>(1-(B7/100))*762.86</f>
        <v>762.86</v>
      </c>
      <c r="D6930" s="1">
        <v>0</v>
      </c>
      <c r="E6930">
        <f>D6930*C6930</f>
        <v>0</v>
      </c>
      <c r="F6930" s="1" t="s">
        <v>19745</v>
      </c>
      <c r="G6930" s="17">
        <v>73912</v>
      </c>
    </row>
    <row r="6931" spans="1:7">
      <c r="A6931" s="1" t="s">
        <v>19746</v>
      </c>
      <c r="B6931" s="1" t="s">
        <v>19747</v>
      </c>
      <c r="C6931">
        <f>(1-(B7/100))*762.86</f>
        <v>762.86</v>
      </c>
      <c r="D6931" s="1">
        <v>0</v>
      </c>
      <c r="E6931">
        <f>D6931*C6931</f>
        <v>0</v>
      </c>
      <c r="F6931" s="1" t="s">
        <v>19748</v>
      </c>
      <c r="G6931" s="17">
        <v>73913</v>
      </c>
    </row>
    <row r="6932" spans="1:7">
      <c r="A6932" s="1" t="s">
        <v>19749</v>
      </c>
      <c r="B6932" s="1" t="s">
        <v>19750</v>
      </c>
      <c r="C6932">
        <f>(1-(B7/100))*762.86</f>
        <v>762.86</v>
      </c>
      <c r="D6932" s="1">
        <v>0</v>
      </c>
      <c r="E6932">
        <f>D6932*C6932</f>
        <v>0</v>
      </c>
      <c r="F6932" s="1" t="s">
        <v>19751</v>
      </c>
      <c r="G6932" s="17">
        <v>73914</v>
      </c>
    </row>
    <row r="6933" spans="1:7">
      <c r="A6933" s="1" t="s">
        <v>19752</v>
      </c>
      <c r="B6933" s="1" t="s">
        <v>19753</v>
      </c>
      <c r="C6933">
        <f>(1-(B7/100))*965</f>
        <v>965</v>
      </c>
      <c r="D6933" s="1">
        <v>0</v>
      </c>
      <c r="E6933">
        <f>D6933*C6933</f>
        <v>0</v>
      </c>
      <c r="F6933" s="1" t="s">
        <v>19754</v>
      </c>
      <c r="G6933" s="17">
        <v>73915</v>
      </c>
    </row>
    <row r="6934" spans="1:7">
      <c r="A6934" s="1" t="s">
        <v>19755</v>
      </c>
      <c r="B6934" s="1" t="s">
        <v>19756</v>
      </c>
      <c r="C6934">
        <f>(1-(B7/100))*965</f>
        <v>965</v>
      </c>
      <c r="D6934" s="1">
        <v>0</v>
      </c>
      <c r="E6934">
        <f>D6934*C6934</f>
        <v>0</v>
      </c>
      <c r="F6934" s="1" t="s">
        <v>19757</v>
      </c>
      <c r="G6934" s="17">
        <v>73916</v>
      </c>
    </row>
    <row r="6935" spans="1:7">
      <c r="A6935" s="1" t="s">
        <v>19758</v>
      </c>
      <c r="B6935" s="1" t="s">
        <v>19759</v>
      </c>
      <c r="C6935">
        <f>(1-(B7/100))*965</f>
        <v>965</v>
      </c>
      <c r="D6935" s="1">
        <v>0</v>
      </c>
      <c r="E6935">
        <f>D6935*C6935</f>
        <v>0</v>
      </c>
      <c r="F6935" s="1" t="s">
        <v>19760</v>
      </c>
      <c r="G6935" s="17">
        <v>73917</v>
      </c>
    </row>
    <row r="6936" spans="1:7">
      <c r="A6936" s="1" t="s">
        <v>19761</v>
      </c>
      <c r="B6936" s="1" t="s">
        <v>19762</v>
      </c>
      <c r="C6936">
        <f>(1-(B7/100))*1648.66</f>
        <v>1648.66</v>
      </c>
      <c r="D6936" s="1">
        <v>0</v>
      </c>
      <c r="E6936">
        <f>D6936*C6936</f>
        <v>0</v>
      </c>
      <c r="F6936" s="1" t="s">
        <v>19763</v>
      </c>
      <c r="G6936" s="17">
        <v>73918</v>
      </c>
    </row>
    <row r="6937" spans="1:7">
      <c r="A6937" s="1" t="s">
        <v>19764</v>
      </c>
      <c r="B6937" s="1" t="s">
        <v>19765</v>
      </c>
      <c r="C6937">
        <f>(1-(B7/100))*1306.16</f>
        <v>1306.16</v>
      </c>
      <c r="D6937" s="1">
        <v>0</v>
      </c>
      <c r="E6937">
        <f>D6937*C6937</f>
        <v>0</v>
      </c>
      <c r="F6937" s="1" t="s">
        <v>19766</v>
      </c>
      <c r="G6937" s="17">
        <v>73921</v>
      </c>
    </row>
    <row r="6938" spans="1:7">
      <c r="A6938" s="1" t="s">
        <v>19767</v>
      </c>
      <c r="B6938" s="1" t="s">
        <v>19768</v>
      </c>
      <c r="C6938">
        <f>(1-(B7/100))*1306.16</f>
        <v>1306.16</v>
      </c>
      <c r="D6938" s="1">
        <v>0</v>
      </c>
      <c r="E6938">
        <f>D6938*C6938</f>
        <v>0</v>
      </c>
      <c r="F6938" s="1" t="s">
        <v>19769</v>
      </c>
      <c r="G6938" s="17">
        <v>73923</v>
      </c>
    </row>
    <row r="6939" spans="1:7">
      <c r="A6939" s="1" t="s">
        <v>19770</v>
      </c>
      <c r="B6939" s="1" t="s">
        <v>19771</v>
      </c>
      <c r="C6939">
        <f>(1-(B7/100))*2031.82</f>
        <v>2031.82</v>
      </c>
      <c r="D6939" s="1">
        <v>0</v>
      </c>
      <c r="E6939">
        <f>D6939*C6939</f>
        <v>0</v>
      </c>
      <c r="F6939" s="1" t="s">
        <v>19772</v>
      </c>
      <c r="G6939" s="17">
        <v>73926</v>
      </c>
    </row>
    <row r="6940" spans="1:7">
      <c r="A6940" s="1" t="s">
        <v>19773</v>
      </c>
      <c r="B6940" s="1" t="s">
        <v>19774</v>
      </c>
      <c r="C6940">
        <f>(1-(B7/100))*2243.58</f>
        <v>2243.58</v>
      </c>
      <c r="D6940" s="1">
        <v>0</v>
      </c>
      <c r="E6940">
        <f>D6940*C6940</f>
        <v>0</v>
      </c>
      <c r="F6940" s="1" t="s">
        <v>19775</v>
      </c>
      <c r="G6940" s="17">
        <v>73927</v>
      </c>
    </row>
    <row r="6941" spans="1:7">
      <c r="A6941" s="1" t="s">
        <v>19776</v>
      </c>
      <c r="B6941" s="1" t="s">
        <v>19777</v>
      </c>
      <c r="C6941">
        <f>(1-(B7/100))*2243.58</f>
        <v>2243.58</v>
      </c>
      <c r="D6941" s="1">
        <v>0</v>
      </c>
      <c r="E6941">
        <f>D6941*C6941</f>
        <v>0</v>
      </c>
      <c r="F6941" s="1" t="s">
        <v>19778</v>
      </c>
      <c r="G6941" s="17">
        <v>73929</v>
      </c>
    </row>
    <row r="6942" spans="1:7">
      <c r="A6942" s="1" t="s">
        <v>19779</v>
      </c>
      <c r="B6942" s="1" t="s">
        <v>19780</v>
      </c>
      <c r="C6942">
        <f>(1-(B7/100))*2854.61</f>
        <v>2854.61</v>
      </c>
      <c r="D6942" s="1">
        <v>0</v>
      </c>
      <c r="E6942">
        <f>D6942*C6942</f>
        <v>0</v>
      </c>
      <c r="F6942" s="1" t="s">
        <v>19781</v>
      </c>
      <c r="G6942" s="17">
        <v>73933</v>
      </c>
    </row>
    <row r="6943" spans="1:7">
      <c r="A6943" s="1" t="s">
        <v>19782</v>
      </c>
      <c r="B6943" s="1" t="s">
        <v>19783</v>
      </c>
      <c r="C6943">
        <f>(1-(B7/100))*2116.66</f>
        <v>2116.66</v>
      </c>
      <c r="D6943" s="1">
        <v>0</v>
      </c>
      <c r="E6943">
        <f>D6943*C6943</f>
        <v>0</v>
      </c>
      <c r="F6943" s="1" t="s">
        <v>19784</v>
      </c>
      <c r="G6943" s="17">
        <v>73936</v>
      </c>
    </row>
    <row r="6944" spans="1:7">
      <c r="A6944" s="1" t="s">
        <v>19785</v>
      </c>
      <c r="B6944" s="1" t="s">
        <v>19786</v>
      </c>
      <c r="C6944">
        <f>(1-(B7/100))*2118.77</f>
        <v>2118.77</v>
      </c>
      <c r="D6944" s="1">
        <v>0</v>
      </c>
      <c r="E6944">
        <f>D6944*C6944</f>
        <v>0</v>
      </c>
      <c r="F6944" s="1" t="s">
        <v>19787</v>
      </c>
      <c r="G6944" s="17">
        <v>73937</v>
      </c>
    </row>
    <row r="6945" spans="1:7">
      <c r="A6945" s="1" t="s">
        <v>19788</v>
      </c>
      <c r="B6945" s="1" t="s">
        <v>19789</v>
      </c>
      <c r="C6945">
        <f>(1-(B7/100))*2237.22</f>
        <v>2237.22</v>
      </c>
      <c r="D6945" s="1">
        <v>0</v>
      </c>
      <c r="E6945">
        <f>D6945*C6945</f>
        <v>0</v>
      </c>
      <c r="F6945" s="1" t="s">
        <v>19790</v>
      </c>
      <c r="G6945" s="17">
        <v>73939</v>
      </c>
    </row>
    <row r="6946" spans="1:7">
      <c r="A6946" s="1" t="s">
        <v>19791</v>
      </c>
      <c r="B6946" s="1" t="s">
        <v>19792</v>
      </c>
      <c r="C6946">
        <f>(1-(B7/100))*2237.22</f>
        <v>2237.22</v>
      </c>
      <c r="D6946" s="1">
        <v>0</v>
      </c>
      <c r="E6946">
        <f>D6946*C6946</f>
        <v>0</v>
      </c>
      <c r="F6946" s="1" t="s">
        <v>19793</v>
      </c>
      <c r="G6946" s="17">
        <v>73940</v>
      </c>
    </row>
    <row r="6947" spans="1:7">
      <c r="A6947" s="1" t="s">
        <v>19794</v>
      </c>
      <c r="B6947" s="1" t="s">
        <v>19795</v>
      </c>
      <c r="C6947">
        <f>(1-(B7/100))*2239.35</f>
        <v>2239.35</v>
      </c>
      <c r="D6947" s="1">
        <v>0</v>
      </c>
      <c r="E6947">
        <f>D6947*C6947</f>
        <v>0</v>
      </c>
      <c r="F6947" s="1" t="s">
        <v>19796</v>
      </c>
      <c r="G6947" s="17">
        <v>73941</v>
      </c>
    </row>
    <row r="6948" spans="1:7">
      <c r="A6948" s="1" t="s">
        <v>19797</v>
      </c>
      <c r="B6948" s="1" t="s">
        <v>19798</v>
      </c>
      <c r="C6948">
        <f>(1-(B7/100))*3034.11</f>
        <v>3034.11</v>
      </c>
      <c r="D6948" s="1">
        <v>0</v>
      </c>
      <c r="E6948">
        <f>D6948*C6948</f>
        <v>0</v>
      </c>
      <c r="F6948" s="1" t="s">
        <v>19799</v>
      </c>
      <c r="G6948" s="17">
        <v>73944</v>
      </c>
    </row>
    <row r="6949" spans="1:7">
      <c r="A6949" s="1" t="s">
        <v>19800</v>
      </c>
      <c r="B6949" s="1" t="s">
        <v>19801</v>
      </c>
      <c r="C6949">
        <f>(1-(B7/100))*2357.82</f>
        <v>2357.82</v>
      </c>
      <c r="D6949" s="1">
        <v>0</v>
      </c>
      <c r="E6949">
        <f>D6949*C6949</f>
        <v>0</v>
      </c>
      <c r="F6949" s="1" t="s">
        <v>19802</v>
      </c>
      <c r="G6949" s="17">
        <v>73953</v>
      </c>
    </row>
    <row r="6950" spans="1:7">
      <c r="A6950" s="1" t="s">
        <v>19803</v>
      </c>
      <c r="B6950" s="1" t="s">
        <v>19804</v>
      </c>
      <c r="C6950">
        <f>(1-(B7/100))*1340.73</f>
        <v>1340.73</v>
      </c>
      <c r="D6950" s="1">
        <v>0</v>
      </c>
      <c r="E6950">
        <f>D6950*C6950</f>
        <v>0</v>
      </c>
      <c r="F6950" s="1" t="s">
        <v>19805</v>
      </c>
      <c r="G6950" s="17">
        <v>73954</v>
      </c>
    </row>
    <row r="6951" spans="1:7">
      <c r="A6951" s="1" t="s">
        <v>19806</v>
      </c>
      <c r="B6951" s="1" t="s">
        <v>19807</v>
      </c>
      <c r="C6951">
        <f>(1-(B7/100))*2861.93</f>
        <v>2861.93</v>
      </c>
      <c r="D6951" s="1">
        <v>0</v>
      </c>
      <c r="E6951">
        <f>D6951*C6951</f>
        <v>0</v>
      </c>
      <c r="F6951" s="1" t="s">
        <v>19808</v>
      </c>
      <c r="G6951" s="17">
        <v>73959</v>
      </c>
    </row>
    <row r="6952" spans="1:7">
      <c r="A6952" s="1" t="s">
        <v>19809</v>
      </c>
      <c r="B6952" s="1" t="s">
        <v>19810</v>
      </c>
      <c r="C6952">
        <f>(1-(B7/100))*64.98</f>
        <v>64.98</v>
      </c>
      <c r="D6952" s="1">
        <v>0</v>
      </c>
      <c r="E6952">
        <f>D6952*C6952</f>
        <v>0</v>
      </c>
      <c r="F6952" s="1" t="s">
        <v>19811</v>
      </c>
      <c r="G6952" s="17">
        <v>73960</v>
      </c>
    </row>
    <row r="6953" spans="1:7">
      <c r="A6953" s="1" t="s">
        <v>19812</v>
      </c>
      <c r="B6953" s="1" t="s">
        <v>19813</v>
      </c>
      <c r="C6953">
        <f>(1-(B7/100))*117.3</f>
        <v>117.3</v>
      </c>
      <c r="D6953" s="1">
        <v>0</v>
      </c>
      <c r="E6953">
        <f>D6953*C6953</f>
        <v>0</v>
      </c>
      <c r="F6953" s="1" t="s">
        <v>19814</v>
      </c>
      <c r="G6953" s="17">
        <v>73961</v>
      </c>
    </row>
    <row r="6954" spans="1:7">
      <c r="A6954" s="1" t="s">
        <v>19815</v>
      </c>
      <c r="B6954" s="1" t="s">
        <v>19816</v>
      </c>
      <c r="C6954">
        <f>(1-(B7/100))*130.59</f>
        <v>130.59</v>
      </c>
      <c r="D6954" s="1">
        <v>0</v>
      </c>
      <c r="E6954">
        <f>D6954*C6954</f>
        <v>0</v>
      </c>
      <c r="F6954" s="1" t="s">
        <v>19817</v>
      </c>
      <c r="G6954" s="17">
        <v>73962</v>
      </c>
    </row>
    <row r="6955" spans="1:7">
      <c r="A6955" s="1" t="s">
        <v>19818</v>
      </c>
      <c r="B6955" s="1" t="s">
        <v>19819</v>
      </c>
      <c r="C6955">
        <f>(1-(B7/100))*85.3</f>
        <v>85.3</v>
      </c>
      <c r="D6955" s="1">
        <v>0</v>
      </c>
      <c r="E6955">
        <f>D6955*C6955</f>
        <v>0</v>
      </c>
      <c r="F6955" s="1" t="s">
        <v>19820</v>
      </c>
      <c r="G6955" s="17">
        <v>73963</v>
      </c>
    </row>
    <row r="6956" spans="1:7">
      <c r="A6956" s="1" t="s">
        <v>19821</v>
      </c>
      <c r="B6956" s="1" t="s">
        <v>19822</v>
      </c>
      <c r="C6956">
        <f>(1-(B7/100))*1678.31</f>
        <v>1678.31</v>
      </c>
      <c r="D6956" s="1">
        <v>0</v>
      </c>
      <c r="E6956">
        <f>D6956*C6956</f>
        <v>0</v>
      </c>
      <c r="F6956" s="1" t="s">
        <v>19823</v>
      </c>
      <c r="G6956" s="17">
        <v>73966</v>
      </c>
    </row>
    <row r="6957" spans="1:7">
      <c r="A6957" s="1" t="s">
        <v>19824</v>
      </c>
      <c r="B6957" s="1" t="s">
        <v>19825</v>
      </c>
      <c r="C6957">
        <f>(1-(B7/100))*3341.57</f>
        <v>3341.57</v>
      </c>
      <c r="D6957" s="1">
        <v>0</v>
      </c>
      <c r="E6957">
        <f>D6957*C6957</f>
        <v>0</v>
      </c>
      <c r="F6957" s="1" t="s">
        <v>19826</v>
      </c>
      <c r="G6957" s="17">
        <v>73968</v>
      </c>
    </row>
    <row r="6958" spans="1:7">
      <c r="A6958" s="1" t="s">
        <v>19827</v>
      </c>
      <c r="B6958" s="1" t="s">
        <v>19828</v>
      </c>
      <c r="C6958">
        <f>(1-(B7/100))*2854.61</f>
        <v>2854.61</v>
      </c>
      <c r="D6958" s="1">
        <v>0</v>
      </c>
      <c r="E6958">
        <f>D6958*C6958</f>
        <v>0</v>
      </c>
      <c r="F6958" s="1" t="s">
        <v>19829</v>
      </c>
      <c r="G6958" s="17">
        <v>73977</v>
      </c>
    </row>
    <row r="6959" spans="1:7">
      <c r="A6959" s="1" t="s">
        <v>19830</v>
      </c>
      <c r="B6959" s="1" t="s">
        <v>19831</v>
      </c>
      <c r="C6959">
        <f>(1-(B7/100))*3034.11</f>
        <v>3034.11</v>
      </c>
      <c r="D6959" s="1">
        <v>0</v>
      </c>
      <c r="E6959">
        <f>D6959*C6959</f>
        <v>0</v>
      </c>
      <c r="F6959" s="1" t="s">
        <v>19832</v>
      </c>
      <c r="G6959" s="17">
        <v>73979</v>
      </c>
    </row>
    <row r="6960" spans="1:7">
      <c r="A6960" s="1" t="s">
        <v>19833</v>
      </c>
      <c r="B6960" s="1" t="s">
        <v>19834</v>
      </c>
      <c r="C6960">
        <f>(1-(B7/100))*2357.82</f>
        <v>2357.82</v>
      </c>
      <c r="D6960" s="1">
        <v>0</v>
      </c>
      <c r="E6960">
        <f>D6960*C6960</f>
        <v>0</v>
      </c>
      <c r="F6960" s="1" t="s">
        <v>19835</v>
      </c>
      <c r="G6960" s="17">
        <v>73987</v>
      </c>
    </row>
    <row r="6961" spans="1:7">
      <c r="A6961" s="1" t="s">
        <v>19836</v>
      </c>
      <c r="B6961" s="1" t="s">
        <v>19837</v>
      </c>
      <c r="C6961">
        <f>(1-(B7/100))*1340.73</f>
        <v>1340.73</v>
      </c>
      <c r="D6961" s="1">
        <v>0</v>
      </c>
      <c r="E6961">
        <f>D6961*C6961</f>
        <v>0</v>
      </c>
      <c r="F6961" s="1" t="s">
        <v>19838</v>
      </c>
      <c r="G6961" s="17">
        <v>73988</v>
      </c>
    </row>
    <row r="6962" spans="1:7">
      <c r="A6962" s="1" t="s">
        <v>19839</v>
      </c>
      <c r="B6962" s="1" t="s">
        <v>19840</v>
      </c>
      <c r="C6962">
        <f>(1-(B7/100))*2861.93</f>
        <v>2861.93</v>
      </c>
      <c r="D6962" s="1">
        <v>0</v>
      </c>
      <c r="E6962">
        <f>D6962*C6962</f>
        <v>0</v>
      </c>
      <c r="F6962" s="1" t="s">
        <v>19841</v>
      </c>
      <c r="G6962" s="17">
        <v>73993</v>
      </c>
    </row>
    <row r="6963" spans="1:7">
      <c r="A6963" s="1" t="s">
        <v>19842</v>
      </c>
      <c r="B6963" s="1" t="s">
        <v>19843</v>
      </c>
      <c r="C6963">
        <f>(1-(B7/100))*3341.57</f>
        <v>3341.57</v>
      </c>
      <c r="D6963" s="1">
        <v>0</v>
      </c>
      <c r="E6963">
        <f>D6963*C6963</f>
        <v>0</v>
      </c>
      <c r="F6963" s="1" t="s">
        <v>19844</v>
      </c>
      <c r="G6963" s="17">
        <v>73998</v>
      </c>
    </row>
    <row r="6964" spans="1:7">
      <c r="A6964" s="1" t="s">
        <v>19845</v>
      </c>
      <c r="B6964" s="1" t="s">
        <v>19846</v>
      </c>
      <c r="C6964">
        <f>(1-(B7/100))*3255.62</f>
        <v>3255.62</v>
      </c>
      <c r="D6964" s="1">
        <v>0</v>
      </c>
      <c r="E6964">
        <f>D6964*C6964</f>
        <v>0</v>
      </c>
      <c r="F6964" s="1" t="s">
        <v>19847</v>
      </c>
      <c r="G6964" s="17">
        <v>74003</v>
      </c>
    </row>
    <row r="6965" spans="1:7">
      <c r="A6965" s="1" t="s">
        <v>19848</v>
      </c>
      <c r="B6965" s="1" t="s">
        <v>19849</v>
      </c>
      <c r="C6965">
        <f>(1-(B7/100))*2854.61</f>
        <v>2854.61</v>
      </c>
      <c r="D6965" s="1">
        <v>0</v>
      </c>
      <c r="E6965">
        <f>D6965*C6965</f>
        <v>0</v>
      </c>
      <c r="F6965" s="1" t="s">
        <v>19850</v>
      </c>
      <c r="G6965" s="17">
        <v>74004</v>
      </c>
    </row>
    <row r="6966" spans="1:7">
      <c r="A6966" s="1" t="s">
        <v>19851</v>
      </c>
      <c r="B6966" s="1" t="s">
        <v>19852</v>
      </c>
      <c r="C6966">
        <f>(1-(B7/100))*2854.61</f>
        <v>2854.61</v>
      </c>
      <c r="D6966" s="1">
        <v>0</v>
      </c>
      <c r="E6966">
        <f>D6966*C6966</f>
        <v>0</v>
      </c>
      <c r="F6966" s="1" t="s">
        <v>19853</v>
      </c>
      <c r="G6966" s="17">
        <v>74005</v>
      </c>
    </row>
    <row r="6967" spans="1:7">
      <c r="A6967" s="1" t="s">
        <v>19854</v>
      </c>
      <c r="B6967" s="1" t="s">
        <v>19855</v>
      </c>
      <c r="C6967">
        <f>(1-(B7/100))*3034.11</f>
        <v>3034.11</v>
      </c>
      <c r="D6967" s="1">
        <v>0</v>
      </c>
      <c r="E6967">
        <f>D6967*C6967</f>
        <v>0</v>
      </c>
      <c r="F6967" s="1" t="s">
        <v>19856</v>
      </c>
      <c r="G6967" s="17">
        <v>74006</v>
      </c>
    </row>
    <row r="6968" spans="1:7">
      <c r="A6968" s="1" t="s">
        <v>19857</v>
      </c>
      <c r="B6968" s="1" t="s">
        <v>19858</v>
      </c>
      <c r="C6968">
        <f>(1-(B7/100))*3034.11</f>
        <v>3034.11</v>
      </c>
      <c r="D6968" s="1">
        <v>0</v>
      </c>
      <c r="E6968">
        <f>D6968*C6968</f>
        <v>0</v>
      </c>
      <c r="F6968" s="1" t="s">
        <v>19859</v>
      </c>
      <c r="G6968" s="17">
        <v>74007</v>
      </c>
    </row>
    <row r="6969" spans="1:7">
      <c r="A6969" s="1" t="s">
        <v>19860</v>
      </c>
      <c r="B6969" s="1" t="s">
        <v>19861</v>
      </c>
      <c r="C6969">
        <f>(1-(B7/100))*2357.82</f>
        <v>2357.82</v>
      </c>
      <c r="D6969" s="1">
        <v>0</v>
      </c>
      <c r="E6969">
        <f>D6969*C6969</f>
        <v>0</v>
      </c>
      <c r="F6969" s="1" t="s">
        <v>19862</v>
      </c>
      <c r="G6969" s="17">
        <v>74014</v>
      </c>
    </row>
    <row r="6970" spans="1:7">
      <c r="A6970" s="1" t="s">
        <v>19863</v>
      </c>
      <c r="B6970" s="1" t="s">
        <v>19864</v>
      </c>
      <c r="C6970">
        <f>(1-(B7/100))*2357.82</f>
        <v>2357.82</v>
      </c>
      <c r="D6970" s="1">
        <v>0</v>
      </c>
      <c r="E6970">
        <f>D6970*C6970</f>
        <v>0</v>
      </c>
      <c r="F6970" s="1" t="s">
        <v>19865</v>
      </c>
      <c r="G6970" s="17">
        <v>74015</v>
      </c>
    </row>
    <row r="6971" spans="1:7">
      <c r="A6971" s="1" t="s">
        <v>19866</v>
      </c>
      <c r="B6971" s="1" t="s">
        <v>19867</v>
      </c>
      <c r="C6971">
        <f>(1-(B7/100))*1340.73</f>
        <v>1340.73</v>
      </c>
      <c r="D6971" s="1">
        <v>0</v>
      </c>
      <c r="E6971">
        <f>D6971*C6971</f>
        <v>0</v>
      </c>
      <c r="F6971" s="1" t="s">
        <v>19868</v>
      </c>
      <c r="G6971" s="17">
        <v>74016</v>
      </c>
    </row>
    <row r="6972" spans="1:7">
      <c r="A6972" s="1" t="s">
        <v>19869</v>
      </c>
      <c r="B6972" s="1" t="s">
        <v>19870</v>
      </c>
      <c r="C6972">
        <f>(1-(B7/100))*2861.93</f>
        <v>2861.93</v>
      </c>
      <c r="D6972" s="1">
        <v>0</v>
      </c>
      <c r="E6972">
        <f>D6972*C6972</f>
        <v>0</v>
      </c>
      <c r="F6972" s="1" t="s">
        <v>19871</v>
      </c>
      <c r="G6972" s="17">
        <v>74021</v>
      </c>
    </row>
    <row r="6973" spans="1:7">
      <c r="A6973" s="1" t="s">
        <v>19872</v>
      </c>
      <c r="B6973" s="1" t="s">
        <v>19873</v>
      </c>
      <c r="C6973">
        <f>(1-(B7/100))*1678.31</f>
        <v>1678.31</v>
      </c>
      <c r="D6973" s="1">
        <v>0</v>
      </c>
      <c r="E6973">
        <f>D6973*C6973</f>
        <v>0</v>
      </c>
      <c r="F6973" s="1" t="s">
        <v>19874</v>
      </c>
      <c r="G6973" s="17">
        <v>74024</v>
      </c>
    </row>
    <row r="6974" spans="1:7">
      <c r="A6974" s="1" t="s">
        <v>19875</v>
      </c>
      <c r="B6974" s="1" t="s">
        <v>19876</v>
      </c>
      <c r="C6974">
        <f>(1-(B7/100))*3255.62</f>
        <v>3255.62</v>
      </c>
      <c r="D6974" s="1">
        <v>0</v>
      </c>
      <c r="E6974">
        <f>D6974*C6974</f>
        <v>0</v>
      </c>
      <c r="F6974" s="1" t="s">
        <v>19877</v>
      </c>
      <c r="G6974" s="17">
        <v>74031</v>
      </c>
    </row>
    <row r="6975" spans="1:7">
      <c r="A6975" s="1" t="s">
        <v>19878</v>
      </c>
      <c r="B6975" s="1" t="s">
        <v>19879</v>
      </c>
      <c r="C6975">
        <f>(1-(B7/100))*2452.69</f>
        <v>2452.69</v>
      </c>
      <c r="D6975" s="1">
        <v>0</v>
      </c>
      <c r="E6975">
        <f>D6975*C6975</f>
        <v>0</v>
      </c>
      <c r="F6975" s="1" t="s">
        <v>19880</v>
      </c>
      <c r="G6975" s="17">
        <v>74032</v>
      </c>
    </row>
    <row r="6976" spans="1:7">
      <c r="A6976" s="16"/>
      <c r="B6976" s="16" t="s">
        <v>19881</v>
      </c>
      <c r="C6976" s="16"/>
      <c r="D6976" s="16"/>
      <c r="E6976" s="16"/>
      <c r="F6976" s="16"/>
    </row>
    <row r="6977" spans="1:7">
      <c r="A6977" s="16"/>
      <c r="B6977" s="16" t="s">
        <v>19882</v>
      </c>
      <c r="C6977" s="16"/>
      <c r="D6977" s="16"/>
      <c r="E6977" s="16"/>
      <c r="F6977" s="16"/>
    </row>
    <row r="6978" spans="1:7">
      <c r="A6978" s="16"/>
      <c r="B6978" s="16" t="s">
        <v>19882</v>
      </c>
      <c r="C6978" s="16"/>
      <c r="D6978" s="16"/>
      <c r="E6978" s="16"/>
      <c r="F6978" s="16"/>
    </row>
    <row r="1042144" spans="1:7" customHeight="1" ht="12.8"/>
    <row r="1042145" spans="1:7" customHeight="1" ht="12.8"/>
    <row r="1042146" spans="1:7" customHeight="1" ht="12.8"/>
    <row r="1042147" spans="1:7" customHeight="1" ht="12.8"/>
    <row r="1042148" spans="1:7" customHeight="1" ht="12.8"/>
    <row r="1042149" spans="1:7" customHeight="1" ht="12.8"/>
    <row r="1042150" spans="1:7" customHeight="1" ht="12.8"/>
    <row r="1042151" spans="1:7" customHeight="1" ht="12.8"/>
    <row r="1042152" spans="1:7" customHeight="1" ht="12.8"/>
    <row r="1042153" spans="1:7" customHeight="1" ht="12.8"/>
    <row r="1042154" spans="1:7" customHeight="1" ht="12.8"/>
    <row r="1042155" spans="1:7" customHeight="1" ht="12.8"/>
    <row r="1042156" spans="1:7" customHeight="1" ht="12.8"/>
    <row r="1042157" spans="1:7" customHeight="1" ht="12.8"/>
    <row r="1042158" spans="1:7" customHeight="1" ht="12.8"/>
    <row r="1042159" spans="1:7" customHeight="1" ht="12.8"/>
    <row r="1042160" spans="1:7" customHeight="1" ht="12.8"/>
    <row r="1042161" spans="1:7" customHeight="1" ht="12.8"/>
    <row r="1042162" spans="1:7" customHeight="1" ht="12.8"/>
    <row r="1042163" spans="1:7" customHeight="1" ht="12.8"/>
    <row r="1042164" spans="1:7" customHeight="1" ht="12.8"/>
    <row r="1042165" spans="1:7" customHeight="1" ht="12.8"/>
    <row r="1042166" spans="1:7" customHeight="1" ht="12.8"/>
    <row r="1042167" spans="1:7" customHeight="1" ht="12.8"/>
    <row r="1042168" spans="1:7" customHeight="1" ht="12.8"/>
    <row r="1042169" spans="1:7" customHeight="1" ht="12.8"/>
    <row r="1042170" spans="1:7" customHeight="1" ht="12.8"/>
    <row r="1042171" spans="1:7" customHeight="1" ht="12.8"/>
    <row r="1042172" spans="1:7" customHeight="1" ht="12.8"/>
    <row r="1042173" spans="1:7" customHeight="1" ht="12.8"/>
    <row r="1042174" spans="1:7" customHeight="1" ht="12.8"/>
    <row r="1042175" spans="1:7" customHeight="1" ht="12.8"/>
    <row r="1042176" spans="1:7" customHeight="1" ht="12.8"/>
    <row r="1042177" spans="1:7" customHeight="1" ht="12.8"/>
    <row r="1042178" spans="1:7" customHeight="1" ht="12.8"/>
    <row r="1042179" spans="1:7" customHeight="1" ht="12.8"/>
    <row r="1042180" spans="1:7" customHeight="1" ht="12.8"/>
    <row r="1042181" spans="1:7" customHeight="1" ht="12.8"/>
    <row r="1042182" spans="1:7" customHeight="1" ht="12.8"/>
    <row r="1042183" spans="1:7" customHeight="1" ht="12.8"/>
    <row r="1042184" spans="1:7" customHeight="1" ht="12.8"/>
    <row r="1042185" spans="1:7" customHeight="1" ht="12.8"/>
    <row r="1042186" spans="1:7" customHeight="1" ht="12.8"/>
    <row r="1042187" spans="1:7" customHeight="1" ht="12.8"/>
    <row r="1042188" spans="1:7" customHeight="1" ht="12.8"/>
    <row r="1042189" spans="1:7" customHeight="1" ht="12.8"/>
    <row r="1042190" spans="1:7" customHeight="1" ht="12.8"/>
    <row r="1042191" spans="1:7" customHeight="1" ht="12.8"/>
    <row r="1042192" spans="1:7" customHeight="1" ht="12.8"/>
    <row r="1042193" spans="1:7" customHeight="1" ht="12.8"/>
    <row r="1042194" spans="1:7" customHeight="1" ht="12.8"/>
    <row r="1042195" spans="1:7" customHeight="1" ht="12.8"/>
    <row r="1042196" spans="1:7" customHeight="1" ht="12.8"/>
    <row r="1042197" spans="1:7" customHeight="1" ht="12.8"/>
    <row r="1042198" spans="1:7" customHeight="1" ht="12.8"/>
    <row r="1042199" spans="1:7" customHeight="1" ht="12.8"/>
    <row r="1042200" spans="1:7" customHeight="1" ht="12.8"/>
    <row r="1042201" spans="1:7" customHeight="1" ht="12.8"/>
    <row r="1042202" spans="1:7" customHeight="1" ht="12.8"/>
    <row r="1042203" spans="1:7" customHeight="1" ht="12.8"/>
    <row r="1042204" spans="1:7" customHeight="1" ht="12.8"/>
    <row r="1042205" spans="1:7" customHeight="1" ht="12.8"/>
    <row r="1042206" spans="1:7" customHeight="1" ht="12.8"/>
    <row r="1042207" spans="1:7" customHeight="1" ht="12.8"/>
    <row r="1042208" spans="1:7" customHeight="1" ht="12.8"/>
    <row r="1042209" spans="1:7" customHeight="1" ht="12.8"/>
    <row r="1042210" spans="1:7" customHeight="1" ht="12.8"/>
    <row r="1042211" spans="1:7" customHeight="1" ht="12.8"/>
    <row r="1042212" spans="1:7" customHeight="1" ht="12.8"/>
    <row r="1042213" spans="1:7" customHeight="1" ht="12.8"/>
    <row r="1042214" spans="1:7" customHeight="1" ht="12.8"/>
    <row r="1042215" spans="1:7" customHeight="1" ht="12.8"/>
    <row r="1042216" spans="1:7" customHeight="1" ht="12.8"/>
    <row r="1042217" spans="1:7" customHeight="1" ht="12.8"/>
    <row r="1042218" spans="1:7" customHeight="1" ht="12.8"/>
    <row r="1042219" spans="1:7" customHeight="1" ht="12.8"/>
    <row r="1042220" spans="1:7" customHeight="1" ht="12.8"/>
    <row r="1042221" spans="1:7" customHeight="1" ht="12.8"/>
    <row r="1042222" spans="1:7" customHeight="1" ht="12.8"/>
    <row r="1042223" spans="1:7" customHeight="1" ht="12.8"/>
    <row r="1042224" spans="1:7" customHeight="1" ht="12.8"/>
    <row r="1042225" spans="1:7" customHeight="1" ht="12.8"/>
    <row r="1042226" spans="1:7" customHeight="1" ht="12.8"/>
    <row r="1042227" spans="1:7" customHeight="1" ht="12.8"/>
    <row r="1042228" spans="1:7" customHeight="1" ht="12.8"/>
    <row r="1042229" spans="1:7" customHeight="1" ht="12.8"/>
    <row r="1042230" spans="1:7" customHeight="1" ht="12.8"/>
    <row r="1042231" spans="1:7" customHeight="1" ht="12.8"/>
    <row r="1042232" spans="1:7" customHeight="1" ht="12.8"/>
    <row r="1042233" spans="1:7" customHeight="1" ht="12.8"/>
    <row r="1042234" spans="1:7" customHeight="1" ht="12.8"/>
    <row r="1042235" spans="1:7" customHeight="1" ht="12.8"/>
    <row r="1042236" spans="1:7" customHeight="1" ht="12.8"/>
    <row r="1042237" spans="1:7" customHeight="1" ht="12.8"/>
    <row r="1042238" spans="1:7" customHeight="1" ht="12.8"/>
    <row r="1042239" spans="1:7" customHeight="1" ht="12.8"/>
    <row r="1042240" spans="1:7" customHeight="1" ht="12.8"/>
    <row r="1042241" spans="1:7" customHeight="1" ht="12.8"/>
    <row r="1042242" spans="1:7" customHeight="1" ht="12.8"/>
    <row r="1042243" spans="1:7" customHeight="1" ht="12.8"/>
    <row r="1042244" spans="1:7" customHeight="1" ht="12.8"/>
    <row r="1042245" spans="1:7" customHeight="1" ht="12.8"/>
    <row r="1042246" spans="1:7" customHeight="1" ht="12.8"/>
    <row r="1042247" spans="1:7" customHeight="1" ht="12.8"/>
    <row r="1042248" spans="1:7" customHeight="1" ht="12.8"/>
    <row r="1042249" spans="1:7" customHeight="1" ht="12.8"/>
    <row r="1042250" spans="1:7" customHeight="1" ht="12.8"/>
    <row r="1042251" spans="1:7" customHeight="1" ht="12.8"/>
    <row r="1042252" spans="1:7" customHeight="1" ht="12.8"/>
    <row r="1042253" spans="1:7" customHeight="1" ht="12.8"/>
    <row r="1042254" spans="1:7" customHeight="1" ht="12.8"/>
    <row r="1042255" spans="1:7" customHeight="1" ht="12.8"/>
    <row r="1042256" spans="1:7" customHeight="1" ht="12.8"/>
    <row r="1042257" spans="1:7" customHeight="1" ht="12.8"/>
    <row r="1042258" spans="1:7" customHeight="1" ht="12.8"/>
    <row r="1042259" spans="1:7" customHeight="1" ht="12.8"/>
    <row r="1042260" spans="1:7" customHeight="1" ht="12.8"/>
    <row r="1042261" spans="1:7" customHeight="1" ht="12.8"/>
    <row r="1042262" spans="1:7" customHeight="1" ht="12.8"/>
    <row r="1042263" spans="1:7" customHeight="1" ht="12.8"/>
    <row r="1042264" spans="1:7" customHeight="1" ht="12.8"/>
    <row r="1042265" spans="1:7" customHeight="1" ht="12.8"/>
    <row r="1042266" spans="1:7" customHeight="1" ht="12.8"/>
    <row r="1042267" spans="1:7" customHeight="1" ht="12.8"/>
    <row r="1042268" spans="1:7" customHeight="1" ht="12.8"/>
    <row r="1042269" spans="1:7" customHeight="1" ht="12.8"/>
    <row r="1042270" spans="1:7" customHeight="1" ht="12.8"/>
    <row r="1042271" spans="1:7" customHeight="1" ht="12.8"/>
    <row r="1042272" spans="1:7" customHeight="1" ht="12.8"/>
    <row r="1042273" spans="1:7" customHeight="1" ht="12.8"/>
    <row r="1042274" spans="1:7" customHeight="1" ht="12.8"/>
    <row r="1042275" spans="1:7" customHeight="1" ht="12.8"/>
    <row r="1042276" spans="1:7" customHeight="1" ht="12.8"/>
    <row r="1042277" spans="1:7" customHeight="1" ht="12.8"/>
    <row r="1042278" spans="1:7" customHeight="1" ht="12.8"/>
    <row r="1042279" spans="1:7" customHeight="1" ht="12.8"/>
    <row r="1042280" spans="1:7" customHeight="1" ht="12.8"/>
    <row r="1042281" spans="1:7" customHeight="1" ht="12.8"/>
    <row r="1042282" spans="1:7" customHeight="1" ht="12.8"/>
    <row r="1042283" spans="1:7" customHeight="1" ht="12.8"/>
    <row r="1042284" spans="1:7" customHeight="1" ht="12.8"/>
    <row r="1042285" spans="1:7" customHeight="1" ht="12.8"/>
    <row r="1042286" spans="1:7" customHeight="1" ht="12.8"/>
    <row r="1042287" spans="1:7" customHeight="1" ht="12.8"/>
    <row r="1042288" spans="1:7" customHeight="1" ht="12.8"/>
    <row r="1042289" spans="1:7" customHeight="1" ht="12.8"/>
    <row r="1042290" spans="1:7" customHeight="1" ht="12.8"/>
    <row r="1042291" spans="1:7" customHeight="1" ht="12.8"/>
    <row r="1042292" spans="1:7" customHeight="1" ht="12.8"/>
    <row r="1042293" spans="1:7" customHeight="1" ht="12.8"/>
    <row r="1042294" spans="1:7" customHeight="1" ht="12.8"/>
    <row r="1042295" spans="1:7" customHeight="1" ht="12.8"/>
    <row r="1042296" spans="1:7" customHeight="1" ht="12.8"/>
    <row r="1042297" spans="1:7" customHeight="1" ht="12.8"/>
    <row r="1042298" spans="1:7" customHeight="1" ht="12.8"/>
    <row r="1042299" spans="1:7" customHeight="1" ht="12.8"/>
    <row r="1042300" spans="1:7" customHeight="1" ht="12.8"/>
    <row r="1042301" spans="1:7" customHeight="1" ht="12.8"/>
    <row r="1042302" spans="1:7" customHeight="1" ht="12.8"/>
    <row r="1042303" spans="1:7" customHeight="1" ht="12.8"/>
    <row r="1042304" spans="1:7" customHeight="1" ht="12.8"/>
    <row r="1042305" spans="1:7" customHeight="1" ht="12.8"/>
    <row r="1042306" spans="1:7" customHeight="1" ht="12.8"/>
    <row r="1042307" spans="1:7" customHeight="1" ht="12.8"/>
    <row r="1042308" spans="1:7" customHeight="1" ht="12.8"/>
    <row r="1042309" spans="1:7" customHeight="1" ht="12.8"/>
    <row r="1042310" spans="1:7" customHeight="1" ht="12.8"/>
    <row r="1042311" spans="1:7" customHeight="1" ht="12.8"/>
    <row r="1042312" spans="1:7" customHeight="1" ht="12.8"/>
    <row r="1042313" spans="1:7" customHeight="1" ht="12.8"/>
    <row r="1042314" spans="1:7" customHeight="1" ht="12.8"/>
    <row r="1042315" spans="1:7" customHeight="1" ht="12.8"/>
    <row r="1042316" spans="1:7" customHeight="1" ht="12.8"/>
    <row r="1042317" spans="1:7" customHeight="1" ht="12.8"/>
    <row r="1042318" spans="1:7" customHeight="1" ht="12.8"/>
    <row r="1042319" spans="1:7" customHeight="1" ht="12.8"/>
    <row r="1042320" spans="1:7" customHeight="1" ht="12.8"/>
    <row r="1042321" spans="1:7" customHeight="1" ht="12.8"/>
    <row r="1042322" spans="1:7" customHeight="1" ht="12.8"/>
    <row r="1042323" spans="1:7" customHeight="1" ht="12.8"/>
    <row r="1042324" spans="1:7" customHeight="1" ht="12.8"/>
    <row r="1042325" spans="1:7" customHeight="1" ht="12.8"/>
    <row r="1042326" spans="1:7" customHeight="1" ht="12.8"/>
    <row r="1042327" spans="1:7" customHeight="1" ht="12.8"/>
    <row r="1042328" spans="1:7" customHeight="1" ht="12.8"/>
    <row r="1042329" spans="1:7" customHeight="1" ht="12.8"/>
    <row r="1042330" spans="1:7" customHeight="1" ht="12.8"/>
    <row r="1042331" spans="1:7" customHeight="1" ht="12.8"/>
    <row r="1042332" spans="1:7" customHeight="1" ht="12.8"/>
    <row r="1042333" spans="1:7" customHeight="1" ht="12.8"/>
    <row r="1042334" spans="1:7" customHeight="1" ht="12.8"/>
    <row r="1042335" spans="1:7" customHeight="1" ht="12.8"/>
    <row r="1042336" spans="1:7" customHeight="1" ht="12.8"/>
    <row r="1042337" spans="1:7" customHeight="1" ht="12.8"/>
    <row r="1042338" spans="1:7" customHeight="1" ht="12.8"/>
    <row r="1042339" spans="1:7" customHeight="1" ht="12.8"/>
    <row r="1042340" spans="1:7" customHeight="1" ht="12.8"/>
    <row r="1042341" spans="1:7" customHeight="1" ht="12.8"/>
    <row r="1042342" spans="1:7" customHeight="1" ht="12.8"/>
    <row r="1042343" spans="1:7" customHeight="1" ht="12.8"/>
    <row r="1042344" spans="1:7" customHeight="1" ht="12.8"/>
    <row r="1042345" spans="1:7" customHeight="1" ht="12.8"/>
    <row r="1042346" spans="1:7" customHeight="1" ht="12.8"/>
    <row r="1042347" spans="1:7" customHeight="1" ht="12.8"/>
    <row r="1042348" spans="1:7" customHeight="1" ht="12.8"/>
    <row r="1042349" spans="1:7" customHeight="1" ht="12.8"/>
    <row r="1042350" spans="1:7" customHeight="1" ht="12.8"/>
    <row r="1042351" spans="1:7" customHeight="1" ht="12.8"/>
    <row r="1042352" spans="1:7" customHeight="1" ht="12.8"/>
    <row r="1042353" spans="1:7" customHeight="1" ht="12.8"/>
    <row r="1042354" spans="1:7" customHeight="1" ht="12.8"/>
    <row r="1042355" spans="1:7" customHeight="1" ht="12.8"/>
    <row r="1042356" spans="1:7" customHeight="1" ht="12.8"/>
    <row r="1042357" spans="1:7" customHeight="1" ht="12.8"/>
    <row r="1042358" spans="1:7" customHeight="1" ht="12.8"/>
    <row r="1042359" spans="1:7" customHeight="1" ht="12.8"/>
    <row r="1042360" spans="1:7" customHeight="1" ht="12.8"/>
    <row r="1042361" spans="1:7" customHeight="1" ht="12.8"/>
    <row r="1042362" spans="1:7" customHeight="1" ht="12.8"/>
    <row r="1042363" spans="1:7" customHeight="1" ht="12.8"/>
    <row r="1042364" spans="1:7" customHeight="1" ht="12.8"/>
    <row r="1042365" spans="1:7" customHeight="1" ht="12.8"/>
    <row r="1042366" spans="1:7" customHeight="1" ht="12.8"/>
    <row r="1042367" spans="1:7" customHeight="1" ht="12.8"/>
    <row r="1042368" spans="1:7" customHeight="1" ht="12.8"/>
    <row r="1042369" spans="1:7" customHeight="1" ht="12.8"/>
    <row r="1042370" spans="1:7" customHeight="1" ht="12.8"/>
    <row r="1042371" spans="1:7" customHeight="1" ht="12.8"/>
    <row r="1042372" spans="1:7" customHeight="1" ht="12.8"/>
    <row r="1042373" spans="1:7" customHeight="1" ht="12.8"/>
    <row r="1042374" spans="1:7" customHeight="1" ht="12.8"/>
    <row r="1042375" spans="1:7" customHeight="1" ht="12.8"/>
    <row r="1042376" spans="1:7" customHeight="1" ht="12.8"/>
    <row r="1042377" spans="1:7" customHeight="1" ht="12.8"/>
    <row r="1042378" spans="1:7" customHeight="1" ht="12.8"/>
    <row r="1042379" spans="1:7" customHeight="1" ht="12.8"/>
    <row r="1042380" spans="1:7" customHeight="1" ht="12.8"/>
    <row r="1042381" spans="1:7" customHeight="1" ht="12.8"/>
    <row r="1042382" spans="1:7" customHeight="1" ht="12.8"/>
    <row r="1042383" spans="1:7" customHeight="1" ht="12.8"/>
    <row r="1042384" spans="1:7" customHeight="1" ht="12.8"/>
    <row r="1042385" spans="1:7" customHeight="1" ht="12.8"/>
    <row r="1042386" spans="1:7" customHeight="1" ht="12.8"/>
    <row r="1042387" spans="1:7" customHeight="1" ht="12.8"/>
    <row r="1042388" spans="1:7" customHeight="1" ht="12.8"/>
    <row r="1042389" spans="1:7" customHeight="1" ht="12.8"/>
    <row r="1042390" spans="1:7" customHeight="1" ht="12.8"/>
    <row r="1042391" spans="1:7" customHeight="1" ht="12.8"/>
    <row r="1042392" spans="1:7" customHeight="1" ht="12.8"/>
    <row r="1042393" spans="1:7" customHeight="1" ht="12.8"/>
    <row r="1042394" spans="1:7" customHeight="1" ht="12.8"/>
    <row r="1042395" spans="1:7" customHeight="1" ht="12.8"/>
    <row r="1042396" spans="1:7" customHeight="1" ht="12.8"/>
    <row r="1042397" spans="1:7" customHeight="1" ht="12.8"/>
    <row r="1042398" spans="1:7" customHeight="1" ht="12.8"/>
    <row r="1042399" spans="1:7" customHeight="1" ht="12.8"/>
    <row r="1042400" spans="1:7" customHeight="1" ht="12.8"/>
    <row r="1042401" spans="1:7" customHeight="1" ht="12.8"/>
    <row r="1042402" spans="1:7" customHeight="1" ht="12.8"/>
    <row r="1042403" spans="1:7" customHeight="1" ht="12.8"/>
    <row r="1042404" spans="1:7" customHeight="1" ht="12.8"/>
    <row r="1042405" spans="1:7" customHeight="1" ht="12.8"/>
    <row r="1042406" spans="1:7" customHeight="1" ht="12.8"/>
    <row r="1042407" spans="1:7" customHeight="1" ht="12.8"/>
    <row r="1042408" spans="1:7" customHeight="1" ht="12.8"/>
    <row r="1042409" spans="1:7" customHeight="1" ht="12.8"/>
    <row r="1042410" spans="1:7" customHeight="1" ht="12.8"/>
    <row r="1042411" spans="1:7" customHeight="1" ht="12.8"/>
    <row r="1042412" spans="1:7" customHeight="1" ht="12.8"/>
    <row r="1042413" spans="1:7" customHeight="1" ht="12.8"/>
    <row r="1042414" spans="1:7" customHeight="1" ht="12.8"/>
    <row r="1042415" spans="1:7" customHeight="1" ht="12.8"/>
    <row r="1042416" spans="1:7" customHeight="1" ht="12.8"/>
    <row r="1042417" spans="1:7" customHeight="1" ht="12.8"/>
    <row r="1042418" spans="1:7" customHeight="1" ht="12.8"/>
    <row r="1042419" spans="1:7" customHeight="1" ht="12.8"/>
    <row r="1042420" spans="1:7" customHeight="1" ht="12.8"/>
    <row r="1042421" spans="1:7" customHeight="1" ht="12.8"/>
    <row r="1042422" spans="1:7" customHeight="1" ht="12.8"/>
    <row r="1042423" spans="1:7" customHeight="1" ht="12.8"/>
    <row r="1042424" spans="1:7" customHeight="1" ht="12.8"/>
    <row r="1042425" spans="1:7" customHeight="1" ht="12.8"/>
    <row r="1042426" spans="1:7" customHeight="1" ht="12.8"/>
    <row r="1042427" spans="1:7" customHeight="1" ht="12.8"/>
    <row r="1042428" spans="1:7" customHeight="1" ht="12.8"/>
    <row r="1042429" spans="1:7" customHeight="1" ht="12.8"/>
    <row r="1042430" spans="1:7" customHeight="1" ht="12.8"/>
    <row r="1042431" spans="1:7" customHeight="1" ht="12.8"/>
    <row r="1042432" spans="1:7" customHeight="1" ht="12.8"/>
    <row r="1042433" spans="1:7" customHeight="1" ht="12.8"/>
    <row r="1042434" spans="1:7" customHeight="1" ht="12.8"/>
    <row r="1042435" spans="1:7" customHeight="1" ht="12.8"/>
    <row r="1042436" spans="1:7" customHeight="1" ht="12.8"/>
    <row r="1042437" spans="1:7" customHeight="1" ht="12.8"/>
    <row r="1042438" spans="1:7" customHeight="1" ht="12.8"/>
    <row r="1042439" spans="1:7" customHeight="1" ht="12.8"/>
    <row r="1042440" spans="1:7" customHeight="1" ht="12.8"/>
    <row r="1042441" spans="1:7" customHeight="1" ht="12.8"/>
    <row r="1042442" spans="1:7" customHeight="1" ht="12.8"/>
    <row r="1042443" spans="1:7" customHeight="1" ht="12.8"/>
    <row r="1042444" spans="1:7" customHeight="1" ht="12.8"/>
    <row r="1042445" spans="1:7" customHeight="1" ht="12.8"/>
    <row r="1042446" spans="1:7" customHeight="1" ht="12.8"/>
    <row r="1042447" spans="1:7" customHeight="1" ht="12.8"/>
    <row r="1042448" spans="1:7" customHeight="1" ht="12.8"/>
    <row r="1042449" spans="1:7" customHeight="1" ht="12.8"/>
    <row r="1042450" spans="1:7" customHeight="1" ht="12.8"/>
    <row r="1042451" spans="1:7" customHeight="1" ht="12.8"/>
    <row r="1042452" spans="1:7" customHeight="1" ht="12.8"/>
    <row r="1042453" spans="1:7" customHeight="1" ht="12.8"/>
    <row r="1042454" spans="1:7" customHeight="1" ht="12.8"/>
    <row r="1042455" spans="1:7" customHeight="1" ht="12.8"/>
    <row r="1042456" spans="1:7" customHeight="1" ht="12.8"/>
    <row r="1042457" spans="1:7" customHeight="1" ht="12.8"/>
    <row r="1042458" spans="1:7" customHeight="1" ht="12.8"/>
    <row r="1042459" spans="1:7" customHeight="1" ht="12.8"/>
    <row r="1042460" spans="1:7" customHeight="1" ht="12.8"/>
    <row r="1042461" spans="1:7" customHeight="1" ht="12.8"/>
    <row r="1042462" spans="1:7" customHeight="1" ht="12.8"/>
    <row r="1042463" spans="1:7" customHeight="1" ht="12.8"/>
    <row r="1042464" spans="1:7" customHeight="1" ht="12.8"/>
    <row r="1042465" spans="1:7" customHeight="1" ht="12.8"/>
    <row r="1042466" spans="1:7" customHeight="1" ht="12.8"/>
    <row r="1042467" spans="1:7" customHeight="1" ht="12.8"/>
    <row r="1042468" spans="1:7" customHeight="1" ht="12.8"/>
    <row r="1042469" spans="1:7" customHeight="1" ht="12.8"/>
    <row r="1042470" spans="1:7" customHeight="1" ht="12.8"/>
    <row r="1042471" spans="1:7" customHeight="1" ht="12.8"/>
    <row r="1042472" spans="1:7" customHeight="1" ht="12.8"/>
    <row r="1042473" spans="1:7" customHeight="1" ht="12.8"/>
    <row r="1042474" spans="1:7" customHeight="1" ht="12.8"/>
    <row r="1042475" spans="1:7" customHeight="1" ht="12.8"/>
    <row r="1042476" spans="1:7" customHeight="1" ht="12.8"/>
    <row r="1042477" spans="1:7" customHeight="1" ht="12.8"/>
    <row r="1042478" spans="1:7" customHeight="1" ht="12.8"/>
    <row r="1042479" spans="1:7" customHeight="1" ht="12.8"/>
    <row r="1042480" spans="1:7" customHeight="1" ht="12.8"/>
    <row r="1042481" spans="1:7" customHeight="1" ht="12.8"/>
    <row r="1042482" spans="1:7" customHeight="1" ht="12.8"/>
    <row r="1042483" spans="1:7" customHeight="1" ht="12.8"/>
    <row r="1042484" spans="1:7" customHeight="1" ht="12.8"/>
    <row r="1042485" spans="1:7" customHeight="1" ht="12.8"/>
    <row r="1042486" spans="1:7" customHeight="1" ht="12.8"/>
    <row r="1042487" spans="1:7" customHeight="1" ht="12.8"/>
    <row r="1042488" spans="1:7" customHeight="1" ht="12.8"/>
    <row r="1042489" spans="1:7" customHeight="1" ht="12.8"/>
    <row r="1042490" spans="1:7" customHeight="1" ht="12.8"/>
    <row r="1042491" spans="1:7" customHeight="1" ht="12.8"/>
    <row r="1042492" spans="1:7" customHeight="1" ht="12.8"/>
    <row r="1042493" spans="1:7" customHeight="1" ht="12.8"/>
    <row r="1042494" spans="1:7" customHeight="1" ht="12.8"/>
    <row r="1042495" spans="1:7" customHeight="1" ht="12.8"/>
    <row r="1042496" spans="1:7" customHeight="1" ht="12.8"/>
    <row r="1042497" spans="1:7" customHeight="1" ht="12.8"/>
    <row r="1042498" spans="1:7" customHeight="1" ht="12.8"/>
    <row r="1042499" spans="1:7" customHeight="1" ht="12.8"/>
    <row r="1042500" spans="1:7" customHeight="1" ht="12.8"/>
    <row r="1042501" spans="1:7" customHeight="1" ht="12.8"/>
    <row r="1042502" spans="1:7" customHeight="1" ht="12.8"/>
    <row r="1042503" spans="1:7" customHeight="1" ht="12.8"/>
    <row r="1042504" spans="1:7" customHeight="1" ht="12.8"/>
    <row r="1042505" spans="1:7" customHeight="1" ht="12.8"/>
    <row r="1042506" spans="1:7" customHeight="1" ht="12.8"/>
    <row r="1042507" spans="1:7" customHeight="1" ht="12.8"/>
    <row r="1042508" spans="1:7" customHeight="1" ht="12.8"/>
    <row r="1042509" spans="1:7" customHeight="1" ht="12.8"/>
    <row r="1042510" spans="1:7" customHeight="1" ht="12.8"/>
    <row r="1042511" spans="1:7" customHeight="1" ht="12.8"/>
    <row r="1042512" spans="1:7" customHeight="1" ht="12.8"/>
    <row r="1042513" spans="1:7" customHeight="1" ht="12.8"/>
    <row r="1042514" spans="1:7" customHeight="1" ht="12.8"/>
    <row r="1042515" spans="1:7" customHeight="1" ht="12.8"/>
    <row r="1042516" spans="1:7" customHeight="1" ht="12.8"/>
    <row r="1042517" spans="1:7" customHeight="1" ht="12.8"/>
    <row r="1042518" spans="1:7" customHeight="1" ht="12.8"/>
    <row r="1042519" spans="1:7" customHeight="1" ht="12.8"/>
    <row r="1042520" spans="1:7" customHeight="1" ht="12.8"/>
    <row r="1042521" spans="1:7" customHeight="1" ht="12.8"/>
    <row r="1042522" spans="1:7" customHeight="1" ht="12.8"/>
    <row r="1042523" spans="1:7" customHeight="1" ht="12.8"/>
    <row r="1042524" spans="1:7" customHeight="1" ht="12.8"/>
    <row r="1042525" spans="1:7" customHeight="1" ht="12.8"/>
    <row r="1042526" spans="1:7" customHeight="1" ht="12.8"/>
    <row r="1042527" spans="1:7" customHeight="1" ht="12.8"/>
    <row r="1042528" spans="1:7" customHeight="1" ht="12.8"/>
    <row r="1042529" spans="1:7" customHeight="1" ht="12.8"/>
    <row r="1042530" spans="1:7" customHeight="1" ht="12.8"/>
    <row r="1042531" spans="1:7" customHeight="1" ht="12.8"/>
    <row r="1042532" spans="1:7" customHeight="1" ht="12.8"/>
    <row r="1042533" spans="1:7" customHeight="1" ht="12.8"/>
    <row r="1042534" spans="1:7" customHeight="1" ht="12.8"/>
    <row r="1042535" spans="1:7" customHeight="1" ht="12.8"/>
    <row r="1042536" spans="1:7" customHeight="1" ht="12.8"/>
    <row r="1042537" spans="1:7" customHeight="1" ht="12.8"/>
    <row r="1042538" spans="1:7" customHeight="1" ht="12.8"/>
    <row r="1042539" spans="1:7" customHeight="1" ht="12.8"/>
    <row r="1042540" spans="1:7" customHeight="1" ht="12.8"/>
    <row r="1042541" spans="1:7" customHeight="1" ht="12.8"/>
    <row r="1042542" spans="1:7" customHeight="1" ht="12.8"/>
    <row r="1042543" spans="1:7" customHeight="1" ht="12.8"/>
    <row r="1042544" spans="1:7" customHeight="1" ht="12.8"/>
    <row r="1042545" spans="1:7" customHeight="1" ht="12.8"/>
    <row r="1042546" spans="1:7" customHeight="1" ht="12.8"/>
    <row r="1042547" spans="1:7" customHeight="1" ht="12.8"/>
    <row r="1042548" spans="1:7" customHeight="1" ht="12.8"/>
    <row r="1042549" spans="1:7" customHeight="1" ht="12.8"/>
    <row r="1042550" spans="1:7" customHeight="1" ht="12.8"/>
    <row r="1042551" spans="1:7" customHeight="1" ht="12.8"/>
    <row r="1042552" spans="1:7" customHeight="1" ht="12.8"/>
    <row r="1042553" spans="1:7" customHeight="1" ht="12.8"/>
    <row r="1042554" spans="1:7" customHeight="1" ht="12.8"/>
    <row r="1042555" spans="1:7" customHeight="1" ht="12.8"/>
    <row r="1042556" spans="1:7" customHeight="1" ht="12.8"/>
    <row r="1042557" spans="1:7" customHeight="1" ht="12.8"/>
    <row r="1042558" spans="1:7" customHeight="1" ht="12.8"/>
    <row r="1042559" spans="1:7" customHeight="1" ht="12.8"/>
    <row r="1042560" spans="1:7" customHeight="1" ht="12.8"/>
    <row r="1042561" spans="1:7" customHeight="1" ht="12.8"/>
    <row r="1042562" spans="1:7" customHeight="1" ht="12.8"/>
    <row r="1042563" spans="1:7" customHeight="1" ht="12.8"/>
    <row r="1042564" spans="1:7" customHeight="1" ht="12.8"/>
    <row r="1042565" spans="1:7" customHeight="1" ht="12.8"/>
    <row r="1042566" spans="1:7" customHeight="1" ht="12.8"/>
    <row r="1042567" spans="1:7" customHeight="1" ht="12.8"/>
    <row r="1042568" spans="1:7" customHeight="1" ht="12.8"/>
    <row r="1042569" spans="1:7" customHeight="1" ht="12.8"/>
    <row r="1042570" spans="1:7" customHeight="1" ht="12.8"/>
    <row r="1042571" spans="1:7" customHeight="1" ht="12.8"/>
    <row r="1042572" spans="1:7" customHeight="1" ht="12.8"/>
    <row r="1042573" spans="1:7" customHeight="1" ht="12.8"/>
    <row r="1042574" spans="1:7" customHeight="1" ht="12.8"/>
    <row r="1042575" spans="1:7" customHeight="1" ht="12.8"/>
    <row r="1042576" spans="1:7" customHeight="1" ht="12.8"/>
    <row r="1042577" spans="1:7" customHeight="1" ht="12.8"/>
    <row r="1042578" spans="1:7" customHeight="1" ht="12.8"/>
    <row r="1042579" spans="1:7" customHeight="1" ht="12.8"/>
    <row r="1042580" spans="1:7" customHeight="1" ht="12.8"/>
    <row r="1042581" spans="1:7" customHeight="1" ht="12.8"/>
    <row r="1042582" spans="1:7" customHeight="1" ht="12.8"/>
    <row r="1042583" spans="1:7" customHeight="1" ht="12.8"/>
    <row r="1042584" spans="1:7" customHeight="1" ht="12.8"/>
    <row r="1042585" spans="1:7" customHeight="1" ht="12.8"/>
    <row r="1042586" spans="1:7" customHeight="1" ht="12.8"/>
    <row r="1042587" spans="1:7" customHeight="1" ht="12.8"/>
    <row r="1042588" spans="1:7" customHeight="1" ht="12.8"/>
    <row r="1042589" spans="1:7" customHeight="1" ht="12.8"/>
    <row r="1042590" spans="1:7" customHeight="1" ht="12.8"/>
    <row r="1042591" spans="1:7" customHeight="1" ht="12.8"/>
    <row r="1042592" spans="1:7" customHeight="1" ht="12.8"/>
    <row r="1042593" spans="1:7" customHeight="1" ht="12.8"/>
    <row r="1042594" spans="1:7" customHeight="1" ht="12.8"/>
    <row r="1042595" spans="1:7" customHeight="1" ht="12.8"/>
    <row r="1042596" spans="1:7" customHeight="1" ht="12.8"/>
    <row r="1042597" spans="1:7" customHeight="1" ht="12.8"/>
    <row r="1042598" spans="1:7" customHeight="1" ht="12.8"/>
    <row r="1042599" spans="1:7" customHeight="1" ht="12.8"/>
    <row r="1042600" spans="1:7" customHeight="1" ht="12.8"/>
    <row r="1042601" spans="1:7" customHeight="1" ht="12.8"/>
    <row r="1042602" spans="1:7" customHeight="1" ht="12.8"/>
    <row r="1042603" spans="1:7" customHeight="1" ht="12.8"/>
    <row r="1042604" spans="1:7" customHeight="1" ht="12.8"/>
    <row r="1042605" spans="1:7" customHeight="1" ht="12.8"/>
    <row r="1042606" spans="1:7" customHeight="1" ht="12.8"/>
    <row r="1042607" spans="1:7" customHeight="1" ht="12.8"/>
    <row r="1042608" spans="1:7" customHeight="1" ht="12.8"/>
    <row r="1042609" spans="1:7" customHeight="1" ht="12.8"/>
    <row r="1042610" spans="1:7" customHeight="1" ht="12.8"/>
    <row r="1042611" spans="1:7" customHeight="1" ht="12.8"/>
    <row r="1042612" spans="1:7" customHeight="1" ht="12.8"/>
    <row r="1042613" spans="1:7" customHeight="1" ht="12.8"/>
    <row r="1042614" spans="1:7" customHeight="1" ht="12.8"/>
    <row r="1042615" spans="1:7" customHeight="1" ht="12.8"/>
    <row r="1042616" spans="1:7" customHeight="1" ht="12.8"/>
    <row r="1042617" spans="1:7" customHeight="1" ht="12.8"/>
    <row r="1042618" spans="1:7" customHeight="1" ht="12.8"/>
    <row r="1042619" spans="1:7" customHeight="1" ht="12.8"/>
    <row r="1042620" spans="1:7" customHeight="1" ht="12.8"/>
    <row r="1042621" spans="1:7" customHeight="1" ht="12.8"/>
    <row r="1042622" spans="1:7" customHeight="1" ht="12.8"/>
    <row r="1042623" spans="1:7" customHeight="1" ht="12.8"/>
    <row r="1042624" spans="1:7" customHeight="1" ht="12.8"/>
    <row r="1042625" spans="1:7" customHeight="1" ht="12.8"/>
    <row r="1042626" spans="1:7" customHeight="1" ht="12.8"/>
    <row r="1042627" spans="1:7" customHeight="1" ht="12.8"/>
    <row r="1042628" spans="1:7" customHeight="1" ht="12.8"/>
    <row r="1042629" spans="1:7" customHeight="1" ht="12.8"/>
    <row r="1042630" spans="1:7" customHeight="1" ht="12.8"/>
    <row r="1042631" spans="1:7" customHeight="1" ht="12.8"/>
    <row r="1042632" spans="1:7" customHeight="1" ht="12.8"/>
    <row r="1042633" spans="1:7" customHeight="1" ht="12.8"/>
    <row r="1042634" spans="1:7" customHeight="1" ht="12.8"/>
    <row r="1042635" spans="1:7" customHeight="1" ht="12.8"/>
    <row r="1042636" spans="1:7" customHeight="1" ht="12.8"/>
    <row r="1042637" spans="1:7" customHeight="1" ht="12.8"/>
    <row r="1042638" spans="1:7" customHeight="1" ht="12.8"/>
    <row r="1042639" spans="1:7" customHeight="1" ht="12.8"/>
    <row r="1042640" spans="1:7" customHeight="1" ht="12.8"/>
    <row r="1042641" spans="1:7" customHeight="1" ht="12.8"/>
    <row r="1042642" spans="1:7" customHeight="1" ht="12.8"/>
    <row r="1042643" spans="1:7" customHeight="1" ht="12.8"/>
    <row r="1042644" spans="1:7" customHeight="1" ht="12.8"/>
    <row r="1042645" spans="1:7" customHeight="1" ht="12.8"/>
    <row r="1042646" spans="1:7" customHeight="1" ht="12.8"/>
    <row r="1042647" spans="1:7" customHeight="1" ht="12.8"/>
    <row r="1042648" spans="1:7" customHeight="1" ht="12.8"/>
    <row r="1042649" spans="1:7" customHeight="1" ht="12.8"/>
    <row r="1042650" spans="1:7" customHeight="1" ht="12.8"/>
    <row r="1042651" spans="1:7" customHeight="1" ht="12.8"/>
    <row r="1042652" spans="1:7" customHeight="1" ht="12.8"/>
    <row r="1042653" spans="1:7" customHeight="1" ht="12.8"/>
    <row r="1042654" spans="1:7" customHeight="1" ht="12.8"/>
    <row r="1042655" spans="1:7" customHeight="1" ht="12.8"/>
    <row r="1042656" spans="1:7" customHeight="1" ht="12.8"/>
    <row r="1042657" spans="1:7" customHeight="1" ht="12.8"/>
    <row r="1042658" spans="1:7" customHeight="1" ht="12.8"/>
    <row r="1042659" spans="1:7" customHeight="1" ht="12.8"/>
    <row r="1042660" spans="1:7" customHeight="1" ht="12.8"/>
    <row r="1042661" spans="1:7" customHeight="1" ht="12.8"/>
    <row r="1042662" spans="1:7" customHeight="1" ht="12.8"/>
    <row r="1042663" spans="1:7" customHeight="1" ht="12.8"/>
    <row r="1042664" spans="1:7" customHeight="1" ht="12.8"/>
    <row r="1042665" spans="1:7" customHeight="1" ht="12.8"/>
    <row r="1042666" spans="1:7" customHeight="1" ht="12.8"/>
    <row r="1042667" spans="1:7" customHeight="1" ht="12.8"/>
    <row r="1042668" spans="1:7" customHeight="1" ht="12.8"/>
    <row r="1042669" spans="1:7" customHeight="1" ht="12.8"/>
    <row r="1042670" spans="1:7" customHeight="1" ht="12.8"/>
    <row r="1042671" spans="1:7" customHeight="1" ht="12.8"/>
    <row r="1042672" spans="1:7" customHeight="1" ht="12.8"/>
    <row r="1042673" spans="1:7" customHeight="1" ht="12.8"/>
    <row r="1042674" spans="1:7" customHeight="1" ht="12.8"/>
    <row r="1042675" spans="1:7" customHeight="1" ht="12.8"/>
    <row r="1042676" spans="1:7" customHeight="1" ht="12.8"/>
    <row r="1042677" spans="1:7" customHeight="1" ht="12.8"/>
    <row r="1042678" spans="1:7" customHeight="1" ht="12.8"/>
    <row r="1042679" spans="1:7" customHeight="1" ht="12.8"/>
    <row r="1042680" spans="1:7" customHeight="1" ht="12.8"/>
    <row r="1042681" spans="1:7" customHeight="1" ht="12.8"/>
    <row r="1042682" spans="1:7" customHeight="1" ht="12.8"/>
    <row r="1042683" spans="1:7" customHeight="1" ht="12.8"/>
    <row r="1042684" spans="1:7" customHeight="1" ht="12.8"/>
    <row r="1042685" spans="1:7" customHeight="1" ht="12.8"/>
    <row r="1042686" spans="1:7" customHeight="1" ht="12.8"/>
    <row r="1042687" spans="1:7" customHeight="1" ht="12.8"/>
    <row r="1042688" spans="1:7" customHeight="1" ht="12.8"/>
    <row r="1042689" spans="1:7" customHeight="1" ht="12.8"/>
    <row r="1042690" spans="1:7" customHeight="1" ht="12.8"/>
    <row r="1042691" spans="1:7" customHeight="1" ht="12.8"/>
    <row r="1042692" spans="1:7" customHeight="1" ht="12.8"/>
    <row r="1042693" spans="1:7" customHeight="1" ht="12.8"/>
    <row r="1042694" spans="1:7" customHeight="1" ht="12.8"/>
    <row r="1042695" spans="1:7" customHeight="1" ht="12.8"/>
    <row r="1042696" spans="1:7" customHeight="1" ht="12.8"/>
    <row r="1042697" spans="1:7" customHeight="1" ht="12.8"/>
    <row r="1042698" spans="1:7" customHeight="1" ht="12.8"/>
    <row r="1042699" spans="1:7" customHeight="1" ht="12.8"/>
    <row r="1042700" spans="1:7" customHeight="1" ht="12.8"/>
    <row r="1042701" spans="1:7" customHeight="1" ht="12.8"/>
    <row r="1042702" spans="1:7" customHeight="1" ht="12.8"/>
    <row r="1042703" spans="1:7" customHeight="1" ht="12.8"/>
    <row r="1042704" spans="1:7" customHeight="1" ht="12.8"/>
    <row r="1042705" spans="1:7" customHeight="1" ht="12.8"/>
    <row r="1042706" spans="1:7" customHeight="1" ht="12.8"/>
    <row r="1042707" spans="1:7" customHeight="1" ht="12.8"/>
    <row r="1042708" spans="1:7" customHeight="1" ht="12.8"/>
    <row r="1042709" spans="1:7" customHeight="1" ht="12.8"/>
    <row r="1042710" spans="1:7" customHeight="1" ht="12.8"/>
    <row r="1042711" spans="1:7" customHeight="1" ht="12.8"/>
    <row r="1042712" spans="1:7" customHeight="1" ht="12.8"/>
    <row r="1042713" spans="1:7" customHeight="1" ht="12.8"/>
    <row r="1042714" spans="1:7" customHeight="1" ht="12.8"/>
    <row r="1042715" spans="1:7" customHeight="1" ht="12.8"/>
    <row r="1042716" spans="1:7" customHeight="1" ht="12.8"/>
    <row r="1042717" spans="1:7" customHeight="1" ht="12.8"/>
    <row r="1042718" spans="1:7" customHeight="1" ht="12.8"/>
    <row r="1042719" spans="1:7" customHeight="1" ht="12.8"/>
    <row r="1042720" spans="1:7" customHeight="1" ht="12.8"/>
    <row r="1042721" spans="1:7" customHeight="1" ht="12.8"/>
    <row r="1042722" spans="1:7" customHeight="1" ht="12.8"/>
    <row r="1042723" spans="1:7" customHeight="1" ht="12.8"/>
    <row r="1042724" spans="1:7" customHeight="1" ht="12.8"/>
    <row r="1042725" spans="1:7" customHeight="1" ht="12.8"/>
    <row r="1042726" spans="1:7" customHeight="1" ht="12.8"/>
    <row r="1042727" spans="1:7" customHeight="1" ht="12.8"/>
    <row r="1042728" spans="1:7" customHeight="1" ht="12.8"/>
    <row r="1042729" spans="1:7" customHeight="1" ht="12.8"/>
    <row r="1042730" spans="1:7" customHeight="1" ht="12.8"/>
    <row r="1042731" spans="1:7" customHeight="1" ht="12.8"/>
    <row r="1042732" spans="1:7" customHeight="1" ht="12.8"/>
    <row r="1042733" spans="1:7" customHeight="1" ht="12.8"/>
    <row r="1042734" spans="1:7" customHeight="1" ht="12.8"/>
    <row r="1042735" spans="1:7" customHeight="1" ht="12.8"/>
    <row r="1042736" spans="1:7" customHeight="1" ht="12.8"/>
    <row r="1042737" spans="1:7" customHeight="1" ht="12.8"/>
    <row r="1042738" spans="1:7" customHeight="1" ht="12.8"/>
    <row r="1042739" spans="1:7" customHeight="1" ht="12.8"/>
    <row r="1042740" spans="1:7" customHeight="1" ht="12.8"/>
    <row r="1042741" spans="1:7" customHeight="1" ht="12.8"/>
    <row r="1042742" spans="1:7" customHeight="1" ht="12.8"/>
    <row r="1042743" spans="1:7" customHeight="1" ht="12.8"/>
    <row r="1042744" spans="1:7" customHeight="1" ht="12.8"/>
    <row r="1042745" spans="1:7" customHeight="1" ht="12.8"/>
    <row r="1042746" spans="1:7" customHeight="1" ht="12.8"/>
    <row r="1042747" spans="1:7" customHeight="1" ht="12.8"/>
    <row r="1042748" spans="1:7" customHeight="1" ht="12.8"/>
    <row r="1042749" spans="1:7" customHeight="1" ht="12.8"/>
    <row r="1042750" spans="1:7" customHeight="1" ht="12.8"/>
    <row r="1042751" spans="1:7" customHeight="1" ht="12.8"/>
    <row r="1042752" spans="1:7" customHeight="1" ht="12.8"/>
    <row r="1042753" spans="1:7" customHeight="1" ht="12.8"/>
    <row r="1042754" spans="1:7" customHeight="1" ht="12.8"/>
    <row r="1042755" spans="1:7" customHeight="1" ht="12.8"/>
    <row r="1042756" spans="1:7" customHeight="1" ht="12.8"/>
    <row r="1042757" spans="1:7" customHeight="1" ht="12.8"/>
    <row r="1042758" spans="1:7" customHeight="1" ht="12.8"/>
    <row r="1042759" spans="1:7" customHeight="1" ht="12.8"/>
    <row r="1042760" spans="1:7" customHeight="1" ht="12.8"/>
    <row r="1042761" spans="1:7" customHeight="1" ht="12.8"/>
    <row r="1042762" spans="1:7" customHeight="1" ht="12.8"/>
    <row r="1042763" spans="1:7" customHeight="1" ht="12.8"/>
    <row r="1042764" spans="1:7" customHeight="1" ht="12.8"/>
    <row r="1042765" spans="1:7" customHeight="1" ht="12.8"/>
    <row r="1042766" spans="1:7" customHeight="1" ht="12.8"/>
    <row r="1042767" spans="1:7" customHeight="1" ht="12.8"/>
    <row r="1042768" spans="1:7" customHeight="1" ht="12.8"/>
    <row r="1042769" spans="1:7" customHeight="1" ht="12.8"/>
    <row r="1042770" spans="1:7" customHeight="1" ht="12.8"/>
    <row r="1042771" spans="1:7" customHeight="1" ht="12.8"/>
    <row r="1042772" spans="1:7" customHeight="1" ht="12.8"/>
    <row r="1042773" spans="1:7" customHeight="1" ht="12.8"/>
    <row r="1042774" spans="1:7" customHeight="1" ht="12.8"/>
    <row r="1042775" spans="1:7" customHeight="1" ht="12.8"/>
    <row r="1042776" spans="1:7" customHeight="1" ht="12.8"/>
    <row r="1042777" spans="1:7" customHeight="1" ht="12.8"/>
    <row r="1042778" spans="1:7" customHeight="1" ht="12.8"/>
    <row r="1042779" spans="1:7" customHeight="1" ht="12.8"/>
    <row r="1042780" spans="1:7" customHeight="1" ht="12.8"/>
    <row r="1042781" spans="1:7" customHeight="1" ht="12.8"/>
    <row r="1042782" spans="1:7" customHeight="1" ht="12.8"/>
    <row r="1042783" spans="1:7" customHeight="1" ht="12.8"/>
    <row r="1042784" spans="1:7" customHeight="1" ht="12.8"/>
    <row r="1042785" spans="1:7" customHeight="1" ht="12.8"/>
    <row r="1042786" spans="1:7" customHeight="1" ht="12.8"/>
    <row r="1042787" spans="1:7" customHeight="1" ht="12.8"/>
    <row r="1042788" spans="1:7" customHeight="1" ht="12.8"/>
    <row r="1042789" spans="1:7" customHeight="1" ht="12.8"/>
    <row r="1042790" spans="1:7" customHeight="1" ht="12.8"/>
    <row r="1042791" spans="1:7" customHeight="1" ht="12.8"/>
    <row r="1042792" spans="1:7" customHeight="1" ht="12.8"/>
    <row r="1042793" spans="1:7" customHeight="1" ht="12.8"/>
    <row r="1042794" spans="1:7" customHeight="1" ht="12.8"/>
    <row r="1042795" spans="1:7" customHeight="1" ht="12.8"/>
    <row r="1042796" spans="1:7" customHeight="1" ht="12.8"/>
    <row r="1042797" spans="1:7" customHeight="1" ht="12.8"/>
    <row r="1042798" spans="1:7" customHeight="1" ht="12.8"/>
    <row r="1042799" spans="1:7" customHeight="1" ht="12.8"/>
    <row r="1042800" spans="1:7" customHeight="1" ht="12.8"/>
    <row r="1042801" spans="1:7" customHeight="1" ht="12.8"/>
    <row r="1042802" spans="1:7" customHeight="1" ht="12.8"/>
    <row r="1042803" spans="1:7" customHeight="1" ht="12.8"/>
    <row r="1042804" spans="1:7" customHeight="1" ht="12.8"/>
    <row r="1042805" spans="1:7" customHeight="1" ht="12.8"/>
    <row r="1042806" spans="1:7" customHeight="1" ht="12.8"/>
    <row r="1042807" spans="1:7" customHeight="1" ht="12.8"/>
    <row r="1042808" spans="1:7" customHeight="1" ht="12.8"/>
    <row r="1042809" spans="1:7" customHeight="1" ht="12.8"/>
    <row r="1042810" spans="1:7" customHeight="1" ht="12.8"/>
    <row r="1042811" spans="1:7" customHeight="1" ht="12.8"/>
    <row r="1042812" spans="1:7" customHeight="1" ht="12.8"/>
    <row r="1042813" spans="1:7" customHeight="1" ht="12.8"/>
    <row r="1042814" spans="1:7" customHeight="1" ht="12.8"/>
    <row r="1042815" spans="1:7" customHeight="1" ht="12.8"/>
    <row r="1042816" spans="1:7" customHeight="1" ht="12.8"/>
    <row r="1042817" spans="1:7" customHeight="1" ht="12.8"/>
    <row r="1042818" spans="1:7" customHeight="1" ht="12.8"/>
    <row r="1042819" spans="1:7" customHeight="1" ht="12.8"/>
    <row r="1042820" spans="1:7" customHeight="1" ht="12.8"/>
    <row r="1042821" spans="1:7" customHeight="1" ht="12.8"/>
    <row r="1042822" spans="1:7" customHeight="1" ht="12.8"/>
    <row r="1042823" spans="1:7" customHeight="1" ht="12.8"/>
    <row r="1042824" spans="1:7" customHeight="1" ht="12.8"/>
    <row r="1042825" spans="1:7" customHeight="1" ht="12.8"/>
    <row r="1042826" spans="1:7" customHeight="1" ht="12.8"/>
    <row r="1042827" spans="1:7" customHeight="1" ht="12.8"/>
    <row r="1042828" spans="1:7" customHeight="1" ht="12.8"/>
    <row r="1042829" spans="1:7" customHeight="1" ht="12.8"/>
    <row r="1042830" spans="1:7" customHeight="1" ht="12.8"/>
    <row r="1042831" spans="1:7" customHeight="1" ht="12.8"/>
    <row r="1042832" spans="1:7" customHeight="1" ht="12.8"/>
    <row r="1042833" spans="1:7" customHeight="1" ht="12.8"/>
    <row r="1042834" spans="1:7" customHeight="1" ht="12.8"/>
    <row r="1042835" spans="1:7" customHeight="1" ht="12.8"/>
    <row r="1042836" spans="1:7" customHeight="1" ht="12.8"/>
    <row r="1042837" spans="1:7" customHeight="1" ht="12.8"/>
    <row r="1042838" spans="1:7" customHeight="1" ht="12.8"/>
    <row r="1042839" spans="1:7" customHeight="1" ht="12.8"/>
    <row r="1042840" spans="1:7" customHeight="1" ht="12.8"/>
    <row r="1042841" spans="1:7" customHeight="1" ht="12.8"/>
    <row r="1042842" spans="1:7" customHeight="1" ht="12.8"/>
    <row r="1042843" spans="1:7" customHeight="1" ht="12.8"/>
    <row r="1042844" spans="1:7" customHeight="1" ht="12.8"/>
    <row r="1042845" spans="1:7" customHeight="1" ht="12.8"/>
    <row r="1042846" spans="1:7" customHeight="1" ht="12.8"/>
    <row r="1042847" spans="1:7" customHeight="1" ht="12.8"/>
    <row r="1042848" spans="1:7" customHeight="1" ht="12.8"/>
    <row r="1042849" spans="1:7" customHeight="1" ht="12.8"/>
    <row r="1042850" spans="1:7" customHeight="1" ht="12.8"/>
    <row r="1042851" spans="1:7" customHeight="1" ht="12.8"/>
    <row r="1042852" spans="1:7" customHeight="1" ht="12.8"/>
    <row r="1042853" spans="1:7" customHeight="1" ht="12.8"/>
    <row r="1042854" spans="1:7" customHeight="1" ht="12.8"/>
    <row r="1042855" spans="1:7" customHeight="1" ht="12.8"/>
    <row r="1042856" spans="1:7" customHeight="1" ht="12.8"/>
    <row r="1042857" spans="1:7" customHeight="1" ht="12.8"/>
    <row r="1042858" spans="1:7" customHeight="1" ht="12.8"/>
    <row r="1042859" spans="1:7" customHeight="1" ht="12.8"/>
    <row r="1042860" spans="1:7" customHeight="1" ht="12.8"/>
    <row r="1042861" spans="1:7" customHeight="1" ht="12.8"/>
    <row r="1042862" spans="1:7" customHeight="1" ht="12.8"/>
    <row r="1042863" spans="1:7" customHeight="1" ht="12.8"/>
    <row r="1042864" spans="1:7" customHeight="1" ht="12.8"/>
    <row r="1042865" spans="1:7" customHeight="1" ht="12.8"/>
    <row r="1042866" spans="1:7" customHeight="1" ht="12.8"/>
    <row r="1042867" spans="1:7" customHeight="1" ht="12.8"/>
    <row r="1042868" spans="1:7" customHeight="1" ht="12.8"/>
    <row r="1042869" spans="1:7" customHeight="1" ht="12.8"/>
    <row r="1042870" spans="1:7" customHeight="1" ht="12.8"/>
    <row r="1042871" spans="1:7" customHeight="1" ht="12.8"/>
    <row r="1042872" spans="1:7" customHeight="1" ht="12.8"/>
    <row r="1042873" spans="1:7" customHeight="1" ht="12.8"/>
    <row r="1042874" spans="1:7" customHeight="1" ht="12.8"/>
    <row r="1042875" spans="1:7" customHeight="1" ht="12.8"/>
    <row r="1042876" spans="1:7" customHeight="1" ht="12.8"/>
    <row r="1042877" spans="1:7" customHeight="1" ht="12.8"/>
    <row r="1042878" spans="1:7" customHeight="1" ht="12.8"/>
    <row r="1042879" spans="1:7" customHeight="1" ht="12.8"/>
    <row r="1042880" spans="1:7" customHeight="1" ht="12.8"/>
    <row r="1042881" spans="1:7" customHeight="1" ht="12.8"/>
    <row r="1042882" spans="1:7" customHeight="1" ht="12.8"/>
    <row r="1042883" spans="1:7" customHeight="1" ht="12.8"/>
    <row r="1042884" spans="1:7" customHeight="1" ht="12.8"/>
    <row r="1042885" spans="1:7" customHeight="1" ht="12.8"/>
    <row r="1042886" spans="1:7" customHeight="1" ht="12.8"/>
    <row r="1042887" spans="1:7" customHeight="1" ht="12.8"/>
    <row r="1042888" spans="1:7" customHeight="1" ht="12.8"/>
    <row r="1042889" spans="1:7" customHeight="1" ht="12.8"/>
    <row r="1042890" spans="1:7" customHeight="1" ht="12.8"/>
    <row r="1042891" spans="1:7" customHeight="1" ht="12.8"/>
    <row r="1042892" spans="1:7" customHeight="1" ht="12.8"/>
    <row r="1042893" spans="1:7" customHeight="1" ht="12.8"/>
    <row r="1042894" spans="1:7" customHeight="1" ht="12.8"/>
    <row r="1042895" spans="1:7" customHeight="1" ht="12.8"/>
    <row r="1042896" spans="1:7" customHeight="1" ht="12.8"/>
    <row r="1042897" spans="1:7" customHeight="1" ht="12.8"/>
    <row r="1042898" spans="1:7" customHeight="1" ht="12.8"/>
    <row r="1042899" spans="1:7" customHeight="1" ht="12.8"/>
    <row r="1042900" spans="1:7" customHeight="1" ht="12.8"/>
    <row r="1042901" spans="1:7" customHeight="1" ht="12.8"/>
    <row r="1042902" spans="1:7" customHeight="1" ht="12.8"/>
    <row r="1042903" spans="1:7" customHeight="1" ht="12.8"/>
    <row r="1042904" spans="1:7" customHeight="1" ht="12.8"/>
    <row r="1042905" spans="1:7" customHeight="1" ht="12.8"/>
    <row r="1042906" spans="1:7" customHeight="1" ht="12.8"/>
    <row r="1042907" spans="1:7" customHeight="1" ht="12.8"/>
    <row r="1042908" spans="1:7" customHeight="1" ht="12.8"/>
    <row r="1042909" spans="1:7" customHeight="1" ht="12.8"/>
    <row r="1042910" spans="1:7" customHeight="1" ht="12.8"/>
    <row r="1042911" spans="1:7" customHeight="1" ht="12.8"/>
    <row r="1042912" spans="1:7" customHeight="1" ht="12.8"/>
    <row r="1042913" spans="1:7" customHeight="1" ht="12.8"/>
    <row r="1042914" spans="1:7" customHeight="1" ht="12.8"/>
    <row r="1042915" spans="1:7" customHeight="1" ht="12.8"/>
    <row r="1042916" spans="1:7" customHeight="1" ht="12.8"/>
    <row r="1042917" spans="1:7" customHeight="1" ht="12.8"/>
    <row r="1042918" spans="1:7" customHeight="1" ht="12.8"/>
    <row r="1042919" spans="1:7" customHeight="1" ht="12.8"/>
    <row r="1042920" spans="1:7" customHeight="1" ht="12.8"/>
    <row r="1042921" spans="1:7" customHeight="1" ht="12.8"/>
    <row r="1042922" spans="1:7" customHeight="1" ht="12.8"/>
    <row r="1042923" spans="1:7" customHeight="1" ht="12.8"/>
    <row r="1042924" spans="1:7" customHeight="1" ht="12.8"/>
    <row r="1042925" spans="1:7" customHeight="1" ht="12.8"/>
    <row r="1042926" spans="1:7" customHeight="1" ht="12.8"/>
    <row r="1042927" spans="1:7" customHeight="1" ht="12.8"/>
    <row r="1042928" spans="1:7" customHeight="1" ht="12.8"/>
    <row r="1042929" spans="1:7" customHeight="1" ht="12.8"/>
    <row r="1042930" spans="1:7" customHeight="1" ht="12.8"/>
    <row r="1042931" spans="1:7" customHeight="1" ht="12.8"/>
    <row r="1042932" spans="1:7" customHeight="1" ht="12.8"/>
    <row r="1042933" spans="1:7" customHeight="1" ht="12.8"/>
    <row r="1042934" spans="1:7" customHeight="1" ht="12.8"/>
    <row r="1042935" spans="1:7" customHeight="1" ht="12.8"/>
    <row r="1042936" spans="1:7" customHeight="1" ht="12.8"/>
    <row r="1042937" spans="1:7" customHeight="1" ht="12.8"/>
    <row r="1042938" spans="1:7" customHeight="1" ht="12.8"/>
    <row r="1042939" spans="1:7" customHeight="1" ht="12.8"/>
    <row r="1042940" spans="1:7" customHeight="1" ht="12.8"/>
    <row r="1042941" spans="1:7" customHeight="1" ht="12.8"/>
    <row r="1042942" spans="1:7" customHeight="1" ht="12.8"/>
    <row r="1042943" spans="1:7" customHeight="1" ht="12.8"/>
    <row r="1042944" spans="1:7" customHeight="1" ht="12.8"/>
    <row r="1042945" spans="1:7" customHeight="1" ht="12.8"/>
    <row r="1042946" spans="1:7" customHeight="1" ht="12.8"/>
    <row r="1042947" spans="1:7" customHeight="1" ht="12.8"/>
    <row r="1042948" spans="1:7" customHeight="1" ht="12.8"/>
    <row r="1042949" spans="1:7" customHeight="1" ht="12.8"/>
    <row r="1042950" spans="1:7" customHeight="1" ht="12.8"/>
    <row r="1042951" spans="1:7" customHeight="1" ht="12.8"/>
    <row r="1042952" spans="1:7" customHeight="1" ht="12.8"/>
    <row r="1042953" spans="1:7" customHeight="1" ht="12.8"/>
    <row r="1042954" spans="1:7" customHeight="1" ht="12.8"/>
    <row r="1042955" spans="1:7" customHeight="1" ht="12.8"/>
    <row r="1042956" spans="1:7" customHeight="1" ht="12.8"/>
    <row r="1042957" spans="1:7" customHeight="1" ht="12.8"/>
    <row r="1042958" spans="1:7" customHeight="1" ht="12.8"/>
    <row r="1042959" spans="1:7" customHeight="1" ht="12.8"/>
    <row r="1042960" spans="1:7" customHeight="1" ht="12.8"/>
    <row r="1042961" spans="1:7" customHeight="1" ht="12.8"/>
    <row r="1042962" spans="1:7" customHeight="1" ht="12.8"/>
    <row r="1042963" spans="1:7" customHeight="1" ht="12.8"/>
    <row r="1042964" spans="1:7" customHeight="1" ht="12.8"/>
    <row r="1042965" spans="1:7" customHeight="1" ht="12.8"/>
    <row r="1042966" spans="1:7" customHeight="1" ht="12.8"/>
    <row r="1042967" spans="1:7" customHeight="1" ht="12.8"/>
    <row r="1042968" spans="1:7" customHeight="1" ht="12.8"/>
    <row r="1042969" spans="1:7" customHeight="1" ht="12.8"/>
    <row r="1042970" spans="1:7" customHeight="1" ht="12.8"/>
    <row r="1042971" spans="1:7" customHeight="1" ht="12.8"/>
    <row r="1042972" spans="1:7" customHeight="1" ht="12.8"/>
    <row r="1042973" spans="1:7" customHeight="1" ht="12.8"/>
    <row r="1042974" spans="1:7" customHeight="1" ht="12.8"/>
    <row r="1042975" spans="1:7" customHeight="1" ht="12.8"/>
    <row r="1042976" spans="1:7" customHeight="1" ht="12.8"/>
    <row r="1042977" spans="1:7" customHeight="1" ht="12.8"/>
    <row r="1042978" spans="1:7" customHeight="1" ht="12.8"/>
    <row r="1042979" spans="1:7" customHeight="1" ht="12.8"/>
    <row r="1042980" spans="1:7" customHeight="1" ht="12.8"/>
    <row r="1042981" spans="1:7" customHeight="1" ht="12.8"/>
    <row r="1042982" spans="1:7" customHeight="1" ht="12.8"/>
    <row r="1042983" spans="1:7" customHeight="1" ht="12.8"/>
    <row r="1042984" spans="1:7" customHeight="1" ht="12.8"/>
    <row r="1042985" spans="1:7" customHeight="1" ht="12.8"/>
    <row r="1042986" spans="1:7" customHeight="1" ht="12.8"/>
    <row r="1042987" spans="1:7" customHeight="1" ht="12.8"/>
    <row r="1042988" spans="1:7" customHeight="1" ht="12.8"/>
    <row r="1042989" spans="1:7" customHeight="1" ht="12.8"/>
    <row r="1042990" spans="1:7" customHeight="1" ht="12.8"/>
    <row r="1042991" spans="1:7" customHeight="1" ht="12.8"/>
    <row r="1042992" spans="1:7" customHeight="1" ht="12.8"/>
    <row r="1042993" spans="1:7" customHeight="1" ht="12.8"/>
    <row r="1042994" spans="1:7" customHeight="1" ht="12.8"/>
    <row r="1042995" spans="1:7" customHeight="1" ht="12.8"/>
    <row r="1042996" spans="1:7" customHeight="1" ht="12.8"/>
    <row r="1042997" spans="1:7" customHeight="1" ht="12.8"/>
    <row r="1042998" spans="1:7" customHeight="1" ht="12.8"/>
    <row r="1042999" spans="1:7" customHeight="1" ht="12.8"/>
    <row r="1043000" spans="1:7" customHeight="1" ht="12.8"/>
    <row r="1043001" spans="1:7" customHeight="1" ht="12.8"/>
    <row r="1043002" spans="1:7" customHeight="1" ht="12.8"/>
    <row r="1043003" spans="1:7" customHeight="1" ht="12.8"/>
    <row r="1043004" spans="1:7" customHeight="1" ht="12.8"/>
    <row r="1043005" spans="1:7" customHeight="1" ht="12.8"/>
    <row r="1043006" spans="1:7" customHeight="1" ht="12.8"/>
    <row r="1043007" spans="1:7" customHeight="1" ht="12.8"/>
    <row r="1043008" spans="1:7" customHeight="1" ht="12.8"/>
    <row r="1043009" spans="1:7" customHeight="1" ht="12.8"/>
    <row r="1043010" spans="1:7" customHeight="1" ht="12.8"/>
    <row r="1043011" spans="1:7" customHeight="1" ht="12.8"/>
    <row r="1043012" spans="1:7" customHeight="1" ht="12.8"/>
    <row r="1043013" spans="1:7" customHeight="1" ht="12.8"/>
    <row r="1043014" spans="1:7" customHeight="1" ht="12.8"/>
    <row r="1043015" spans="1:7" customHeight="1" ht="12.8"/>
    <row r="1043016" spans="1:7" customHeight="1" ht="12.8"/>
    <row r="1043017" spans="1:7" customHeight="1" ht="12.8"/>
    <row r="1043018" spans="1:7" customHeight="1" ht="12.8"/>
    <row r="1043019" spans="1:7" customHeight="1" ht="12.8"/>
    <row r="1043020" spans="1:7" customHeight="1" ht="12.8"/>
    <row r="1043021" spans="1:7" customHeight="1" ht="12.8"/>
    <row r="1043022" spans="1:7" customHeight="1" ht="12.8"/>
    <row r="1043023" spans="1:7" customHeight="1" ht="12.8"/>
    <row r="1043024" spans="1:7" customHeight="1" ht="12.8"/>
    <row r="1043025" spans="1:7" customHeight="1" ht="12.8"/>
    <row r="1043026" spans="1:7" customHeight="1" ht="12.8"/>
    <row r="1043027" spans="1:7" customHeight="1" ht="12.8"/>
    <row r="1043028" spans="1:7" customHeight="1" ht="12.8"/>
    <row r="1043029" spans="1:7" customHeight="1" ht="12.8"/>
    <row r="1043030" spans="1:7" customHeight="1" ht="12.8"/>
    <row r="1043031" spans="1:7" customHeight="1" ht="12.8"/>
    <row r="1043032" spans="1:7" customHeight="1" ht="12.8"/>
    <row r="1043033" spans="1:7" customHeight="1" ht="12.8"/>
    <row r="1043034" spans="1:7" customHeight="1" ht="12.8"/>
    <row r="1043035" spans="1:7" customHeight="1" ht="12.8"/>
    <row r="1043036" spans="1:7" customHeight="1" ht="12.8"/>
    <row r="1043037" spans="1:7" customHeight="1" ht="12.8"/>
    <row r="1043038" spans="1:7" customHeight="1" ht="12.8"/>
    <row r="1043039" spans="1:7" customHeight="1" ht="12.8"/>
    <row r="1043040" spans="1:7" customHeight="1" ht="12.8"/>
    <row r="1043041" spans="1:7" customHeight="1" ht="12.8"/>
    <row r="1043042" spans="1:7" customHeight="1" ht="12.8"/>
    <row r="1043043" spans="1:7" customHeight="1" ht="12.8"/>
    <row r="1043044" spans="1:7" customHeight="1" ht="12.8"/>
    <row r="1043045" spans="1:7" customHeight="1" ht="12.8"/>
    <row r="1043046" spans="1:7" customHeight="1" ht="12.8"/>
    <row r="1043047" spans="1:7" customHeight="1" ht="12.8"/>
    <row r="1043048" spans="1:7" customHeight="1" ht="12.8"/>
    <row r="1043049" spans="1:7" customHeight="1" ht="12.8"/>
    <row r="1043050" spans="1:7" customHeight="1" ht="12.8"/>
    <row r="1043051" spans="1:7" customHeight="1" ht="12.8"/>
    <row r="1043052" spans="1:7" customHeight="1" ht="12.8"/>
    <row r="1043053" spans="1:7" customHeight="1" ht="12.8"/>
    <row r="1043054" spans="1:7" customHeight="1" ht="12.8"/>
    <row r="1043055" spans="1:7" customHeight="1" ht="12.8"/>
    <row r="1043056" spans="1:7" customHeight="1" ht="12.8"/>
    <row r="1043057" spans="1:7" customHeight="1" ht="12.8"/>
    <row r="1043058" spans="1:7" customHeight="1" ht="12.8"/>
    <row r="1043059" spans="1:7" customHeight="1" ht="12.8"/>
    <row r="1043060" spans="1:7" customHeight="1" ht="12.8"/>
    <row r="1043061" spans="1:7" customHeight="1" ht="12.8"/>
    <row r="1043062" spans="1:7" customHeight="1" ht="12.8"/>
    <row r="1043063" spans="1:7" customHeight="1" ht="12.8"/>
    <row r="1043064" spans="1:7" customHeight="1" ht="12.8"/>
    <row r="1043065" spans="1:7" customHeight="1" ht="12.8"/>
    <row r="1043066" spans="1:7" customHeight="1" ht="12.8"/>
    <row r="1043067" spans="1:7" customHeight="1" ht="12.8"/>
    <row r="1043068" spans="1:7" customHeight="1" ht="12.8"/>
    <row r="1043069" spans="1:7" customHeight="1" ht="12.8"/>
    <row r="1043070" spans="1:7" customHeight="1" ht="12.8"/>
    <row r="1043071" spans="1:7" customHeight="1" ht="12.8"/>
    <row r="1043072" spans="1:7" customHeight="1" ht="12.8"/>
    <row r="1043073" spans="1:7" customHeight="1" ht="12.8"/>
    <row r="1043074" spans="1:7" customHeight="1" ht="12.8"/>
    <row r="1043075" spans="1:7" customHeight="1" ht="12.8"/>
    <row r="1043076" spans="1:7" customHeight="1" ht="12.8"/>
    <row r="1043077" spans="1:7" customHeight="1" ht="12.8"/>
    <row r="1043078" spans="1:7" customHeight="1" ht="12.8"/>
    <row r="1043079" spans="1:7" customHeight="1" ht="12.8"/>
    <row r="1043080" spans="1:7" customHeight="1" ht="12.8"/>
    <row r="1043081" spans="1:7" customHeight="1" ht="12.8"/>
    <row r="1043082" spans="1:7" customHeight="1" ht="12.8"/>
    <row r="1043083" spans="1:7" customHeight="1" ht="12.8"/>
    <row r="1043084" spans="1:7" customHeight="1" ht="12.8"/>
    <row r="1043085" spans="1:7" customHeight="1" ht="12.8"/>
    <row r="1043086" spans="1:7" customHeight="1" ht="12.8"/>
    <row r="1043087" spans="1:7" customHeight="1" ht="12.8"/>
    <row r="1043088" spans="1:7" customHeight="1" ht="12.8"/>
    <row r="1043089" spans="1:7" customHeight="1" ht="12.8"/>
    <row r="1043090" spans="1:7" customHeight="1" ht="12.8"/>
    <row r="1043091" spans="1:7" customHeight="1" ht="12.8"/>
    <row r="1043092" spans="1:7" customHeight="1" ht="12.8"/>
    <row r="1043093" spans="1:7" customHeight="1" ht="12.8"/>
    <row r="1043094" spans="1:7" customHeight="1" ht="12.8"/>
    <row r="1043095" spans="1:7" customHeight="1" ht="12.8"/>
    <row r="1043096" spans="1:7" customHeight="1" ht="12.8"/>
    <row r="1043097" spans="1:7" customHeight="1" ht="12.8"/>
    <row r="1043098" spans="1:7" customHeight="1" ht="12.8"/>
    <row r="1043099" spans="1:7" customHeight="1" ht="12.8"/>
    <row r="1043100" spans="1:7" customHeight="1" ht="12.8"/>
    <row r="1043101" spans="1:7" customHeight="1" ht="12.8"/>
    <row r="1043102" spans="1:7" customHeight="1" ht="12.8"/>
    <row r="1043103" spans="1:7" customHeight="1" ht="12.8"/>
    <row r="1043104" spans="1:7" customHeight="1" ht="12.8"/>
    <row r="1043105" spans="1:7" customHeight="1" ht="12.8"/>
    <row r="1043106" spans="1:7" customHeight="1" ht="12.8"/>
    <row r="1043107" spans="1:7" customHeight="1" ht="12.8"/>
    <row r="1043108" spans="1:7" customHeight="1" ht="12.8"/>
    <row r="1043109" spans="1:7" customHeight="1" ht="12.8"/>
    <row r="1043110" spans="1:7" customHeight="1" ht="12.8"/>
    <row r="1043111" spans="1:7" customHeight="1" ht="12.8"/>
    <row r="1043112" spans="1:7" customHeight="1" ht="12.8"/>
    <row r="1043113" spans="1:7" customHeight="1" ht="12.8"/>
    <row r="1043114" spans="1:7" customHeight="1" ht="12.8"/>
    <row r="1043115" spans="1:7" customHeight="1" ht="12.8"/>
    <row r="1043116" spans="1:7" customHeight="1" ht="12.8"/>
    <row r="1043117" spans="1:7" customHeight="1" ht="12.8"/>
    <row r="1043118" spans="1:7" customHeight="1" ht="12.8"/>
    <row r="1043119" spans="1:7" customHeight="1" ht="12.8"/>
    <row r="1043120" spans="1:7" customHeight="1" ht="12.8"/>
    <row r="1043121" spans="1:7" customHeight="1" ht="12.8"/>
    <row r="1043122" spans="1:7" customHeight="1" ht="12.8"/>
    <row r="1043123" spans="1:7" customHeight="1" ht="12.8"/>
    <row r="1043124" spans="1:7" customHeight="1" ht="12.8"/>
    <row r="1043125" spans="1:7" customHeight="1" ht="12.8"/>
    <row r="1043126" spans="1:7" customHeight="1" ht="12.8"/>
    <row r="1043127" spans="1:7" customHeight="1" ht="12.8"/>
    <row r="1043128" spans="1:7" customHeight="1" ht="12.8"/>
    <row r="1043129" spans="1:7" customHeight="1" ht="12.8"/>
    <row r="1043130" spans="1:7" customHeight="1" ht="12.8"/>
    <row r="1043131" spans="1:7" customHeight="1" ht="12.8"/>
    <row r="1043132" spans="1:7" customHeight="1" ht="12.8"/>
    <row r="1043133" spans="1:7" customHeight="1" ht="12.8"/>
    <row r="1043134" spans="1:7" customHeight="1" ht="12.8"/>
    <row r="1043135" spans="1:7" customHeight="1" ht="12.8"/>
    <row r="1043136" spans="1:7" customHeight="1" ht="12.8"/>
    <row r="1043137" spans="1:7" customHeight="1" ht="12.8"/>
    <row r="1043138" spans="1:7" customHeight="1" ht="12.8"/>
    <row r="1043139" spans="1:7" customHeight="1" ht="12.8"/>
    <row r="1043140" spans="1:7" customHeight="1" ht="12.8"/>
    <row r="1043141" spans="1:7" customHeight="1" ht="12.8"/>
    <row r="1043142" spans="1:7" customHeight="1" ht="12.8"/>
    <row r="1043143" spans="1:7" customHeight="1" ht="12.8"/>
    <row r="1043144" spans="1:7" customHeight="1" ht="12.8"/>
    <row r="1043145" spans="1:7" customHeight="1" ht="12.8"/>
    <row r="1043146" spans="1:7" customHeight="1" ht="12.8"/>
    <row r="1043147" spans="1:7" customHeight="1" ht="12.8"/>
    <row r="1043148" spans="1:7" customHeight="1" ht="12.8"/>
    <row r="1043149" spans="1:7" customHeight="1" ht="12.8"/>
    <row r="1043150" spans="1:7" customHeight="1" ht="12.8"/>
    <row r="1043151" spans="1:7" customHeight="1" ht="12.8"/>
    <row r="1043152" spans="1:7" customHeight="1" ht="12.8"/>
    <row r="1043153" spans="1:7" customHeight="1" ht="12.8"/>
    <row r="1043154" spans="1:7" customHeight="1" ht="12.8"/>
    <row r="1043155" spans="1:7" customHeight="1" ht="12.8"/>
    <row r="1043156" spans="1:7" customHeight="1" ht="12.8"/>
    <row r="1043157" spans="1:7" customHeight="1" ht="12.8"/>
    <row r="1043158" spans="1:7" customHeight="1" ht="12.8"/>
    <row r="1043159" spans="1:7" customHeight="1" ht="12.8"/>
    <row r="1043160" spans="1:7" customHeight="1" ht="12.8"/>
    <row r="1043161" spans="1:7" customHeight="1" ht="12.8"/>
    <row r="1043162" spans="1:7" customHeight="1" ht="12.8"/>
    <row r="1043163" spans="1:7" customHeight="1" ht="12.8"/>
    <row r="1043164" spans="1:7" customHeight="1" ht="12.8"/>
    <row r="1043165" spans="1:7" customHeight="1" ht="12.8"/>
    <row r="1043166" spans="1:7" customHeight="1" ht="12.8"/>
    <row r="1043167" spans="1:7" customHeight="1" ht="12.8"/>
    <row r="1043168" spans="1:7" customHeight="1" ht="12.8"/>
    <row r="1043169" spans="1:7" customHeight="1" ht="12.8"/>
    <row r="1043170" spans="1:7" customHeight="1" ht="12.8"/>
    <row r="1043171" spans="1:7" customHeight="1" ht="12.8"/>
    <row r="1043172" spans="1:7" customHeight="1" ht="12.8"/>
    <row r="1043173" spans="1:7" customHeight="1" ht="12.8"/>
    <row r="1043174" spans="1:7" customHeight="1" ht="12.8"/>
    <row r="1043175" spans="1:7" customHeight="1" ht="12.8"/>
    <row r="1043176" spans="1:7" customHeight="1" ht="12.8"/>
    <row r="1043177" spans="1:7" customHeight="1" ht="12.8"/>
    <row r="1043178" spans="1:7" customHeight="1" ht="12.8"/>
    <row r="1043179" spans="1:7" customHeight="1" ht="12.8"/>
    <row r="1043180" spans="1:7" customHeight="1" ht="12.8"/>
    <row r="1043181" spans="1:7" customHeight="1" ht="12.8"/>
    <row r="1043182" spans="1:7" customHeight="1" ht="12.8"/>
    <row r="1043183" spans="1:7" customHeight="1" ht="12.8"/>
    <row r="1043184" spans="1:7" customHeight="1" ht="12.8"/>
    <row r="1043185" spans="1:7" customHeight="1" ht="12.8"/>
    <row r="1043186" spans="1:7" customHeight="1" ht="12.8"/>
    <row r="1043187" spans="1:7" customHeight="1" ht="12.8"/>
    <row r="1043188" spans="1:7" customHeight="1" ht="12.8"/>
    <row r="1043189" spans="1:7" customHeight="1" ht="12.8"/>
    <row r="1043190" spans="1:7" customHeight="1" ht="12.8"/>
    <row r="1043191" spans="1:7" customHeight="1" ht="12.8"/>
    <row r="1043192" spans="1:7" customHeight="1" ht="12.8"/>
    <row r="1043193" spans="1:7" customHeight="1" ht="12.8"/>
    <row r="1043194" spans="1:7" customHeight="1" ht="12.8"/>
    <row r="1043195" spans="1:7" customHeight="1" ht="12.8"/>
    <row r="1043196" spans="1:7" customHeight="1" ht="12.8"/>
    <row r="1043197" spans="1:7" customHeight="1" ht="12.8"/>
    <row r="1043198" spans="1:7" customHeight="1" ht="12.8"/>
    <row r="1043199" spans="1:7" customHeight="1" ht="12.8"/>
    <row r="1043200" spans="1:7" customHeight="1" ht="12.8"/>
    <row r="1043201" spans="1:7" customHeight="1" ht="12.8"/>
    <row r="1043202" spans="1:7" customHeight="1" ht="12.8"/>
    <row r="1043203" spans="1:7" customHeight="1" ht="12.8"/>
    <row r="1043204" spans="1:7" customHeight="1" ht="12.8"/>
    <row r="1043205" spans="1:7" customHeight="1" ht="12.8"/>
    <row r="1043206" spans="1:7" customHeight="1" ht="12.8"/>
    <row r="1043207" spans="1:7" customHeight="1" ht="12.8"/>
    <row r="1043208" spans="1:7" customHeight="1" ht="12.8"/>
    <row r="1043209" spans="1:7" customHeight="1" ht="12.8"/>
    <row r="1043210" spans="1:7" customHeight="1" ht="12.8"/>
    <row r="1043211" spans="1:7" customHeight="1" ht="12.8"/>
    <row r="1043212" spans="1:7" customHeight="1" ht="12.8"/>
    <row r="1043213" spans="1:7" customHeight="1" ht="12.8"/>
    <row r="1043214" spans="1:7" customHeight="1" ht="12.8"/>
    <row r="1043215" spans="1:7" customHeight="1" ht="12.8"/>
    <row r="1043216" spans="1:7" customHeight="1" ht="12.8"/>
    <row r="1043217" spans="1:7" customHeight="1" ht="12.8"/>
    <row r="1043218" spans="1:7" customHeight="1" ht="12.8"/>
    <row r="1043219" spans="1:7" customHeight="1" ht="12.8"/>
    <row r="1043220" spans="1:7" customHeight="1" ht="12.8"/>
    <row r="1043221" spans="1:7" customHeight="1" ht="12.8"/>
    <row r="1043222" spans="1:7" customHeight="1" ht="12.8"/>
    <row r="1043223" spans="1:7" customHeight="1" ht="12.8"/>
    <row r="1043224" spans="1:7" customHeight="1" ht="12.8"/>
    <row r="1043225" spans="1:7" customHeight="1" ht="12.8"/>
    <row r="1043226" spans="1:7" customHeight="1" ht="12.8"/>
    <row r="1043227" spans="1:7" customHeight="1" ht="12.8"/>
    <row r="1043228" spans="1:7" customHeight="1" ht="12.8"/>
    <row r="1043229" spans="1:7" customHeight="1" ht="12.8"/>
    <row r="1043230" spans="1:7" customHeight="1" ht="12.8"/>
    <row r="1043231" spans="1:7" customHeight="1" ht="12.8"/>
    <row r="1043232" spans="1:7" customHeight="1" ht="12.8"/>
    <row r="1043233" spans="1:7" customHeight="1" ht="12.8"/>
    <row r="1043234" spans="1:7" customHeight="1" ht="12.8"/>
    <row r="1043235" spans="1:7" customHeight="1" ht="12.8"/>
    <row r="1043236" spans="1:7" customHeight="1" ht="12.8"/>
    <row r="1043237" spans="1:7" customHeight="1" ht="12.8"/>
    <row r="1043238" spans="1:7" customHeight="1" ht="12.8"/>
    <row r="1043239" spans="1:7" customHeight="1" ht="12.8"/>
    <row r="1043240" spans="1:7" customHeight="1" ht="12.8"/>
    <row r="1043241" spans="1:7" customHeight="1" ht="12.8"/>
    <row r="1043242" spans="1:7" customHeight="1" ht="12.8"/>
    <row r="1043243" spans="1:7" customHeight="1" ht="12.8"/>
    <row r="1043244" spans="1:7" customHeight="1" ht="12.8"/>
    <row r="1043245" spans="1:7" customHeight="1" ht="12.8"/>
    <row r="1043246" spans="1:7" customHeight="1" ht="12.8"/>
    <row r="1043247" spans="1:7" customHeight="1" ht="12.8"/>
    <row r="1043248" spans="1:7" customHeight="1" ht="12.8"/>
    <row r="1043249" spans="1:7" customHeight="1" ht="12.8"/>
    <row r="1043250" spans="1:7" customHeight="1" ht="12.8"/>
    <row r="1043251" spans="1:7" customHeight="1" ht="12.8"/>
    <row r="1043252" spans="1:7" customHeight="1" ht="12.8"/>
    <row r="1043253" spans="1:7" customHeight="1" ht="12.8"/>
    <row r="1043254" spans="1:7" customHeight="1" ht="12.8"/>
    <row r="1043255" spans="1:7" customHeight="1" ht="12.8"/>
    <row r="1043256" spans="1:7" customHeight="1" ht="12.8"/>
    <row r="1043257" spans="1:7" customHeight="1" ht="12.8"/>
    <row r="1043258" spans="1:7" customHeight="1" ht="12.8"/>
    <row r="1043259" spans="1:7" customHeight="1" ht="12.8"/>
    <row r="1043260" spans="1:7" customHeight="1" ht="12.8"/>
    <row r="1043261" spans="1:7" customHeight="1" ht="12.8"/>
    <row r="1043262" spans="1:7" customHeight="1" ht="12.8"/>
    <row r="1043263" spans="1:7" customHeight="1" ht="12.8"/>
    <row r="1043264" spans="1:7" customHeight="1" ht="12.8"/>
    <row r="1043265" spans="1:7" customHeight="1" ht="12.8"/>
    <row r="1043266" spans="1:7" customHeight="1" ht="12.8"/>
    <row r="1043267" spans="1:7" customHeight="1" ht="12.8"/>
    <row r="1043268" spans="1:7" customHeight="1" ht="12.8"/>
    <row r="1043269" spans="1:7" customHeight="1" ht="12.8"/>
    <row r="1043270" spans="1:7" customHeight="1" ht="12.8"/>
    <row r="1043271" spans="1:7" customHeight="1" ht="12.8"/>
    <row r="1043272" spans="1:7" customHeight="1" ht="12.8"/>
    <row r="1043273" spans="1:7" customHeight="1" ht="12.8"/>
    <row r="1043274" spans="1:7" customHeight="1" ht="12.8"/>
    <row r="1043275" spans="1:7" customHeight="1" ht="12.8"/>
    <row r="1043276" spans="1:7" customHeight="1" ht="12.8"/>
    <row r="1043277" spans="1:7" customHeight="1" ht="12.8"/>
    <row r="1043278" spans="1:7" customHeight="1" ht="12.8"/>
    <row r="1043279" spans="1:7" customHeight="1" ht="12.8"/>
    <row r="1043280" spans="1:7" customHeight="1" ht="12.8"/>
    <row r="1043281" spans="1:7" customHeight="1" ht="12.8"/>
    <row r="1043282" spans="1:7" customHeight="1" ht="12.8"/>
    <row r="1043283" spans="1:7" customHeight="1" ht="12.8"/>
    <row r="1043284" spans="1:7" customHeight="1" ht="12.8"/>
    <row r="1043285" spans="1:7" customHeight="1" ht="12.8"/>
    <row r="1043286" spans="1:7" customHeight="1" ht="12.8"/>
    <row r="1043287" spans="1:7" customHeight="1" ht="12.8"/>
    <row r="1043288" spans="1:7" customHeight="1" ht="12.8"/>
    <row r="1043289" spans="1:7" customHeight="1" ht="12.8"/>
    <row r="1043290" spans="1:7" customHeight="1" ht="12.8"/>
    <row r="1043291" spans="1:7" customHeight="1" ht="12.8"/>
    <row r="1043292" spans="1:7" customHeight="1" ht="12.8"/>
    <row r="1043293" spans="1:7" customHeight="1" ht="12.8"/>
    <row r="1043294" spans="1:7" customHeight="1" ht="12.8"/>
    <row r="1043295" spans="1:7" customHeight="1" ht="12.8"/>
    <row r="1043296" spans="1:7" customHeight="1" ht="12.8"/>
    <row r="1043297" spans="1:7" customHeight="1" ht="12.8"/>
    <row r="1043298" spans="1:7" customHeight="1" ht="12.8"/>
    <row r="1043299" spans="1:7" customHeight="1" ht="12.8"/>
    <row r="1043300" spans="1:7" customHeight="1" ht="12.8"/>
    <row r="1043301" spans="1:7" customHeight="1" ht="12.8"/>
    <row r="1043302" spans="1:7" customHeight="1" ht="12.8"/>
    <row r="1043303" spans="1:7" customHeight="1" ht="12.8"/>
    <row r="1043304" spans="1:7" customHeight="1" ht="12.8"/>
    <row r="1043305" spans="1:7" customHeight="1" ht="12.8"/>
    <row r="1043306" spans="1:7" customHeight="1" ht="12.8"/>
    <row r="1043307" spans="1:7" customHeight="1" ht="12.8"/>
    <row r="1043308" spans="1:7" customHeight="1" ht="12.8"/>
    <row r="1043309" spans="1:7" customHeight="1" ht="12.8"/>
    <row r="1043310" spans="1:7" customHeight="1" ht="12.8"/>
    <row r="1043311" spans="1:7" customHeight="1" ht="12.8"/>
    <row r="1043312" spans="1:7" customHeight="1" ht="12.8"/>
    <row r="1043313" spans="1:7" customHeight="1" ht="12.8"/>
    <row r="1043314" spans="1:7" customHeight="1" ht="12.8"/>
    <row r="1043315" spans="1:7" customHeight="1" ht="12.8"/>
    <row r="1043316" spans="1:7" customHeight="1" ht="12.8"/>
    <row r="1043317" spans="1:7" customHeight="1" ht="12.8"/>
    <row r="1043318" spans="1:7" customHeight="1" ht="12.8"/>
    <row r="1043319" spans="1:7" customHeight="1" ht="12.8"/>
    <row r="1043320" spans="1:7" customHeight="1" ht="12.8"/>
    <row r="1043321" spans="1:7" customHeight="1" ht="12.8"/>
    <row r="1043322" spans="1:7" customHeight="1" ht="12.8"/>
    <row r="1043323" spans="1:7" customHeight="1" ht="12.8"/>
    <row r="1043324" spans="1:7" customHeight="1" ht="12.8"/>
    <row r="1043325" spans="1:7" customHeight="1" ht="12.8"/>
    <row r="1043326" spans="1:7" customHeight="1" ht="12.8"/>
    <row r="1043327" spans="1:7" customHeight="1" ht="12.8"/>
    <row r="1043328" spans="1:7" customHeight="1" ht="12.8"/>
    <row r="1043329" spans="1:7" customHeight="1" ht="12.8"/>
    <row r="1043330" spans="1:7" customHeight="1" ht="12.8"/>
    <row r="1043331" spans="1:7" customHeight="1" ht="12.8"/>
    <row r="1043332" spans="1:7" customHeight="1" ht="12.8"/>
    <row r="1043333" spans="1:7" customHeight="1" ht="12.8"/>
    <row r="1043334" spans="1:7" customHeight="1" ht="12.8"/>
    <row r="1043335" spans="1:7" customHeight="1" ht="12.8"/>
    <row r="1043336" spans="1:7" customHeight="1" ht="12.8"/>
    <row r="1043337" spans="1:7" customHeight="1" ht="12.8"/>
    <row r="1043338" spans="1:7" customHeight="1" ht="12.8"/>
    <row r="1043339" spans="1:7" customHeight="1" ht="12.8"/>
    <row r="1043340" spans="1:7" customHeight="1" ht="12.8"/>
    <row r="1043341" spans="1:7" customHeight="1" ht="12.8"/>
    <row r="1043342" spans="1:7" customHeight="1" ht="12.8"/>
    <row r="1043343" spans="1:7" customHeight="1" ht="12.8"/>
    <row r="1043344" spans="1:7" customHeight="1" ht="12.8"/>
    <row r="1043345" spans="1:7" customHeight="1" ht="12.8"/>
    <row r="1043346" spans="1:7" customHeight="1" ht="12.8"/>
    <row r="1043347" spans="1:7" customHeight="1" ht="12.8"/>
    <row r="1043348" spans="1:7" customHeight="1" ht="12.8"/>
    <row r="1043349" spans="1:7" customHeight="1" ht="12.8"/>
    <row r="1043350" spans="1:7" customHeight="1" ht="12.8"/>
    <row r="1043351" spans="1:7" customHeight="1" ht="12.8"/>
    <row r="1043352" spans="1:7" customHeight="1" ht="12.8"/>
    <row r="1043353" spans="1:7" customHeight="1" ht="12.8"/>
    <row r="1043354" spans="1:7" customHeight="1" ht="12.8"/>
    <row r="1043355" spans="1:7" customHeight="1" ht="12.8"/>
    <row r="1043356" spans="1:7" customHeight="1" ht="12.8"/>
    <row r="1043357" spans="1:7" customHeight="1" ht="12.8"/>
    <row r="1043358" spans="1:7" customHeight="1" ht="12.8"/>
    <row r="1043359" spans="1:7" customHeight="1" ht="12.8"/>
    <row r="1043360" spans="1:7" customHeight="1" ht="12.8"/>
    <row r="1043361" spans="1:7" customHeight="1" ht="12.8"/>
    <row r="1043362" spans="1:7" customHeight="1" ht="12.8"/>
    <row r="1043363" spans="1:7" customHeight="1" ht="12.8"/>
    <row r="1043364" spans="1:7" customHeight="1" ht="12.8"/>
    <row r="1043365" spans="1:7" customHeight="1" ht="12.8"/>
    <row r="1043366" spans="1:7" customHeight="1" ht="12.8"/>
    <row r="1043367" spans="1:7" customHeight="1" ht="12.8"/>
    <row r="1043368" spans="1:7" customHeight="1" ht="12.8"/>
    <row r="1043369" spans="1:7" customHeight="1" ht="12.8"/>
    <row r="1043370" spans="1:7" customHeight="1" ht="12.8"/>
    <row r="1043371" spans="1:7" customHeight="1" ht="12.8"/>
    <row r="1043372" spans="1:7" customHeight="1" ht="12.8"/>
    <row r="1043373" spans="1:7" customHeight="1" ht="12.8"/>
    <row r="1043374" spans="1:7" customHeight="1" ht="12.8"/>
    <row r="1043375" spans="1:7" customHeight="1" ht="12.8"/>
    <row r="1043376" spans="1:7" customHeight="1" ht="12.8"/>
    <row r="1043377" spans="1:7" customHeight="1" ht="12.8"/>
    <row r="1043378" spans="1:7" customHeight="1" ht="12.8"/>
    <row r="1043379" spans="1:7" customHeight="1" ht="12.8"/>
    <row r="1043380" spans="1:7" customHeight="1" ht="12.8"/>
    <row r="1043381" spans="1:7" customHeight="1" ht="12.8"/>
    <row r="1043382" spans="1:7" customHeight="1" ht="12.8"/>
    <row r="1043383" spans="1:7" customHeight="1" ht="12.8"/>
    <row r="1043384" spans="1:7" customHeight="1" ht="12.8"/>
    <row r="1043385" spans="1:7" customHeight="1" ht="12.8"/>
    <row r="1043386" spans="1:7" customHeight="1" ht="12.8"/>
    <row r="1043387" spans="1:7" customHeight="1" ht="12.8"/>
    <row r="1043388" spans="1:7" customHeight="1" ht="12.8"/>
    <row r="1043389" spans="1:7" customHeight="1" ht="12.8"/>
    <row r="1043390" spans="1:7" customHeight="1" ht="12.8"/>
    <row r="1043391" spans="1:7" customHeight="1" ht="12.8"/>
    <row r="1043392" spans="1:7" customHeight="1" ht="12.8"/>
    <row r="1043393" spans="1:7" customHeight="1" ht="12.8"/>
    <row r="1043394" spans="1:7" customHeight="1" ht="12.8"/>
    <row r="1043395" spans="1:7" customHeight="1" ht="12.8"/>
    <row r="1043396" spans="1:7" customHeight="1" ht="12.8"/>
    <row r="1043397" spans="1:7" customHeight="1" ht="12.8"/>
    <row r="1043398" spans="1:7" customHeight="1" ht="12.8"/>
    <row r="1043399" spans="1:7" customHeight="1" ht="12.8"/>
    <row r="1043400" spans="1:7" customHeight="1" ht="12.8"/>
    <row r="1043401" spans="1:7" customHeight="1" ht="12.8"/>
    <row r="1043402" spans="1:7" customHeight="1" ht="12.8"/>
    <row r="1043403" spans="1:7" customHeight="1" ht="12.8"/>
    <row r="1043404" spans="1:7" customHeight="1" ht="12.8"/>
    <row r="1043405" spans="1:7" customHeight="1" ht="12.8"/>
    <row r="1043406" spans="1:7" customHeight="1" ht="12.8"/>
    <row r="1043407" spans="1:7" customHeight="1" ht="12.8"/>
    <row r="1043408" spans="1:7" customHeight="1" ht="12.8"/>
    <row r="1043409" spans="1:7" customHeight="1" ht="12.8"/>
    <row r="1043410" spans="1:7" customHeight="1" ht="12.8"/>
    <row r="1043411" spans="1:7" customHeight="1" ht="12.8"/>
    <row r="1043412" spans="1:7" customHeight="1" ht="12.8"/>
    <row r="1043413" spans="1:7" customHeight="1" ht="12.8"/>
    <row r="1043414" spans="1:7" customHeight="1" ht="12.8"/>
    <row r="1043415" spans="1:7" customHeight="1" ht="12.8"/>
    <row r="1043416" spans="1:7" customHeight="1" ht="12.8"/>
    <row r="1043417" spans="1:7" customHeight="1" ht="12.8"/>
    <row r="1043418" spans="1:7" customHeight="1" ht="12.8"/>
    <row r="1043419" spans="1:7" customHeight="1" ht="12.8"/>
    <row r="1043420" spans="1:7" customHeight="1" ht="12.8"/>
    <row r="1043421" spans="1:7" customHeight="1" ht="12.8"/>
    <row r="1043422" spans="1:7" customHeight="1" ht="12.8"/>
    <row r="1043423" spans="1:7" customHeight="1" ht="12.8"/>
    <row r="1043424" spans="1:7" customHeight="1" ht="12.8"/>
    <row r="1043425" spans="1:7" customHeight="1" ht="12.8"/>
    <row r="1043426" spans="1:7" customHeight="1" ht="12.8"/>
    <row r="1043427" spans="1:7" customHeight="1" ht="12.8"/>
    <row r="1043428" spans="1:7" customHeight="1" ht="12.8"/>
    <row r="1043429" spans="1:7" customHeight="1" ht="12.8"/>
    <row r="1043430" spans="1:7" customHeight="1" ht="12.8"/>
    <row r="1043431" spans="1:7" customHeight="1" ht="12.8"/>
    <row r="1043432" spans="1:7" customHeight="1" ht="12.8"/>
    <row r="1043433" spans="1:7" customHeight="1" ht="12.8"/>
    <row r="1043434" spans="1:7" customHeight="1" ht="12.8"/>
    <row r="1043435" spans="1:7" customHeight="1" ht="12.8"/>
    <row r="1043436" spans="1:7" customHeight="1" ht="12.8"/>
    <row r="1043437" spans="1:7" customHeight="1" ht="12.8"/>
    <row r="1043438" spans="1:7" customHeight="1" ht="12.8"/>
    <row r="1043439" spans="1:7" customHeight="1" ht="12.8"/>
    <row r="1043440" spans="1:7" customHeight="1" ht="12.8"/>
    <row r="1043441" spans="1:7" customHeight="1" ht="12.8"/>
    <row r="1043442" spans="1:7" customHeight="1" ht="12.8"/>
    <row r="1043443" spans="1:7" customHeight="1" ht="12.8"/>
    <row r="1043444" spans="1:7" customHeight="1" ht="12.8"/>
    <row r="1043445" spans="1:7" customHeight="1" ht="12.8"/>
    <row r="1043446" spans="1:7" customHeight="1" ht="12.8"/>
    <row r="1043447" spans="1:7" customHeight="1" ht="12.8"/>
    <row r="1043448" spans="1:7" customHeight="1" ht="12.8"/>
    <row r="1043449" spans="1:7" customHeight="1" ht="12.8"/>
    <row r="1043450" spans="1:7" customHeight="1" ht="12.8"/>
    <row r="1043451" spans="1:7" customHeight="1" ht="12.8"/>
    <row r="1043452" spans="1:7" customHeight="1" ht="12.8"/>
    <row r="1043453" spans="1:7" customHeight="1" ht="12.8"/>
    <row r="1043454" spans="1:7" customHeight="1" ht="12.8"/>
    <row r="1043455" spans="1:7" customHeight="1" ht="12.8"/>
    <row r="1043456" spans="1:7" customHeight="1" ht="12.8"/>
    <row r="1043457" spans="1:7" customHeight="1" ht="12.8"/>
    <row r="1043458" spans="1:7" customHeight="1" ht="12.8"/>
    <row r="1043459" spans="1:7" customHeight="1" ht="12.8"/>
    <row r="1043460" spans="1:7" customHeight="1" ht="12.8"/>
    <row r="1043461" spans="1:7" customHeight="1" ht="12.8"/>
    <row r="1043462" spans="1:7" customHeight="1" ht="12.8"/>
    <row r="1043463" spans="1:7" customHeight="1" ht="12.8"/>
    <row r="1043464" spans="1:7" customHeight="1" ht="12.8"/>
    <row r="1043465" spans="1:7" customHeight="1" ht="12.8"/>
    <row r="1043466" spans="1:7" customHeight="1" ht="12.8"/>
    <row r="1043467" spans="1:7" customHeight="1" ht="12.8"/>
    <row r="1043468" spans="1:7" customHeight="1" ht="12.8"/>
    <row r="1043469" spans="1:7" customHeight="1" ht="12.8"/>
    <row r="1043470" spans="1:7" customHeight="1" ht="12.8"/>
    <row r="1043471" spans="1:7" customHeight="1" ht="12.8"/>
    <row r="1043472" spans="1:7" customHeight="1" ht="12.8"/>
    <row r="1043473" spans="1:7" customHeight="1" ht="12.8"/>
    <row r="1043474" spans="1:7" customHeight="1" ht="12.8"/>
    <row r="1043475" spans="1:7" customHeight="1" ht="12.8"/>
    <row r="1043476" spans="1:7" customHeight="1" ht="12.8"/>
    <row r="1043477" spans="1:7" customHeight="1" ht="12.8"/>
    <row r="1043478" spans="1:7" customHeight="1" ht="12.8"/>
    <row r="1043479" spans="1:7" customHeight="1" ht="12.8"/>
    <row r="1043480" spans="1:7" customHeight="1" ht="12.8"/>
    <row r="1043481" spans="1:7" customHeight="1" ht="12.8"/>
    <row r="1043482" spans="1:7" customHeight="1" ht="12.8"/>
    <row r="1043483" spans="1:7" customHeight="1" ht="12.8"/>
    <row r="1043484" spans="1:7" customHeight="1" ht="12.8"/>
    <row r="1043485" spans="1:7" customHeight="1" ht="12.8"/>
    <row r="1043486" spans="1:7" customHeight="1" ht="12.8"/>
    <row r="1043487" spans="1:7" customHeight="1" ht="12.8"/>
    <row r="1043488" spans="1:7" customHeight="1" ht="12.8"/>
    <row r="1043489" spans="1:7" customHeight="1" ht="12.8"/>
    <row r="1043490" spans="1:7" customHeight="1" ht="12.8"/>
    <row r="1043491" spans="1:7" customHeight="1" ht="12.8"/>
    <row r="1043492" spans="1:7" customHeight="1" ht="12.8"/>
    <row r="1043493" spans="1:7" customHeight="1" ht="12.8"/>
    <row r="1043494" spans="1:7" customHeight="1" ht="12.8"/>
    <row r="1043495" spans="1:7" customHeight="1" ht="12.8"/>
    <row r="1043496" spans="1:7" customHeight="1" ht="12.8"/>
    <row r="1043497" spans="1:7" customHeight="1" ht="12.8"/>
    <row r="1043498" spans="1:7" customHeight="1" ht="12.8"/>
    <row r="1043499" spans="1:7" customHeight="1" ht="12.8"/>
    <row r="1043500" spans="1:7" customHeight="1" ht="12.8"/>
    <row r="1043501" spans="1:7" customHeight="1" ht="12.8"/>
    <row r="1043502" spans="1:7" customHeight="1" ht="12.8"/>
    <row r="1043503" spans="1:7" customHeight="1" ht="12.8"/>
    <row r="1043504" spans="1:7" customHeight="1" ht="12.8"/>
    <row r="1043505" spans="1:7" customHeight="1" ht="12.8"/>
    <row r="1043506" spans="1:7" customHeight="1" ht="12.8"/>
    <row r="1043507" spans="1:7" customHeight="1" ht="12.8"/>
    <row r="1043508" spans="1:7" customHeight="1" ht="12.8"/>
    <row r="1043509" spans="1:7" customHeight="1" ht="12.8"/>
    <row r="1043510" spans="1:7" customHeight="1" ht="12.8"/>
    <row r="1043511" spans="1:7" customHeight="1" ht="12.8"/>
    <row r="1043512" spans="1:7" customHeight="1" ht="12.8"/>
    <row r="1043513" spans="1:7" customHeight="1" ht="12.8"/>
    <row r="1043514" spans="1:7" customHeight="1" ht="12.8"/>
    <row r="1043515" spans="1:7" customHeight="1" ht="12.8"/>
    <row r="1043516" spans="1:7" customHeight="1" ht="12.8"/>
    <row r="1043517" spans="1:7" customHeight="1" ht="12.8"/>
    <row r="1043518" spans="1:7" customHeight="1" ht="12.8"/>
    <row r="1043519" spans="1:7" customHeight="1" ht="12.8"/>
    <row r="1043520" spans="1:7" customHeight="1" ht="12.8"/>
    <row r="1043521" spans="1:7" customHeight="1" ht="12.8"/>
    <row r="1043522" spans="1:7" customHeight="1" ht="12.8"/>
    <row r="1043523" spans="1:7" customHeight="1" ht="12.8"/>
    <row r="1043524" spans="1:7" customHeight="1" ht="12.8"/>
    <row r="1043525" spans="1:7" customHeight="1" ht="12.8"/>
    <row r="1043526" spans="1:7" customHeight="1" ht="12.8"/>
    <row r="1043527" spans="1:7" customHeight="1" ht="12.8"/>
    <row r="1043528" spans="1:7" customHeight="1" ht="12.8"/>
    <row r="1043529" spans="1:7" customHeight="1" ht="12.8"/>
    <row r="1043530" spans="1:7" customHeight="1" ht="12.8"/>
    <row r="1043531" spans="1:7" customHeight="1" ht="12.8"/>
    <row r="1043532" spans="1:7" customHeight="1" ht="12.8"/>
    <row r="1043533" spans="1:7" customHeight="1" ht="12.8"/>
    <row r="1043534" spans="1:7" customHeight="1" ht="12.8"/>
    <row r="1043535" spans="1:7" customHeight="1" ht="12.8"/>
    <row r="1043536" spans="1:7" customHeight="1" ht="12.8"/>
    <row r="1043537" spans="1:7" customHeight="1" ht="12.8"/>
    <row r="1043538" spans="1:7" customHeight="1" ht="12.8"/>
    <row r="1043539" spans="1:7" customHeight="1" ht="12.8"/>
    <row r="1043540" spans="1:7" customHeight="1" ht="12.8"/>
    <row r="1043541" spans="1:7" customHeight="1" ht="12.8"/>
    <row r="1043542" spans="1:7" customHeight="1" ht="12.8"/>
    <row r="1043543" spans="1:7" customHeight="1" ht="12.8"/>
    <row r="1043544" spans="1:7" customHeight="1" ht="12.8"/>
    <row r="1043545" spans="1:7" customHeight="1" ht="12.8"/>
    <row r="1043546" spans="1:7" customHeight="1" ht="12.8"/>
    <row r="1043547" spans="1:7" customHeight="1" ht="12.8"/>
    <row r="1043548" spans="1:7" customHeight="1" ht="12.8"/>
    <row r="1043549" spans="1:7" customHeight="1" ht="12.8"/>
    <row r="1043550" spans="1:7" customHeight="1" ht="12.8"/>
    <row r="1043551" spans="1:7" customHeight="1" ht="12.8"/>
    <row r="1043552" spans="1:7" customHeight="1" ht="12.8"/>
    <row r="1043553" spans="1:7" customHeight="1" ht="12.8"/>
    <row r="1043554" spans="1:7" customHeight="1" ht="12.8"/>
    <row r="1043555" spans="1:7" customHeight="1" ht="12.8"/>
    <row r="1043556" spans="1:7" customHeight="1" ht="12.8"/>
    <row r="1043557" spans="1:7" customHeight="1" ht="12.8"/>
    <row r="1043558" spans="1:7" customHeight="1" ht="12.8"/>
    <row r="1043559" spans="1:7" customHeight="1" ht="12.8"/>
    <row r="1043560" spans="1:7" customHeight="1" ht="12.8"/>
    <row r="1043561" spans="1:7" customHeight="1" ht="12.8"/>
    <row r="1043562" spans="1:7" customHeight="1" ht="12.8"/>
    <row r="1043563" spans="1:7" customHeight="1" ht="12.8"/>
    <row r="1043564" spans="1:7" customHeight="1" ht="12.8"/>
    <row r="1043565" spans="1:7" customHeight="1" ht="12.8"/>
    <row r="1043566" spans="1:7" customHeight="1" ht="12.8"/>
    <row r="1043567" spans="1:7" customHeight="1" ht="12.8"/>
    <row r="1043568" spans="1:7" customHeight="1" ht="12.8"/>
    <row r="1043569" spans="1:7" customHeight="1" ht="12.8"/>
    <row r="1043570" spans="1:7" customHeight="1" ht="12.8"/>
    <row r="1043571" spans="1:7" customHeight="1" ht="12.8"/>
    <row r="1043572" spans="1:7" customHeight="1" ht="12.8"/>
    <row r="1043573" spans="1:7" customHeight="1" ht="12.8"/>
    <row r="1043574" spans="1:7" customHeight="1" ht="12.8"/>
    <row r="1043575" spans="1:7" customHeight="1" ht="12.8"/>
    <row r="1043576" spans="1:7" customHeight="1" ht="12.8"/>
    <row r="1043577" spans="1:7" customHeight="1" ht="12.8"/>
    <row r="1043578" spans="1:7" customHeight="1" ht="12.8"/>
    <row r="1043579" spans="1:7" customHeight="1" ht="12.8"/>
    <row r="1043580" spans="1:7" customHeight="1" ht="12.8"/>
    <row r="1043581" spans="1:7" customHeight="1" ht="12.8"/>
    <row r="1043582" spans="1:7" customHeight="1" ht="12.8"/>
    <row r="1043583" spans="1:7" customHeight="1" ht="12.8"/>
    <row r="1043584" spans="1:7" customHeight="1" ht="12.8"/>
    <row r="1043585" spans="1:7" customHeight="1" ht="12.8"/>
    <row r="1043586" spans="1:7" customHeight="1" ht="12.8"/>
    <row r="1043587" spans="1:7" customHeight="1" ht="12.8"/>
    <row r="1043588" spans="1:7" customHeight="1" ht="12.8"/>
    <row r="1043589" spans="1:7" customHeight="1" ht="12.8"/>
    <row r="1043590" spans="1:7" customHeight="1" ht="12.8"/>
    <row r="1043591" spans="1:7" customHeight="1" ht="12.8"/>
    <row r="1043592" spans="1:7" customHeight="1" ht="12.8"/>
    <row r="1043593" spans="1:7" customHeight="1" ht="12.8"/>
    <row r="1043594" spans="1:7" customHeight="1" ht="12.8"/>
    <row r="1043595" spans="1:7" customHeight="1" ht="12.8"/>
    <row r="1043596" spans="1:7" customHeight="1" ht="12.8"/>
    <row r="1043597" spans="1:7" customHeight="1" ht="12.8"/>
    <row r="1043598" spans="1:7" customHeight="1" ht="12.8"/>
    <row r="1043599" spans="1:7" customHeight="1" ht="12.8"/>
    <row r="1043600" spans="1:7" customHeight="1" ht="12.8"/>
    <row r="1043601" spans="1:7" customHeight="1" ht="12.8"/>
    <row r="1043602" spans="1:7" customHeight="1" ht="12.8"/>
    <row r="1043603" spans="1:7" customHeight="1" ht="12.8"/>
    <row r="1043604" spans="1:7" customHeight="1" ht="12.8"/>
    <row r="1043605" spans="1:7" customHeight="1" ht="12.8"/>
    <row r="1043606" spans="1:7" customHeight="1" ht="12.8"/>
    <row r="1043607" spans="1:7" customHeight="1" ht="12.8"/>
    <row r="1043608" spans="1:7" customHeight="1" ht="12.8"/>
    <row r="1043609" spans="1:7" customHeight="1" ht="12.8"/>
    <row r="1043610" spans="1:7" customHeight="1" ht="12.8"/>
    <row r="1043611" spans="1:7" customHeight="1" ht="12.8"/>
    <row r="1043612" spans="1:7" customHeight="1" ht="12.8"/>
    <row r="1043613" spans="1:7" customHeight="1" ht="12.8"/>
    <row r="1043614" spans="1:7" customHeight="1" ht="12.8"/>
    <row r="1043615" spans="1:7" customHeight="1" ht="12.8"/>
    <row r="1043616" spans="1:7" customHeight="1" ht="12.8"/>
    <row r="1043617" spans="1:7" customHeight="1" ht="12.8"/>
    <row r="1043618" spans="1:7" customHeight="1" ht="12.8"/>
    <row r="1043619" spans="1:7" customHeight="1" ht="12.8"/>
    <row r="1043620" spans="1:7" customHeight="1" ht="12.8"/>
    <row r="1043621" spans="1:7" customHeight="1" ht="12.8"/>
    <row r="1043622" spans="1:7" customHeight="1" ht="12.8"/>
    <row r="1043623" spans="1:7" customHeight="1" ht="12.8"/>
    <row r="1043624" spans="1:7" customHeight="1" ht="12.8"/>
    <row r="1043625" spans="1:7" customHeight="1" ht="12.8"/>
    <row r="1043626" spans="1:7" customHeight="1" ht="12.8"/>
    <row r="1043627" spans="1:7" customHeight="1" ht="12.8"/>
    <row r="1043628" spans="1:7" customHeight="1" ht="12.8"/>
    <row r="1043629" spans="1:7" customHeight="1" ht="12.8"/>
    <row r="1043630" spans="1:7" customHeight="1" ht="12.8"/>
    <row r="1043631" spans="1:7" customHeight="1" ht="12.8"/>
    <row r="1043632" spans="1:7" customHeight="1" ht="12.8"/>
    <row r="1043633" spans="1:7" customHeight="1" ht="12.8"/>
    <row r="1043634" spans="1:7" customHeight="1" ht="12.8"/>
    <row r="1043635" spans="1:7" customHeight="1" ht="12.8"/>
    <row r="1043636" spans="1:7" customHeight="1" ht="12.8"/>
    <row r="1043637" spans="1:7" customHeight="1" ht="12.8"/>
    <row r="1043638" spans="1:7" customHeight="1" ht="12.8"/>
    <row r="1043639" spans="1:7" customHeight="1" ht="12.8"/>
    <row r="1043640" spans="1:7" customHeight="1" ht="12.8"/>
    <row r="1043641" spans="1:7" customHeight="1" ht="12.8"/>
    <row r="1043642" spans="1:7" customHeight="1" ht="12.8"/>
    <row r="1043643" spans="1:7" customHeight="1" ht="12.8"/>
    <row r="1043644" spans="1:7" customHeight="1" ht="12.8"/>
    <row r="1043645" spans="1:7" customHeight="1" ht="12.8"/>
    <row r="1043646" spans="1:7" customHeight="1" ht="12.8"/>
    <row r="1043647" spans="1:7" customHeight="1" ht="12.8"/>
    <row r="1043648" spans="1:7" customHeight="1" ht="12.8"/>
    <row r="1043649" spans="1:7" customHeight="1" ht="12.8"/>
    <row r="1043650" spans="1:7" customHeight="1" ht="12.8"/>
    <row r="1043651" spans="1:7" customHeight="1" ht="12.8"/>
    <row r="1043652" spans="1:7" customHeight="1" ht="12.8"/>
    <row r="1043653" spans="1:7" customHeight="1" ht="12.8"/>
    <row r="1043654" spans="1:7" customHeight="1" ht="12.8"/>
    <row r="1043655" spans="1:7" customHeight="1" ht="12.8"/>
    <row r="1043656" spans="1:7" customHeight="1" ht="12.8"/>
    <row r="1043657" spans="1:7" customHeight="1" ht="12.8"/>
    <row r="1043658" spans="1:7" customHeight="1" ht="12.8"/>
    <row r="1043659" spans="1:7" customHeight="1" ht="12.8"/>
    <row r="1043660" spans="1:7" customHeight="1" ht="12.8"/>
    <row r="1043661" spans="1:7" customHeight="1" ht="12.8"/>
    <row r="1043662" spans="1:7" customHeight="1" ht="12.8"/>
    <row r="1043663" spans="1:7" customHeight="1" ht="12.8"/>
    <row r="1043664" spans="1:7" customHeight="1" ht="12.8"/>
    <row r="1043665" spans="1:7" customHeight="1" ht="12.8"/>
    <row r="1043666" spans="1:7" customHeight="1" ht="12.8"/>
    <row r="1043667" spans="1:7" customHeight="1" ht="12.8"/>
    <row r="1043668" spans="1:7" customHeight="1" ht="12.8"/>
    <row r="1043669" spans="1:7" customHeight="1" ht="12.8"/>
    <row r="1043670" spans="1:7" customHeight="1" ht="12.8"/>
    <row r="1043671" spans="1:7" customHeight="1" ht="12.8"/>
    <row r="1043672" spans="1:7" customHeight="1" ht="12.8"/>
    <row r="1043673" spans="1:7" customHeight="1" ht="12.8"/>
    <row r="1043674" spans="1:7" customHeight="1" ht="12.8"/>
    <row r="1043675" spans="1:7" customHeight="1" ht="12.8"/>
    <row r="1043676" spans="1:7" customHeight="1" ht="12.8"/>
    <row r="1043677" spans="1:7" customHeight="1" ht="12.8"/>
    <row r="1043678" spans="1:7" customHeight="1" ht="12.8"/>
    <row r="1043679" spans="1:7" customHeight="1" ht="12.8"/>
    <row r="1043680" spans="1:7" customHeight="1" ht="12.8"/>
    <row r="1043681" spans="1:7" customHeight="1" ht="12.8"/>
    <row r="1043682" spans="1:7" customHeight="1" ht="12.8"/>
    <row r="1043683" spans="1:7" customHeight="1" ht="12.8"/>
    <row r="1043684" spans="1:7" customHeight="1" ht="12.8"/>
    <row r="1043685" spans="1:7" customHeight="1" ht="12.8"/>
    <row r="1043686" spans="1:7" customHeight="1" ht="12.8"/>
    <row r="1043687" spans="1:7" customHeight="1" ht="12.8"/>
    <row r="1043688" spans="1:7" customHeight="1" ht="12.8"/>
    <row r="1043689" spans="1:7" customHeight="1" ht="12.8"/>
    <row r="1043690" spans="1:7" customHeight="1" ht="12.8"/>
    <row r="1043691" spans="1:7" customHeight="1" ht="12.8"/>
    <row r="1043692" spans="1:7" customHeight="1" ht="12.8"/>
    <row r="1043693" spans="1:7" customHeight="1" ht="12.8"/>
    <row r="1043694" spans="1:7" customHeight="1" ht="12.8"/>
    <row r="1043695" spans="1:7" customHeight="1" ht="12.8"/>
    <row r="1043696" spans="1:7" customHeight="1" ht="12.8"/>
    <row r="1043697" spans="1:7" customHeight="1" ht="12.8"/>
    <row r="1043698" spans="1:7" customHeight="1" ht="12.8"/>
    <row r="1043699" spans="1:7" customHeight="1" ht="12.8"/>
    <row r="1043700" spans="1:7" customHeight="1" ht="12.8"/>
    <row r="1043701" spans="1:7" customHeight="1" ht="12.8"/>
    <row r="1043702" spans="1:7" customHeight="1" ht="12.8"/>
    <row r="1043703" spans="1:7" customHeight="1" ht="12.8"/>
    <row r="1043704" spans="1:7" customHeight="1" ht="12.8"/>
    <row r="1043705" spans="1:7" customHeight="1" ht="12.8"/>
    <row r="1043706" spans="1:7" customHeight="1" ht="12.8"/>
    <row r="1043707" spans="1:7" customHeight="1" ht="12.8"/>
    <row r="1043708" spans="1:7" customHeight="1" ht="12.8"/>
    <row r="1043709" spans="1:7" customHeight="1" ht="12.8"/>
    <row r="1043710" spans="1:7" customHeight="1" ht="12.8"/>
    <row r="1043711" spans="1:7" customHeight="1" ht="12.8"/>
    <row r="1043712" spans="1:7" customHeight="1" ht="12.8"/>
    <row r="1043713" spans="1:7" customHeight="1" ht="12.8"/>
    <row r="1043714" spans="1:7" customHeight="1" ht="12.8"/>
    <row r="1043715" spans="1:7" customHeight="1" ht="12.8"/>
    <row r="1043716" spans="1:7" customHeight="1" ht="12.8"/>
    <row r="1043717" spans="1:7" customHeight="1" ht="12.8"/>
    <row r="1043718" spans="1:7" customHeight="1" ht="12.8"/>
    <row r="1043719" spans="1:7" customHeight="1" ht="12.8"/>
    <row r="1043720" spans="1:7" customHeight="1" ht="12.8"/>
    <row r="1043721" spans="1:7" customHeight="1" ht="12.8"/>
    <row r="1043722" spans="1:7" customHeight="1" ht="12.8"/>
    <row r="1043723" spans="1:7" customHeight="1" ht="12.8"/>
    <row r="1043724" spans="1:7" customHeight="1" ht="12.8"/>
    <row r="1043725" spans="1:7" customHeight="1" ht="12.8"/>
    <row r="1043726" spans="1:7" customHeight="1" ht="12.8"/>
    <row r="1043727" spans="1:7" customHeight="1" ht="12.8"/>
    <row r="1043728" spans="1:7" customHeight="1" ht="12.8"/>
    <row r="1043729" spans="1:7" customHeight="1" ht="12.8"/>
    <row r="1043730" spans="1:7" customHeight="1" ht="12.8"/>
    <row r="1043731" spans="1:7" customHeight="1" ht="12.8"/>
    <row r="1043732" spans="1:7" customHeight="1" ht="12.8"/>
    <row r="1043733" spans="1:7" customHeight="1" ht="12.8"/>
    <row r="1043734" spans="1:7" customHeight="1" ht="12.8"/>
    <row r="1043735" spans="1:7" customHeight="1" ht="12.8"/>
    <row r="1043736" spans="1:7" customHeight="1" ht="12.8"/>
    <row r="1043737" spans="1:7" customHeight="1" ht="12.8"/>
    <row r="1043738" spans="1:7" customHeight="1" ht="12.8"/>
    <row r="1043739" spans="1:7" customHeight="1" ht="12.8"/>
    <row r="1043740" spans="1:7" customHeight="1" ht="12.8"/>
    <row r="1043741" spans="1:7" customHeight="1" ht="12.8"/>
    <row r="1043742" spans="1:7" customHeight="1" ht="12.8"/>
    <row r="1043743" spans="1:7" customHeight="1" ht="12.8"/>
    <row r="1043744" spans="1:7" customHeight="1" ht="12.8"/>
    <row r="1043745" spans="1:7" customHeight="1" ht="12.8"/>
    <row r="1043746" spans="1:7" customHeight="1" ht="12.8"/>
    <row r="1043747" spans="1:7" customHeight="1" ht="12.8"/>
    <row r="1043748" spans="1:7" customHeight="1" ht="12.8"/>
    <row r="1043749" spans="1:7" customHeight="1" ht="12.8"/>
    <row r="1043750" spans="1:7" customHeight="1" ht="12.8"/>
    <row r="1043751" spans="1:7" customHeight="1" ht="12.8"/>
    <row r="1043752" spans="1:7" customHeight="1" ht="12.8"/>
    <row r="1043753" spans="1:7" customHeight="1" ht="12.8"/>
    <row r="1043754" spans="1:7" customHeight="1" ht="12.8"/>
    <row r="1043755" spans="1:7" customHeight="1" ht="12.8"/>
    <row r="1043756" spans="1:7" customHeight="1" ht="12.8"/>
    <row r="1043757" spans="1:7" customHeight="1" ht="12.8"/>
    <row r="1043758" spans="1:7" customHeight="1" ht="12.8"/>
    <row r="1043759" spans="1:7" customHeight="1" ht="12.8"/>
    <row r="1043760" spans="1:7" customHeight="1" ht="12.8"/>
    <row r="1043761" spans="1:7" customHeight="1" ht="12.8"/>
    <row r="1043762" spans="1:7" customHeight="1" ht="12.8"/>
    <row r="1043763" spans="1:7" customHeight="1" ht="12.8"/>
    <row r="1043764" spans="1:7" customHeight="1" ht="12.8"/>
    <row r="1043765" spans="1:7" customHeight="1" ht="12.8"/>
    <row r="1043766" spans="1:7" customHeight="1" ht="12.8"/>
    <row r="1043767" spans="1:7" customHeight="1" ht="12.8"/>
    <row r="1043768" spans="1:7" customHeight="1" ht="12.8"/>
    <row r="1043769" spans="1:7" customHeight="1" ht="12.8"/>
    <row r="1043770" spans="1:7" customHeight="1" ht="12.8"/>
    <row r="1043771" spans="1:7" customHeight="1" ht="12.8"/>
    <row r="1043772" spans="1:7" customHeight="1" ht="12.8"/>
    <row r="1043773" spans="1:7" customHeight="1" ht="12.8"/>
    <row r="1043774" spans="1:7" customHeight="1" ht="12.8"/>
    <row r="1043775" spans="1:7" customHeight="1" ht="12.8"/>
    <row r="1043776" spans="1:7" customHeight="1" ht="12.8"/>
    <row r="1043777" spans="1:7" customHeight="1" ht="12.8"/>
    <row r="1043778" spans="1:7" customHeight="1" ht="12.8"/>
    <row r="1043779" spans="1:7" customHeight="1" ht="12.8"/>
    <row r="1043780" spans="1:7" customHeight="1" ht="12.8"/>
    <row r="1043781" spans="1:7" customHeight="1" ht="12.8"/>
    <row r="1043782" spans="1:7" customHeight="1" ht="12.8"/>
    <row r="1043783" spans="1:7" customHeight="1" ht="12.8"/>
    <row r="1043784" spans="1:7" customHeight="1" ht="12.8"/>
    <row r="1043785" spans="1:7" customHeight="1" ht="12.8"/>
    <row r="1043786" spans="1:7" customHeight="1" ht="12.8"/>
    <row r="1043787" spans="1:7" customHeight="1" ht="12.8"/>
    <row r="1043788" spans="1:7" customHeight="1" ht="12.8"/>
    <row r="1043789" spans="1:7" customHeight="1" ht="12.8"/>
    <row r="1043790" spans="1:7" customHeight="1" ht="12.8"/>
    <row r="1043791" spans="1:7" customHeight="1" ht="12.8"/>
    <row r="1043792" spans="1:7" customHeight="1" ht="12.8"/>
    <row r="1043793" spans="1:7" customHeight="1" ht="12.8"/>
    <row r="1043794" spans="1:7" customHeight="1" ht="12.8"/>
    <row r="1043795" spans="1:7" customHeight="1" ht="12.8"/>
    <row r="1043796" spans="1:7" customHeight="1" ht="12.8"/>
    <row r="1043797" spans="1:7" customHeight="1" ht="12.8"/>
    <row r="1043798" spans="1:7" customHeight="1" ht="12.8"/>
    <row r="1043799" spans="1:7" customHeight="1" ht="12.8"/>
    <row r="1043800" spans="1:7" customHeight="1" ht="12.8"/>
    <row r="1043801" spans="1:7" customHeight="1" ht="12.8"/>
    <row r="1043802" spans="1:7" customHeight="1" ht="12.8"/>
    <row r="1043803" spans="1:7" customHeight="1" ht="12.8"/>
    <row r="1043804" spans="1:7" customHeight="1" ht="12.8"/>
    <row r="1043805" spans="1:7" customHeight="1" ht="12.8"/>
    <row r="1043806" spans="1:7" customHeight="1" ht="12.8"/>
    <row r="1043807" spans="1:7" customHeight="1" ht="12.8"/>
    <row r="1043808" spans="1:7" customHeight="1" ht="12.8"/>
    <row r="1043809" spans="1:7" customHeight="1" ht="12.8"/>
    <row r="1043810" spans="1:7" customHeight="1" ht="12.8"/>
    <row r="1043811" spans="1:7" customHeight="1" ht="12.8"/>
    <row r="1043812" spans="1:7" customHeight="1" ht="12.8"/>
    <row r="1043813" spans="1:7" customHeight="1" ht="12.8"/>
    <row r="1043814" spans="1:7" customHeight="1" ht="12.8"/>
    <row r="1043815" spans="1:7" customHeight="1" ht="12.8"/>
    <row r="1043816" spans="1:7" customHeight="1" ht="12.8"/>
    <row r="1043817" spans="1:7" customHeight="1" ht="12.8"/>
    <row r="1043818" spans="1:7" customHeight="1" ht="12.8"/>
    <row r="1043819" spans="1:7" customHeight="1" ht="12.8"/>
    <row r="1043820" spans="1:7" customHeight="1" ht="12.8"/>
    <row r="1043821" spans="1:7" customHeight="1" ht="12.8"/>
    <row r="1043822" spans="1:7" customHeight="1" ht="12.8"/>
    <row r="1043823" spans="1:7" customHeight="1" ht="12.8"/>
    <row r="1043824" spans="1:7" customHeight="1" ht="12.8"/>
    <row r="1043825" spans="1:7" customHeight="1" ht="12.8"/>
    <row r="1043826" spans="1:7" customHeight="1" ht="12.8"/>
    <row r="1043827" spans="1:7" customHeight="1" ht="12.8"/>
    <row r="1043828" spans="1:7" customHeight="1" ht="12.8"/>
    <row r="1043829" spans="1:7" customHeight="1" ht="12.8"/>
    <row r="1043830" spans="1:7" customHeight="1" ht="12.8"/>
    <row r="1043831" spans="1:7" customHeight="1" ht="12.8"/>
    <row r="1043832" spans="1:7" customHeight="1" ht="12.8"/>
    <row r="1043833" spans="1:7" customHeight="1" ht="12.8"/>
    <row r="1043834" spans="1:7" customHeight="1" ht="12.8"/>
    <row r="1043835" spans="1:7" customHeight="1" ht="12.8"/>
    <row r="1043836" spans="1:7" customHeight="1" ht="12.8"/>
    <row r="1043837" spans="1:7" customHeight="1" ht="12.8"/>
    <row r="1043838" spans="1:7" customHeight="1" ht="12.8"/>
    <row r="1043839" spans="1:7" customHeight="1" ht="12.8"/>
    <row r="1043840" spans="1:7" customHeight="1" ht="12.8"/>
    <row r="1043841" spans="1:7" customHeight="1" ht="12.8"/>
    <row r="1043842" spans="1:7" customHeight="1" ht="12.8"/>
    <row r="1043843" spans="1:7" customHeight="1" ht="12.8"/>
    <row r="1043844" spans="1:7" customHeight="1" ht="12.8"/>
    <row r="1043845" spans="1:7" customHeight="1" ht="12.8"/>
    <row r="1043846" spans="1:7" customHeight="1" ht="12.8"/>
    <row r="1043847" spans="1:7" customHeight="1" ht="12.8"/>
    <row r="1043848" spans="1:7" customHeight="1" ht="12.8"/>
    <row r="1043849" spans="1:7" customHeight="1" ht="12.8"/>
    <row r="1043850" spans="1:7" customHeight="1" ht="12.8"/>
    <row r="1043851" spans="1:7" customHeight="1" ht="12.8"/>
    <row r="1043852" spans="1:7" customHeight="1" ht="12.8"/>
    <row r="1043853" spans="1:7" customHeight="1" ht="12.8"/>
    <row r="1043854" spans="1:7" customHeight="1" ht="12.8"/>
    <row r="1043855" spans="1:7" customHeight="1" ht="12.8"/>
    <row r="1043856" spans="1:7" customHeight="1" ht="12.8"/>
    <row r="1043857" spans="1:7" customHeight="1" ht="12.8"/>
    <row r="1043858" spans="1:7" customHeight="1" ht="12.8"/>
    <row r="1043859" spans="1:7" customHeight="1" ht="12.8"/>
    <row r="1043860" spans="1:7" customHeight="1" ht="12.8"/>
    <row r="1043861" spans="1:7" customHeight="1" ht="12.8"/>
    <row r="1043862" spans="1:7" customHeight="1" ht="12.8"/>
    <row r="1043863" spans="1:7" customHeight="1" ht="12.8"/>
    <row r="1043864" spans="1:7" customHeight="1" ht="12.8"/>
    <row r="1043865" spans="1:7" customHeight="1" ht="12.8"/>
    <row r="1043866" spans="1:7" customHeight="1" ht="12.8"/>
    <row r="1043867" spans="1:7" customHeight="1" ht="12.8"/>
    <row r="1043868" spans="1:7" customHeight="1" ht="12.8"/>
    <row r="1043869" spans="1:7" customHeight="1" ht="12.8"/>
    <row r="1043870" spans="1:7" customHeight="1" ht="12.8"/>
    <row r="1043871" spans="1:7" customHeight="1" ht="12.8"/>
    <row r="1043872" spans="1:7" customHeight="1" ht="12.8"/>
    <row r="1043873" spans="1:7" customHeight="1" ht="12.8"/>
    <row r="1043874" spans="1:7" customHeight="1" ht="12.8"/>
    <row r="1043875" spans="1:7" customHeight="1" ht="12.8"/>
    <row r="1043876" spans="1:7" customHeight="1" ht="12.8"/>
    <row r="1043877" spans="1:7" customHeight="1" ht="12.8"/>
    <row r="1043878" spans="1:7" customHeight="1" ht="12.8"/>
    <row r="1043879" spans="1:7" customHeight="1" ht="12.8"/>
    <row r="1043880" spans="1:7" customHeight="1" ht="12.8"/>
    <row r="1043881" spans="1:7" customHeight="1" ht="12.8"/>
    <row r="1043882" spans="1:7" customHeight="1" ht="12.8"/>
    <row r="1043883" spans="1:7" customHeight="1" ht="12.8"/>
    <row r="1043884" spans="1:7" customHeight="1" ht="12.8"/>
    <row r="1043885" spans="1:7" customHeight="1" ht="12.8"/>
    <row r="1043886" spans="1:7" customHeight="1" ht="12.8"/>
    <row r="1043887" spans="1:7" customHeight="1" ht="12.8"/>
    <row r="1043888" spans="1:7" customHeight="1" ht="12.8"/>
    <row r="1043889" spans="1:7" customHeight="1" ht="12.8"/>
    <row r="1043890" spans="1:7" customHeight="1" ht="12.8"/>
    <row r="1043891" spans="1:7" customHeight="1" ht="12.8"/>
    <row r="1043892" spans="1:7" customHeight="1" ht="12.8"/>
    <row r="1043893" spans="1:7" customHeight="1" ht="12.8"/>
    <row r="1043894" spans="1:7" customHeight="1" ht="12.8"/>
    <row r="1043895" spans="1:7" customHeight="1" ht="12.8"/>
    <row r="1043896" spans="1:7" customHeight="1" ht="12.8"/>
    <row r="1043897" spans="1:7" customHeight="1" ht="12.8"/>
    <row r="1043898" spans="1:7" customHeight="1" ht="12.8"/>
    <row r="1043899" spans="1:7" customHeight="1" ht="12.8"/>
    <row r="1043900" spans="1:7" customHeight="1" ht="12.8"/>
    <row r="1043901" spans="1:7" customHeight="1" ht="12.8"/>
    <row r="1043902" spans="1:7" customHeight="1" ht="12.8"/>
    <row r="1043903" spans="1:7" customHeight="1" ht="12.8"/>
    <row r="1043904" spans="1:7" customHeight="1" ht="12.8"/>
    <row r="1043905" spans="1:7" customHeight="1" ht="12.8"/>
    <row r="1043906" spans="1:7" customHeight="1" ht="12.8"/>
    <row r="1043907" spans="1:7" customHeight="1" ht="12.8"/>
    <row r="1043908" spans="1:7" customHeight="1" ht="12.8"/>
    <row r="1043909" spans="1:7" customHeight="1" ht="12.8"/>
    <row r="1043910" spans="1:7" customHeight="1" ht="12.8"/>
    <row r="1043911" spans="1:7" customHeight="1" ht="12.8"/>
    <row r="1043912" spans="1:7" customHeight="1" ht="12.8"/>
    <row r="1043913" spans="1:7" customHeight="1" ht="12.8"/>
    <row r="1043914" spans="1:7" customHeight="1" ht="12.8"/>
    <row r="1043915" spans="1:7" customHeight="1" ht="12.8"/>
    <row r="1043916" spans="1:7" customHeight="1" ht="12.8"/>
    <row r="1043917" spans="1:7" customHeight="1" ht="12.8"/>
    <row r="1043918" spans="1:7" customHeight="1" ht="12.8"/>
    <row r="1043919" spans="1:7" customHeight="1" ht="12.8"/>
    <row r="1043920" spans="1:7" customHeight="1" ht="12.8"/>
    <row r="1043921" spans="1:7" customHeight="1" ht="12.8"/>
    <row r="1043922" spans="1:7" customHeight="1" ht="12.8"/>
    <row r="1043923" spans="1:7" customHeight="1" ht="12.8"/>
    <row r="1043924" spans="1:7" customHeight="1" ht="12.8"/>
    <row r="1043925" spans="1:7" customHeight="1" ht="12.8"/>
    <row r="1043926" spans="1:7" customHeight="1" ht="12.8"/>
    <row r="1043927" spans="1:7" customHeight="1" ht="12.8"/>
    <row r="1043928" spans="1:7" customHeight="1" ht="12.8"/>
    <row r="1043929" spans="1:7" customHeight="1" ht="12.8"/>
    <row r="1043930" spans="1:7" customHeight="1" ht="12.8"/>
    <row r="1043931" spans="1:7" customHeight="1" ht="12.8"/>
    <row r="1043932" spans="1:7" customHeight="1" ht="12.8"/>
    <row r="1043933" spans="1:7" customHeight="1" ht="12.8"/>
    <row r="1043934" spans="1:7" customHeight="1" ht="12.8"/>
    <row r="1043935" spans="1:7" customHeight="1" ht="12.8"/>
    <row r="1043936" spans="1:7" customHeight="1" ht="12.8"/>
    <row r="1043937" spans="1:7" customHeight="1" ht="12.8"/>
    <row r="1043938" spans="1:7" customHeight="1" ht="12.8"/>
    <row r="1043939" spans="1:7" customHeight="1" ht="12.8"/>
    <row r="1043940" spans="1:7" customHeight="1" ht="12.8"/>
    <row r="1043941" spans="1:7" customHeight="1" ht="12.8"/>
    <row r="1043942" spans="1:7" customHeight="1" ht="12.8"/>
    <row r="1043943" spans="1:7" customHeight="1" ht="12.8"/>
    <row r="1043944" spans="1:7" customHeight="1" ht="12.8"/>
    <row r="1043945" spans="1:7" customHeight="1" ht="12.8"/>
    <row r="1043946" spans="1:7" customHeight="1" ht="12.8"/>
    <row r="1043947" spans="1:7" customHeight="1" ht="12.8"/>
    <row r="1043948" spans="1:7" customHeight="1" ht="12.8"/>
    <row r="1043949" spans="1:7" customHeight="1" ht="12.8"/>
    <row r="1043950" spans="1:7" customHeight="1" ht="12.8"/>
    <row r="1043951" spans="1:7" customHeight="1" ht="12.8"/>
    <row r="1043952" spans="1:7" customHeight="1" ht="12.8"/>
    <row r="1043953" spans="1:7" customHeight="1" ht="12.8"/>
    <row r="1043954" spans="1:7" customHeight="1" ht="12.8"/>
    <row r="1043955" spans="1:7" customHeight="1" ht="12.8"/>
    <row r="1043956" spans="1:7" customHeight="1" ht="12.8"/>
    <row r="1043957" spans="1:7" customHeight="1" ht="12.8"/>
    <row r="1043958" spans="1:7" customHeight="1" ht="12.8"/>
    <row r="1043959" spans="1:7" customHeight="1" ht="12.8"/>
    <row r="1043960" spans="1:7" customHeight="1" ht="12.8"/>
    <row r="1043961" spans="1:7" customHeight="1" ht="12.8"/>
    <row r="1043962" spans="1:7" customHeight="1" ht="12.8"/>
    <row r="1043963" spans="1:7" customHeight="1" ht="12.8"/>
    <row r="1043964" spans="1:7" customHeight="1" ht="12.8"/>
    <row r="1043965" spans="1:7" customHeight="1" ht="12.8"/>
    <row r="1043966" spans="1:7" customHeight="1" ht="12.8"/>
    <row r="1043967" spans="1:7" customHeight="1" ht="12.8"/>
    <row r="1043968" spans="1:7" customHeight="1" ht="12.8"/>
    <row r="1043969" spans="1:7" customHeight="1" ht="12.8"/>
    <row r="1043970" spans="1:7" customHeight="1" ht="12.8"/>
    <row r="1043971" spans="1:7" customHeight="1" ht="12.8"/>
    <row r="1043972" spans="1:7" customHeight="1" ht="12.8"/>
    <row r="1043973" spans="1:7" customHeight="1" ht="12.8"/>
    <row r="1043974" spans="1:7" customHeight="1" ht="12.8"/>
    <row r="1043975" spans="1:7" customHeight="1" ht="12.8"/>
    <row r="1043976" spans="1:7" customHeight="1" ht="12.8"/>
    <row r="1043977" spans="1:7" customHeight="1" ht="12.8"/>
    <row r="1043978" spans="1:7" customHeight="1" ht="12.8"/>
    <row r="1043979" spans="1:7" customHeight="1" ht="12.8"/>
    <row r="1043980" spans="1:7" customHeight="1" ht="12.8"/>
    <row r="1043981" spans="1:7" customHeight="1" ht="12.8"/>
    <row r="1043982" spans="1:7" customHeight="1" ht="12.8"/>
    <row r="1043983" spans="1:7" customHeight="1" ht="12.8"/>
    <row r="1043984" spans="1:7" customHeight="1" ht="12.8"/>
    <row r="1043985" spans="1:7" customHeight="1" ht="12.8"/>
    <row r="1043986" spans="1:7" customHeight="1" ht="12.8"/>
    <row r="1043987" spans="1:7" customHeight="1" ht="12.8"/>
    <row r="1043988" spans="1:7" customHeight="1" ht="12.8"/>
    <row r="1043989" spans="1:7" customHeight="1" ht="12.8"/>
    <row r="1043990" spans="1:7" customHeight="1" ht="12.8"/>
    <row r="1043991" spans="1:7" customHeight="1" ht="12.8"/>
    <row r="1043992" spans="1:7" customHeight="1" ht="12.8"/>
    <row r="1043993" spans="1:7" customHeight="1" ht="12.8"/>
    <row r="1043994" spans="1:7" customHeight="1" ht="12.8"/>
    <row r="1043995" spans="1:7" customHeight="1" ht="12.8"/>
    <row r="1043996" spans="1:7" customHeight="1" ht="12.8"/>
    <row r="1043997" spans="1:7" customHeight="1" ht="12.8"/>
    <row r="1043998" spans="1:7" customHeight="1" ht="12.8"/>
    <row r="1043999" spans="1:7" customHeight="1" ht="12.8"/>
    <row r="1044000" spans="1:7" customHeight="1" ht="12.8"/>
    <row r="1044001" spans="1:7" customHeight="1" ht="12.8"/>
    <row r="1044002" spans="1:7" customHeight="1" ht="12.8"/>
    <row r="1044003" spans="1:7" customHeight="1" ht="12.8"/>
    <row r="1044004" spans="1:7" customHeight="1" ht="12.8"/>
    <row r="1044005" spans="1:7" customHeight="1" ht="12.8"/>
    <row r="1044006" spans="1:7" customHeight="1" ht="12.8"/>
    <row r="1044007" spans="1:7" customHeight="1" ht="12.8"/>
    <row r="1044008" spans="1:7" customHeight="1" ht="12.8"/>
    <row r="1044009" spans="1:7" customHeight="1" ht="12.8"/>
    <row r="1044010" spans="1:7" customHeight="1" ht="12.8"/>
    <row r="1044011" spans="1:7" customHeight="1" ht="12.8"/>
    <row r="1044012" spans="1:7" customHeight="1" ht="12.8"/>
    <row r="1044013" spans="1:7" customHeight="1" ht="12.8"/>
    <row r="1044014" spans="1:7" customHeight="1" ht="12.8"/>
    <row r="1044015" spans="1:7" customHeight="1" ht="12.8"/>
    <row r="1044016" spans="1:7" customHeight="1" ht="12.8"/>
    <row r="1044017" spans="1:7" customHeight="1" ht="12.8"/>
    <row r="1044018" spans="1:7" customHeight="1" ht="12.8"/>
    <row r="1044019" spans="1:7" customHeight="1" ht="12.8"/>
    <row r="1044020" spans="1:7" customHeight="1" ht="12.8"/>
    <row r="1044021" spans="1:7" customHeight="1" ht="12.8"/>
    <row r="1044022" spans="1:7" customHeight="1" ht="12.8"/>
    <row r="1044023" spans="1:7" customHeight="1" ht="12.8"/>
    <row r="1044024" spans="1:7" customHeight="1" ht="12.8"/>
    <row r="1044025" spans="1:7" customHeight="1" ht="12.8"/>
    <row r="1044026" spans="1:7" customHeight="1" ht="12.8"/>
    <row r="1044027" spans="1:7" customHeight="1" ht="12.8"/>
    <row r="1044028" spans="1:7" customHeight="1" ht="12.8"/>
    <row r="1044029" spans="1:7" customHeight="1" ht="12.8"/>
    <row r="1044030" spans="1:7" customHeight="1" ht="12.8"/>
    <row r="1044031" spans="1:7" customHeight="1" ht="12.8"/>
    <row r="1044032" spans="1:7" customHeight="1" ht="12.8"/>
    <row r="1044033" spans="1:7" customHeight="1" ht="12.8"/>
    <row r="1044034" spans="1:7" customHeight="1" ht="12.8"/>
    <row r="1044035" spans="1:7" customHeight="1" ht="12.8"/>
    <row r="1044036" spans="1:7" customHeight="1" ht="12.8"/>
    <row r="1044037" spans="1:7" customHeight="1" ht="12.8"/>
    <row r="1044038" spans="1:7" customHeight="1" ht="12.8"/>
    <row r="1044039" spans="1:7" customHeight="1" ht="12.8"/>
    <row r="1044040" spans="1:7" customHeight="1" ht="12.8"/>
    <row r="1044041" spans="1:7" customHeight="1" ht="12.8"/>
    <row r="1044042" spans="1:7" customHeight="1" ht="12.8"/>
    <row r="1044043" spans="1:7" customHeight="1" ht="12.8"/>
    <row r="1044044" spans="1:7" customHeight="1" ht="12.8"/>
    <row r="1044045" spans="1:7" customHeight="1" ht="12.8"/>
    <row r="1044046" spans="1:7" customHeight="1" ht="12.8"/>
    <row r="1044047" spans="1:7" customHeight="1" ht="12.8"/>
    <row r="1044048" spans="1:7" customHeight="1" ht="12.8"/>
    <row r="1044049" spans="1:7" customHeight="1" ht="12.8"/>
    <row r="1044050" spans="1:7" customHeight="1" ht="12.8"/>
    <row r="1044051" spans="1:7" customHeight="1" ht="12.8"/>
    <row r="1044052" spans="1:7" customHeight="1" ht="12.8"/>
    <row r="1044053" spans="1:7" customHeight="1" ht="12.8"/>
    <row r="1044054" spans="1:7" customHeight="1" ht="12.8"/>
    <row r="1044055" spans="1:7" customHeight="1" ht="12.8"/>
    <row r="1044056" spans="1:7" customHeight="1" ht="12.8"/>
    <row r="1044057" spans="1:7" customHeight="1" ht="12.8"/>
    <row r="1044058" spans="1:7" customHeight="1" ht="12.8"/>
    <row r="1044059" spans="1:7" customHeight="1" ht="12.8"/>
    <row r="1044060" spans="1:7" customHeight="1" ht="12.8"/>
    <row r="1044061" spans="1:7" customHeight="1" ht="12.8"/>
    <row r="1044062" spans="1:7" customHeight="1" ht="12.8"/>
    <row r="1044063" spans="1:7" customHeight="1" ht="12.8"/>
    <row r="1044064" spans="1:7" customHeight="1" ht="12.8"/>
    <row r="1044065" spans="1:7" customHeight="1" ht="12.8"/>
    <row r="1044066" spans="1:7" customHeight="1" ht="12.8"/>
    <row r="1044067" spans="1:7" customHeight="1" ht="12.8"/>
    <row r="1044068" spans="1:7" customHeight="1" ht="12.8"/>
    <row r="1044069" spans="1:7" customHeight="1" ht="12.8"/>
    <row r="1044070" spans="1:7" customHeight="1" ht="12.8"/>
    <row r="1044071" spans="1:7" customHeight="1" ht="12.8"/>
    <row r="1044072" spans="1:7" customHeight="1" ht="12.8"/>
    <row r="1044073" spans="1:7" customHeight="1" ht="12.8"/>
    <row r="1044074" spans="1:7" customHeight="1" ht="12.8"/>
    <row r="1044075" spans="1:7" customHeight="1" ht="12.8"/>
    <row r="1044076" spans="1:7" customHeight="1" ht="12.8"/>
    <row r="1044077" spans="1:7" customHeight="1" ht="12.8"/>
    <row r="1044078" spans="1:7" customHeight="1" ht="12.8"/>
    <row r="1044079" spans="1:7" customHeight="1" ht="12.8"/>
    <row r="1044080" spans="1:7" customHeight="1" ht="12.8"/>
    <row r="1044081" spans="1:7" customHeight="1" ht="12.8"/>
    <row r="1044082" spans="1:7" customHeight="1" ht="12.8"/>
    <row r="1044083" spans="1:7" customHeight="1" ht="12.8"/>
    <row r="1044084" spans="1:7" customHeight="1" ht="12.8"/>
    <row r="1044085" spans="1:7" customHeight="1" ht="12.8"/>
    <row r="1044086" spans="1:7" customHeight="1" ht="12.8"/>
    <row r="1044087" spans="1:7" customHeight="1" ht="12.8"/>
    <row r="1044088" spans="1:7" customHeight="1" ht="12.8"/>
    <row r="1044089" spans="1:7" customHeight="1" ht="12.8"/>
    <row r="1044090" spans="1:7" customHeight="1" ht="12.8"/>
    <row r="1044091" spans="1:7" customHeight="1" ht="12.8"/>
    <row r="1044092" spans="1:7" customHeight="1" ht="12.8"/>
    <row r="1044093" spans="1:7" customHeight="1" ht="12.8"/>
    <row r="1044094" spans="1:7" customHeight="1" ht="12.8"/>
    <row r="1044095" spans="1:7" customHeight="1" ht="12.8"/>
    <row r="1044096" spans="1:7" customHeight="1" ht="12.8"/>
    <row r="1044097" spans="1:7" customHeight="1" ht="12.8"/>
    <row r="1044098" spans="1:7" customHeight="1" ht="12.8"/>
    <row r="1044099" spans="1:7" customHeight="1" ht="12.8"/>
    <row r="1044100" spans="1:7" customHeight="1" ht="12.8"/>
    <row r="1044101" spans="1:7" customHeight="1" ht="12.8"/>
    <row r="1044102" spans="1:7" customHeight="1" ht="12.8"/>
    <row r="1044103" spans="1:7" customHeight="1" ht="12.8"/>
    <row r="1044104" spans="1:7" customHeight="1" ht="12.8"/>
    <row r="1044105" spans="1:7" customHeight="1" ht="12.8"/>
    <row r="1044106" spans="1:7" customHeight="1" ht="12.8"/>
    <row r="1044107" spans="1:7" customHeight="1" ht="12.8"/>
    <row r="1044108" spans="1:7" customHeight="1" ht="12.8"/>
    <row r="1044109" spans="1:7" customHeight="1" ht="12.8"/>
    <row r="1044110" spans="1:7" customHeight="1" ht="12.8"/>
    <row r="1044111" spans="1:7" customHeight="1" ht="12.8"/>
    <row r="1044112" spans="1:7" customHeight="1" ht="12.8"/>
    <row r="1044113" spans="1:7" customHeight="1" ht="12.8"/>
    <row r="1044114" spans="1:7" customHeight="1" ht="12.8"/>
    <row r="1044115" spans="1:7" customHeight="1" ht="12.8"/>
    <row r="1044116" spans="1:7" customHeight="1" ht="12.8"/>
    <row r="1044117" spans="1:7" customHeight="1" ht="12.8"/>
    <row r="1044118" spans="1:7" customHeight="1" ht="12.8"/>
    <row r="1044119" spans="1:7" customHeight="1" ht="12.8"/>
    <row r="1044120" spans="1:7" customHeight="1" ht="12.8"/>
    <row r="1044121" spans="1:7" customHeight="1" ht="12.8"/>
    <row r="1044122" spans="1:7" customHeight="1" ht="12.8"/>
    <row r="1044123" spans="1:7" customHeight="1" ht="12.8"/>
    <row r="1044124" spans="1:7" customHeight="1" ht="12.8"/>
    <row r="1044125" spans="1:7" customHeight="1" ht="12.8"/>
    <row r="1044126" spans="1:7" customHeight="1" ht="12.8"/>
    <row r="1044127" spans="1:7" customHeight="1" ht="12.8"/>
    <row r="1044128" spans="1:7" customHeight="1" ht="12.8"/>
    <row r="1044129" spans="1:7" customHeight="1" ht="12.8"/>
    <row r="1044130" spans="1:7" customHeight="1" ht="12.8"/>
    <row r="1044131" spans="1:7" customHeight="1" ht="12.8"/>
    <row r="1044132" spans="1:7" customHeight="1" ht="12.8"/>
    <row r="1044133" spans="1:7" customHeight="1" ht="12.8"/>
    <row r="1044134" spans="1:7" customHeight="1" ht="12.8"/>
    <row r="1044135" spans="1:7" customHeight="1" ht="12.8"/>
    <row r="1044136" spans="1:7" customHeight="1" ht="12.8"/>
    <row r="1044137" spans="1:7" customHeight="1" ht="12.8"/>
    <row r="1044138" spans="1:7" customHeight="1" ht="12.8"/>
    <row r="1044139" spans="1:7" customHeight="1" ht="12.8"/>
    <row r="1044140" spans="1:7" customHeight="1" ht="12.8"/>
    <row r="1044141" spans="1:7" customHeight="1" ht="12.8"/>
    <row r="1044142" spans="1:7" customHeight="1" ht="12.8"/>
    <row r="1044143" spans="1:7" customHeight="1" ht="12.8"/>
    <row r="1044144" spans="1:7" customHeight="1" ht="12.8"/>
    <row r="1044145" spans="1:7" customHeight="1" ht="12.8"/>
    <row r="1044146" spans="1:7" customHeight="1" ht="12.8"/>
    <row r="1044147" spans="1:7" customHeight="1" ht="12.8"/>
    <row r="1044148" spans="1:7" customHeight="1" ht="12.8"/>
    <row r="1044149" spans="1:7" customHeight="1" ht="12.8"/>
    <row r="1044150" spans="1:7" customHeight="1" ht="12.8"/>
    <row r="1044151" spans="1:7" customHeight="1" ht="12.8"/>
    <row r="1044152" spans="1:7" customHeight="1" ht="12.8"/>
    <row r="1044153" spans="1:7" customHeight="1" ht="12.8"/>
    <row r="1044154" spans="1:7" customHeight="1" ht="12.8"/>
    <row r="1044155" spans="1:7" customHeight="1" ht="12.8"/>
    <row r="1044156" spans="1:7" customHeight="1" ht="12.8"/>
    <row r="1044157" spans="1:7" customHeight="1" ht="12.8"/>
    <row r="1044158" spans="1:7" customHeight="1" ht="12.8"/>
    <row r="1044159" spans="1:7" customHeight="1" ht="12.8"/>
    <row r="1044160" spans="1:7" customHeight="1" ht="12.8"/>
    <row r="1044161" spans="1:7" customHeight="1" ht="12.8"/>
    <row r="1044162" spans="1:7" customHeight="1" ht="12.8"/>
    <row r="1044163" spans="1:7" customHeight="1" ht="12.8"/>
    <row r="1044164" spans="1:7" customHeight="1" ht="12.8"/>
    <row r="1044165" spans="1:7" customHeight="1" ht="12.8"/>
    <row r="1044166" spans="1:7" customHeight="1" ht="12.8"/>
    <row r="1044167" spans="1:7" customHeight="1" ht="12.8"/>
    <row r="1044168" spans="1:7" customHeight="1" ht="12.8"/>
    <row r="1044169" spans="1:7" customHeight="1" ht="12.8"/>
    <row r="1044170" spans="1:7" customHeight="1" ht="12.8"/>
    <row r="1044171" spans="1:7" customHeight="1" ht="12.8"/>
    <row r="1044172" spans="1:7" customHeight="1" ht="12.8"/>
    <row r="1044173" spans="1:7" customHeight="1" ht="12.8"/>
    <row r="1044174" spans="1:7" customHeight="1" ht="12.8"/>
    <row r="1044175" spans="1:7" customHeight="1" ht="12.8"/>
    <row r="1044176" spans="1:7" customHeight="1" ht="12.8"/>
    <row r="1044177" spans="1:7" customHeight="1" ht="12.8"/>
    <row r="1044178" spans="1:7" customHeight="1" ht="12.8"/>
    <row r="1044179" spans="1:7" customHeight="1" ht="12.8"/>
    <row r="1044180" spans="1:7" customHeight="1" ht="12.8"/>
    <row r="1044181" spans="1:7" customHeight="1" ht="12.8"/>
    <row r="1044182" spans="1:7" customHeight="1" ht="12.8"/>
    <row r="1044183" spans="1:7" customHeight="1" ht="12.8"/>
    <row r="1044184" spans="1:7" customHeight="1" ht="12.8"/>
    <row r="1044185" spans="1:7" customHeight="1" ht="12.8"/>
    <row r="1044186" spans="1:7" customHeight="1" ht="12.8"/>
    <row r="1044187" spans="1:7" customHeight="1" ht="12.8"/>
    <row r="1044188" spans="1:7" customHeight="1" ht="12.8"/>
    <row r="1044189" spans="1:7" customHeight="1" ht="12.8"/>
    <row r="1044190" spans="1:7" customHeight="1" ht="12.8"/>
    <row r="1044191" spans="1:7" customHeight="1" ht="12.8"/>
    <row r="1044192" spans="1:7" customHeight="1" ht="12.8"/>
    <row r="1044193" spans="1:7" customHeight="1" ht="12.8"/>
    <row r="1044194" spans="1:7" customHeight="1" ht="12.8"/>
    <row r="1044195" spans="1:7" customHeight="1" ht="12.8"/>
    <row r="1044196" spans="1:7" customHeight="1" ht="12.8"/>
    <row r="1044197" spans="1:7" customHeight="1" ht="12.8"/>
    <row r="1044198" spans="1:7" customHeight="1" ht="12.8"/>
    <row r="1044199" spans="1:7" customHeight="1" ht="12.8"/>
    <row r="1044200" spans="1:7" customHeight="1" ht="12.8"/>
    <row r="1044201" spans="1:7" customHeight="1" ht="12.8"/>
    <row r="1044202" spans="1:7" customHeight="1" ht="12.8"/>
    <row r="1044203" spans="1:7" customHeight="1" ht="12.8"/>
    <row r="1044204" spans="1:7" customHeight="1" ht="12.8"/>
    <row r="1044205" spans="1:7" customHeight="1" ht="12.8"/>
    <row r="1044206" spans="1:7" customHeight="1" ht="12.8"/>
    <row r="1044207" spans="1:7" customHeight="1" ht="12.8"/>
    <row r="1044208" spans="1:7" customHeight="1" ht="12.8"/>
    <row r="1044209" spans="1:7" customHeight="1" ht="12.8"/>
    <row r="1044210" spans="1:7" customHeight="1" ht="12.8"/>
    <row r="1044211" spans="1:7" customHeight="1" ht="12.8"/>
    <row r="1044212" spans="1:7" customHeight="1" ht="12.8"/>
    <row r="1044213" spans="1:7" customHeight="1" ht="12.8"/>
    <row r="1044214" spans="1:7" customHeight="1" ht="12.8"/>
    <row r="1044215" spans="1:7" customHeight="1" ht="12.8"/>
    <row r="1044216" spans="1:7" customHeight="1" ht="12.8"/>
    <row r="1044217" spans="1:7" customHeight="1" ht="12.8"/>
    <row r="1044218" spans="1:7" customHeight="1" ht="12.8"/>
    <row r="1044219" spans="1:7" customHeight="1" ht="12.8"/>
    <row r="1044220" spans="1:7" customHeight="1" ht="12.8"/>
    <row r="1044221" spans="1:7" customHeight="1" ht="12.8"/>
    <row r="1044222" spans="1:7" customHeight="1" ht="12.8"/>
    <row r="1044223" spans="1:7" customHeight="1" ht="12.8"/>
    <row r="1044224" spans="1:7" customHeight="1" ht="12.8"/>
    <row r="1044225" spans="1:7" customHeight="1" ht="12.8"/>
    <row r="1044226" spans="1:7" customHeight="1" ht="12.8"/>
    <row r="1044227" spans="1:7" customHeight="1" ht="12.8"/>
    <row r="1044228" spans="1:7" customHeight="1" ht="12.8"/>
    <row r="1044229" spans="1:7" customHeight="1" ht="12.8"/>
    <row r="1044230" spans="1:7" customHeight="1" ht="12.8"/>
    <row r="1044231" spans="1:7" customHeight="1" ht="12.8"/>
    <row r="1044232" spans="1:7" customHeight="1" ht="12.8"/>
    <row r="1044233" spans="1:7" customHeight="1" ht="12.8"/>
    <row r="1044234" spans="1:7" customHeight="1" ht="12.8"/>
    <row r="1044235" spans="1:7" customHeight="1" ht="12.8"/>
    <row r="1044236" spans="1:7" customHeight="1" ht="12.8"/>
    <row r="1044237" spans="1:7" customHeight="1" ht="12.8"/>
    <row r="1044238" spans="1:7" customHeight="1" ht="12.8"/>
    <row r="1044239" spans="1:7" customHeight="1" ht="12.8"/>
    <row r="1044240" spans="1:7" customHeight="1" ht="12.8"/>
    <row r="1044241" spans="1:7" customHeight="1" ht="12.8"/>
    <row r="1044242" spans="1:7" customHeight="1" ht="12.8"/>
    <row r="1044243" spans="1:7" customHeight="1" ht="12.8"/>
    <row r="1044244" spans="1:7" customHeight="1" ht="12.8"/>
    <row r="1044245" spans="1:7" customHeight="1" ht="12.8"/>
    <row r="1044246" spans="1:7" customHeight="1" ht="12.8"/>
    <row r="1044247" spans="1:7" customHeight="1" ht="12.8"/>
    <row r="1044248" spans="1:7" customHeight="1" ht="12.8"/>
    <row r="1044249" spans="1:7" customHeight="1" ht="12.8"/>
    <row r="1044250" spans="1:7" customHeight="1" ht="12.8"/>
    <row r="1044251" spans="1:7" customHeight="1" ht="12.8"/>
    <row r="1044252" spans="1:7" customHeight="1" ht="12.8"/>
    <row r="1044253" spans="1:7" customHeight="1" ht="12.8"/>
    <row r="1044254" spans="1:7" customHeight="1" ht="12.8"/>
    <row r="1044255" spans="1:7" customHeight="1" ht="12.8"/>
    <row r="1044256" spans="1:7" customHeight="1" ht="12.8"/>
    <row r="1044257" spans="1:7" customHeight="1" ht="12.8"/>
    <row r="1044258" spans="1:7" customHeight="1" ht="12.8"/>
    <row r="1044259" spans="1:7" customHeight="1" ht="12.8"/>
    <row r="1044260" spans="1:7" customHeight="1" ht="12.8"/>
    <row r="1044261" spans="1:7" customHeight="1" ht="12.8"/>
    <row r="1044262" spans="1:7" customHeight="1" ht="12.8"/>
    <row r="1044263" spans="1:7" customHeight="1" ht="12.8"/>
    <row r="1044264" spans="1:7" customHeight="1" ht="12.8"/>
    <row r="1044265" spans="1:7" customHeight="1" ht="12.8"/>
    <row r="1044266" spans="1:7" customHeight="1" ht="12.8"/>
    <row r="1044267" spans="1:7" customHeight="1" ht="12.8"/>
    <row r="1044268" spans="1:7" customHeight="1" ht="12.8"/>
    <row r="1044269" spans="1:7" customHeight="1" ht="12.8"/>
    <row r="1044270" spans="1:7" customHeight="1" ht="12.8"/>
    <row r="1044271" spans="1:7" customHeight="1" ht="12.8"/>
    <row r="1044272" spans="1:7" customHeight="1" ht="12.8"/>
    <row r="1044273" spans="1:7" customHeight="1" ht="12.8"/>
    <row r="1044274" spans="1:7" customHeight="1" ht="12.8"/>
    <row r="1044275" spans="1:7" customHeight="1" ht="12.8"/>
    <row r="1044276" spans="1:7" customHeight="1" ht="12.8"/>
    <row r="1044277" spans="1:7" customHeight="1" ht="12.8"/>
    <row r="1044278" spans="1:7" customHeight="1" ht="12.8"/>
    <row r="1044279" spans="1:7" customHeight="1" ht="12.8"/>
    <row r="1044280" spans="1:7" customHeight="1" ht="12.8"/>
    <row r="1044281" spans="1:7" customHeight="1" ht="12.8"/>
    <row r="1044282" spans="1:7" customHeight="1" ht="12.8"/>
    <row r="1044283" spans="1:7" customHeight="1" ht="12.8"/>
    <row r="1044284" spans="1:7" customHeight="1" ht="12.8"/>
    <row r="1044285" spans="1:7" customHeight="1" ht="12.8"/>
    <row r="1044286" spans="1:7" customHeight="1" ht="12.8"/>
    <row r="1044287" spans="1:7" customHeight="1" ht="12.8"/>
    <row r="1044288" spans="1:7" customHeight="1" ht="12.8"/>
    <row r="1044289" spans="1:7" customHeight="1" ht="12.8"/>
    <row r="1044290" spans="1:7" customHeight="1" ht="12.8"/>
    <row r="1044291" spans="1:7" customHeight="1" ht="12.8"/>
    <row r="1044292" spans="1:7" customHeight="1" ht="12.8"/>
    <row r="1044293" spans="1:7" customHeight="1" ht="12.8"/>
    <row r="1044294" spans="1:7" customHeight="1" ht="12.8"/>
    <row r="1044295" spans="1:7" customHeight="1" ht="12.8"/>
    <row r="1044296" spans="1:7" customHeight="1" ht="12.8"/>
    <row r="1044297" spans="1:7" customHeight="1" ht="12.8"/>
    <row r="1044298" spans="1:7" customHeight="1" ht="12.8"/>
    <row r="1044299" spans="1:7" customHeight="1" ht="12.8"/>
    <row r="1044300" spans="1:7" customHeight="1" ht="12.8"/>
    <row r="1044301" spans="1:7" customHeight="1" ht="12.8"/>
    <row r="1044302" spans="1:7" customHeight="1" ht="12.8"/>
    <row r="1044303" spans="1:7" customHeight="1" ht="12.8"/>
    <row r="1044304" spans="1:7" customHeight="1" ht="12.8"/>
    <row r="1044305" spans="1:7" customHeight="1" ht="12.8"/>
    <row r="1044306" spans="1:7" customHeight="1" ht="12.8"/>
    <row r="1044307" spans="1:7" customHeight="1" ht="12.8"/>
    <row r="1044308" spans="1:7" customHeight="1" ht="12.8"/>
    <row r="1044309" spans="1:7" customHeight="1" ht="12.8"/>
    <row r="1044310" spans="1:7" customHeight="1" ht="12.8"/>
    <row r="1044311" spans="1:7" customHeight="1" ht="12.8"/>
    <row r="1044312" spans="1:7" customHeight="1" ht="12.8"/>
    <row r="1044313" spans="1:7" customHeight="1" ht="12.8"/>
    <row r="1044314" spans="1:7" customHeight="1" ht="12.8"/>
    <row r="1044315" spans="1:7" customHeight="1" ht="12.8"/>
    <row r="1044316" spans="1:7" customHeight="1" ht="12.8"/>
    <row r="1044317" spans="1:7" customHeight="1" ht="12.8"/>
    <row r="1044318" spans="1:7" customHeight="1" ht="12.8"/>
    <row r="1044319" spans="1:7" customHeight="1" ht="12.8"/>
    <row r="1044320" spans="1:7" customHeight="1" ht="12.8"/>
    <row r="1044321" spans="1:7" customHeight="1" ht="12.8"/>
    <row r="1044322" spans="1:7" customHeight="1" ht="12.8"/>
    <row r="1044323" spans="1:7" customHeight="1" ht="12.8"/>
    <row r="1044324" spans="1:7" customHeight="1" ht="12.8"/>
    <row r="1044325" spans="1:7" customHeight="1" ht="12.8"/>
    <row r="1044326" spans="1:7" customHeight="1" ht="12.8"/>
    <row r="1044327" spans="1:7" customHeight="1" ht="12.8"/>
    <row r="1044328" spans="1:7" customHeight="1" ht="12.8"/>
    <row r="1044329" spans="1:7" customHeight="1" ht="12.8"/>
    <row r="1044330" spans="1:7" customHeight="1" ht="12.8"/>
    <row r="1044331" spans="1:7" customHeight="1" ht="12.8"/>
    <row r="1044332" spans="1:7" customHeight="1" ht="12.8"/>
    <row r="1044333" spans="1:7" customHeight="1" ht="12.8"/>
    <row r="1044334" spans="1:7" customHeight="1" ht="12.8"/>
    <row r="1044335" spans="1:7" customHeight="1" ht="12.8"/>
    <row r="1044336" spans="1:7" customHeight="1" ht="12.8"/>
    <row r="1044337" spans="1:7" customHeight="1" ht="12.8"/>
    <row r="1044338" spans="1:7" customHeight="1" ht="12.8"/>
    <row r="1044339" spans="1:7" customHeight="1" ht="12.8"/>
    <row r="1044340" spans="1:7" customHeight="1" ht="12.8"/>
    <row r="1044341" spans="1:7" customHeight="1" ht="12.8"/>
    <row r="1044342" spans="1:7" customHeight="1" ht="12.8"/>
    <row r="1044343" spans="1:7" customHeight="1" ht="12.8"/>
    <row r="1044344" spans="1:7" customHeight="1" ht="12.8"/>
    <row r="1044345" spans="1:7" customHeight="1" ht="12.8"/>
    <row r="1044346" spans="1:7" customHeight="1" ht="12.8"/>
    <row r="1044347" spans="1:7" customHeight="1" ht="12.8"/>
    <row r="1044348" spans="1:7" customHeight="1" ht="12.8"/>
    <row r="1044349" spans="1:7" customHeight="1" ht="12.8"/>
    <row r="1044350" spans="1:7" customHeight="1" ht="12.8"/>
    <row r="1044351" spans="1:7" customHeight="1" ht="12.8"/>
    <row r="1044352" spans="1:7" customHeight="1" ht="12.8"/>
    <row r="1044353" spans="1:7" customHeight="1" ht="12.8"/>
    <row r="1044354" spans="1:7" customHeight="1" ht="12.8"/>
    <row r="1044355" spans="1:7" customHeight="1" ht="12.8"/>
    <row r="1044356" spans="1:7" customHeight="1" ht="12.8"/>
    <row r="1044357" spans="1:7" customHeight="1" ht="12.8"/>
    <row r="1044358" spans="1:7" customHeight="1" ht="12.8"/>
    <row r="1044359" spans="1:7" customHeight="1" ht="12.8"/>
    <row r="1044360" spans="1:7" customHeight="1" ht="12.8"/>
    <row r="1044361" spans="1:7" customHeight="1" ht="12.8"/>
    <row r="1044362" spans="1:7" customHeight="1" ht="12.8"/>
    <row r="1044363" spans="1:7" customHeight="1" ht="12.8"/>
    <row r="1044364" spans="1:7" customHeight="1" ht="12.8"/>
    <row r="1044365" spans="1:7" customHeight="1" ht="12.8"/>
    <row r="1044366" spans="1:7" customHeight="1" ht="12.8"/>
    <row r="1044367" spans="1:7" customHeight="1" ht="12.8"/>
    <row r="1044368" spans="1:7" customHeight="1" ht="12.8"/>
    <row r="1044369" spans="1:7" customHeight="1" ht="12.8"/>
    <row r="1044370" spans="1:7" customHeight="1" ht="12.8"/>
    <row r="1044371" spans="1:7" customHeight="1" ht="12.8"/>
    <row r="1044372" spans="1:7" customHeight="1" ht="12.8"/>
    <row r="1044373" spans="1:7" customHeight="1" ht="12.8"/>
    <row r="1044374" spans="1:7" customHeight="1" ht="12.8"/>
    <row r="1044375" spans="1:7" customHeight="1" ht="12.8"/>
    <row r="1044376" spans="1:7" customHeight="1" ht="12.8"/>
    <row r="1044377" spans="1:7" customHeight="1" ht="12.8"/>
    <row r="1044378" spans="1:7" customHeight="1" ht="12.8"/>
    <row r="1044379" spans="1:7" customHeight="1" ht="12.8"/>
    <row r="1044380" spans="1:7" customHeight="1" ht="12.8"/>
    <row r="1044381" spans="1:7" customHeight="1" ht="12.8"/>
    <row r="1044382" spans="1:7" customHeight="1" ht="12.8"/>
    <row r="1044383" spans="1:7" customHeight="1" ht="12.8"/>
    <row r="1044384" spans="1:7" customHeight="1" ht="12.8"/>
    <row r="1044385" spans="1:7" customHeight="1" ht="12.8"/>
    <row r="1044386" spans="1:7" customHeight="1" ht="12.8"/>
    <row r="1044387" spans="1:7" customHeight="1" ht="12.8"/>
    <row r="1044388" spans="1:7" customHeight="1" ht="12.8"/>
    <row r="1044389" spans="1:7" customHeight="1" ht="12.8"/>
    <row r="1044390" spans="1:7" customHeight="1" ht="12.8"/>
    <row r="1044391" spans="1:7" customHeight="1" ht="12.8"/>
    <row r="1044392" spans="1:7" customHeight="1" ht="12.8"/>
    <row r="1044393" spans="1:7" customHeight="1" ht="12.8"/>
    <row r="1044394" spans="1:7" customHeight="1" ht="12.8"/>
    <row r="1044395" spans="1:7" customHeight="1" ht="12.8"/>
    <row r="1044396" spans="1:7" customHeight="1" ht="12.8"/>
    <row r="1044397" spans="1:7" customHeight="1" ht="12.8"/>
    <row r="1044398" spans="1:7" customHeight="1" ht="12.8"/>
    <row r="1044399" spans="1:7" customHeight="1" ht="12.8"/>
    <row r="1044400" spans="1:7" customHeight="1" ht="12.8"/>
    <row r="1044401" spans="1:7" customHeight="1" ht="12.8"/>
    <row r="1044402" spans="1:7" customHeight="1" ht="12.8"/>
    <row r="1044403" spans="1:7" customHeight="1" ht="12.8"/>
    <row r="1044404" spans="1:7" customHeight="1" ht="12.8"/>
    <row r="1044405" spans="1:7" customHeight="1" ht="12.8"/>
    <row r="1044406" spans="1:7" customHeight="1" ht="12.8"/>
    <row r="1044407" spans="1:7" customHeight="1" ht="12.8"/>
    <row r="1044408" spans="1:7" customHeight="1" ht="12.8"/>
    <row r="1044409" spans="1:7" customHeight="1" ht="12.8"/>
    <row r="1044410" spans="1:7" customHeight="1" ht="12.8"/>
    <row r="1044411" spans="1:7" customHeight="1" ht="12.8"/>
    <row r="1044412" spans="1:7" customHeight="1" ht="12.8"/>
    <row r="1044413" spans="1:7" customHeight="1" ht="12.8"/>
    <row r="1044414" spans="1:7" customHeight="1" ht="12.8"/>
    <row r="1044415" spans="1:7" customHeight="1" ht="12.8"/>
    <row r="1044416" spans="1:7" customHeight="1" ht="12.8"/>
    <row r="1044417" spans="1:7" customHeight="1" ht="12.8"/>
    <row r="1044418" spans="1:7" customHeight="1" ht="12.8"/>
    <row r="1044419" spans="1:7" customHeight="1" ht="12.8"/>
    <row r="1044420" spans="1:7" customHeight="1" ht="12.8"/>
    <row r="1044421" spans="1:7" customHeight="1" ht="12.8"/>
    <row r="1044422" spans="1:7" customHeight="1" ht="12.8"/>
    <row r="1044423" spans="1:7" customHeight="1" ht="12.8"/>
    <row r="1044424" spans="1:7" customHeight="1" ht="12.8"/>
    <row r="1044425" spans="1:7" customHeight="1" ht="12.8"/>
    <row r="1044426" spans="1:7" customHeight="1" ht="12.8"/>
    <row r="1044427" spans="1:7" customHeight="1" ht="12.8"/>
    <row r="1044428" spans="1:7" customHeight="1" ht="12.8"/>
    <row r="1044429" spans="1:7" customHeight="1" ht="12.8"/>
    <row r="1044430" spans="1:7" customHeight="1" ht="12.8"/>
    <row r="1044431" spans="1:7" customHeight="1" ht="12.8"/>
    <row r="1044432" spans="1:7" customHeight="1" ht="12.8"/>
    <row r="1044433" spans="1:7" customHeight="1" ht="12.8"/>
    <row r="1044434" spans="1:7" customHeight="1" ht="12.8"/>
    <row r="1044435" spans="1:7" customHeight="1" ht="12.8"/>
    <row r="1044436" spans="1:7" customHeight="1" ht="12.8"/>
    <row r="1044437" spans="1:7" customHeight="1" ht="12.8"/>
    <row r="1044438" spans="1:7" customHeight="1" ht="12.8"/>
    <row r="1044439" spans="1:7" customHeight="1" ht="12.8"/>
    <row r="1044440" spans="1:7" customHeight="1" ht="12.8"/>
    <row r="1044441" spans="1:7" customHeight="1" ht="12.8"/>
    <row r="1044442" spans="1:7" customHeight="1" ht="12.8"/>
    <row r="1044443" spans="1:7" customHeight="1" ht="12.8"/>
    <row r="1044444" spans="1:7" customHeight="1" ht="12.8"/>
    <row r="1044445" spans="1:7" customHeight="1" ht="12.8"/>
    <row r="1044446" spans="1:7" customHeight="1" ht="12.8"/>
    <row r="1044447" spans="1:7" customHeight="1" ht="12.8"/>
    <row r="1044448" spans="1:7" customHeight="1" ht="12.8"/>
    <row r="1044449" spans="1:7" customHeight="1" ht="12.8"/>
    <row r="1044450" spans="1:7" customHeight="1" ht="12.8"/>
    <row r="1044451" spans="1:7" customHeight="1" ht="12.8"/>
    <row r="1044452" spans="1:7" customHeight="1" ht="12.8"/>
    <row r="1044453" spans="1:7" customHeight="1" ht="12.8"/>
    <row r="1044454" spans="1:7" customHeight="1" ht="12.8"/>
    <row r="1044455" spans="1:7" customHeight="1" ht="12.8"/>
    <row r="1044456" spans="1:7" customHeight="1" ht="12.8"/>
    <row r="1044457" spans="1:7" customHeight="1" ht="12.8"/>
    <row r="1044458" spans="1:7" customHeight="1" ht="12.8"/>
    <row r="1044459" spans="1:7" customHeight="1" ht="12.8"/>
    <row r="1044460" spans="1:7" customHeight="1" ht="12.8"/>
    <row r="1044461" spans="1:7" customHeight="1" ht="12.8"/>
    <row r="1044462" spans="1:7" customHeight="1" ht="12.8"/>
    <row r="1044463" spans="1:7" customHeight="1" ht="12.8"/>
    <row r="1044464" spans="1:7" customHeight="1" ht="12.8"/>
    <row r="1044465" spans="1:7" customHeight="1" ht="12.8"/>
    <row r="1044466" spans="1:7" customHeight="1" ht="12.8"/>
    <row r="1044467" spans="1:7" customHeight="1" ht="12.8"/>
    <row r="1044468" spans="1:7" customHeight="1" ht="12.8"/>
    <row r="1044469" spans="1:7" customHeight="1" ht="12.8"/>
    <row r="1044470" spans="1:7" customHeight="1" ht="12.8"/>
    <row r="1044471" spans="1:7" customHeight="1" ht="12.8"/>
    <row r="1044472" spans="1:7" customHeight="1" ht="12.8"/>
    <row r="1044473" spans="1:7" customHeight="1" ht="12.8"/>
    <row r="1044474" spans="1:7" customHeight="1" ht="12.8"/>
    <row r="1044475" spans="1:7" customHeight="1" ht="12.8"/>
    <row r="1044476" spans="1:7" customHeight="1" ht="12.8"/>
    <row r="1044477" spans="1:7" customHeight="1" ht="12.8"/>
    <row r="1044478" spans="1:7" customHeight="1" ht="12.8"/>
    <row r="1044479" spans="1:7" customHeight="1" ht="12.8"/>
    <row r="1044480" spans="1:7" customHeight="1" ht="12.8"/>
    <row r="1044481" spans="1:7" customHeight="1" ht="12.8"/>
    <row r="1044482" spans="1:7" customHeight="1" ht="12.8"/>
    <row r="1044483" spans="1:7" customHeight="1" ht="12.8"/>
    <row r="1044484" spans="1:7" customHeight="1" ht="12.8"/>
    <row r="1044485" spans="1:7" customHeight="1" ht="12.8"/>
    <row r="1044486" spans="1:7" customHeight="1" ht="12.8"/>
    <row r="1044487" spans="1:7" customHeight="1" ht="12.8"/>
    <row r="1044488" spans="1:7" customHeight="1" ht="12.8"/>
    <row r="1044489" spans="1:7" customHeight="1" ht="12.8"/>
    <row r="1044490" spans="1:7" customHeight="1" ht="12.8"/>
    <row r="1044491" spans="1:7" customHeight="1" ht="12.8"/>
    <row r="1044492" spans="1:7" customHeight="1" ht="12.8"/>
    <row r="1044493" spans="1:7" customHeight="1" ht="12.8"/>
    <row r="1044494" spans="1:7" customHeight="1" ht="12.8"/>
    <row r="1044495" spans="1:7" customHeight="1" ht="12.8"/>
    <row r="1044496" spans="1:7" customHeight="1" ht="12.8"/>
    <row r="1044497" spans="1:7" customHeight="1" ht="12.8"/>
    <row r="1044498" spans="1:7" customHeight="1" ht="12.8"/>
    <row r="1044499" spans="1:7" customHeight="1" ht="12.8"/>
    <row r="1044500" spans="1:7" customHeight="1" ht="12.8"/>
    <row r="1044501" spans="1:7" customHeight="1" ht="12.8"/>
    <row r="1044502" spans="1:7" customHeight="1" ht="12.8"/>
    <row r="1044503" spans="1:7" customHeight="1" ht="12.8"/>
    <row r="1044504" spans="1:7" customHeight="1" ht="12.8"/>
    <row r="1044505" spans="1:7" customHeight="1" ht="12.8"/>
    <row r="1044506" spans="1:7" customHeight="1" ht="12.8"/>
    <row r="1044507" spans="1:7" customHeight="1" ht="12.8"/>
    <row r="1044508" spans="1:7" customHeight="1" ht="12.8"/>
    <row r="1044509" spans="1:7" customHeight="1" ht="12.8"/>
    <row r="1044510" spans="1:7" customHeight="1" ht="12.8"/>
    <row r="1044511" spans="1:7" customHeight="1" ht="12.8"/>
    <row r="1044512" spans="1:7" customHeight="1" ht="12.8"/>
    <row r="1044513" spans="1:7" customHeight="1" ht="12.8"/>
    <row r="1044514" spans="1:7" customHeight="1" ht="12.8"/>
    <row r="1044515" spans="1:7" customHeight="1" ht="12.8"/>
    <row r="1044516" spans="1:7" customHeight="1" ht="12.8"/>
    <row r="1044517" spans="1:7" customHeight="1" ht="12.8"/>
    <row r="1044518" spans="1:7" customHeight="1" ht="12.8"/>
    <row r="1044519" spans="1:7" customHeight="1" ht="12.8"/>
    <row r="1044520" spans="1:7" customHeight="1" ht="12.8"/>
    <row r="1044521" spans="1:7" customHeight="1" ht="12.8"/>
    <row r="1044522" spans="1:7" customHeight="1" ht="12.8"/>
    <row r="1044523" spans="1:7" customHeight="1" ht="12.8"/>
    <row r="1044524" spans="1:7" customHeight="1" ht="12.8"/>
    <row r="1044525" spans="1:7" customHeight="1" ht="12.8"/>
    <row r="1044526" spans="1:7" customHeight="1" ht="12.8"/>
    <row r="1044527" spans="1:7" customHeight="1" ht="12.8"/>
    <row r="1044528" spans="1:7" customHeight="1" ht="12.8"/>
    <row r="1044529" spans="1:7" customHeight="1" ht="12.8"/>
    <row r="1044530" spans="1:7" customHeight="1" ht="12.8"/>
    <row r="1044531" spans="1:7" customHeight="1" ht="12.8"/>
    <row r="1044532" spans="1:7" customHeight="1" ht="12.8"/>
    <row r="1044533" spans="1:7" customHeight="1" ht="12.8"/>
    <row r="1044534" spans="1:7" customHeight="1" ht="12.8"/>
    <row r="1044535" spans="1:7" customHeight="1" ht="12.8"/>
    <row r="1044536" spans="1:7" customHeight="1" ht="12.8"/>
    <row r="1044537" spans="1:7" customHeight="1" ht="12.8"/>
    <row r="1044538" spans="1:7" customHeight="1" ht="12.8"/>
    <row r="1044539" spans="1:7" customHeight="1" ht="12.8"/>
    <row r="1044540" spans="1:7" customHeight="1" ht="12.8"/>
    <row r="1044541" spans="1:7" customHeight="1" ht="12.8"/>
    <row r="1044542" spans="1:7" customHeight="1" ht="12.8"/>
    <row r="1044543" spans="1:7" customHeight="1" ht="12.8"/>
    <row r="1044544" spans="1:7" customHeight="1" ht="12.8"/>
    <row r="1044545" spans="1:7" customHeight="1" ht="12.8"/>
    <row r="1044546" spans="1:7" customHeight="1" ht="12.8"/>
    <row r="1044547" spans="1:7" customHeight="1" ht="12.8"/>
    <row r="1044548" spans="1:7" customHeight="1" ht="12.8"/>
    <row r="1044549" spans="1:7" customHeight="1" ht="12.8"/>
    <row r="1044550" spans="1:7" customHeight="1" ht="12.8"/>
    <row r="1044551" spans="1:7" customHeight="1" ht="12.8"/>
    <row r="1044552" spans="1:7" customHeight="1" ht="12.8"/>
    <row r="1044553" spans="1:7" customHeight="1" ht="12.8"/>
    <row r="1044554" spans="1:7" customHeight="1" ht="12.8"/>
    <row r="1044555" spans="1:7" customHeight="1" ht="12.8"/>
    <row r="1044556" spans="1:7" customHeight="1" ht="12.8"/>
    <row r="1044557" spans="1:7" customHeight="1" ht="12.8"/>
    <row r="1044558" spans="1:7" customHeight="1" ht="12.8"/>
    <row r="1044559" spans="1:7" customHeight="1" ht="12.8"/>
    <row r="1044560" spans="1:7" customHeight="1" ht="12.8"/>
    <row r="1044561" spans="1:7" customHeight="1" ht="12.8"/>
    <row r="1044562" spans="1:7" customHeight="1" ht="12.8"/>
    <row r="1044563" spans="1:7" customHeight="1" ht="12.8"/>
    <row r="1044564" spans="1:7" customHeight="1" ht="12.8"/>
    <row r="1044565" spans="1:7" customHeight="1" ht="12.8"/>
    <row r="1044566" spans="1:7" customHeight="1" ht="12.8"/>
    <row r="1044567" spans="1:7" customHeight="1" ht="12.8"/>
    <row r="1044568" spans="1:7" customHeight="1" ht="12.8"/>
    <row r="1044569" spans="1:7" customHeight="1" ht="12.8"/>
    <row r="1044570" spans="1:7" customHeight="1" ht="12.8"/>
    <row r="1044571" spans="1:7" customHeight="1" ht="12.8"/>
    <row r="1044572" spans="1:7" customHeight="1" ht="12.8"/>
    <row r="1044573" spans="1:7" customHeight="1" ht="12.8"/>
    <row r="1044574" spans="1:7" customHeight="1" ht="12.8"/>
    <row r="1044575" spans="1:7" customHeight="1" ht="12.8"/>
    <row r="1044576" spans="1:7" customHeight="1" ht="12.8"/>
    <row r="1044577" spans="1:7" customHeight="1" ht="12.8"/>
    <row r="1044578" spans="1:7" customHeight="1" ht="12.8"/>
    <row r="1044579" spans="1:7" customHeight="1" ht="12.8"/>
    <row r="1044580" spans="1:7" customHeight="1" ht="12.8"/>
    <row r="1044581" spans="1:7" customHeight="1" ht="12.8"/>
    <row r="1044582" spans="1:7" customHeight="1" ht="12.8"/>
    <row r="1044583" spans="1:7" customHeight="1" ht="12.8"/>
    <row r="1044584" spans="1:7" customHeight="1" ht="12.8"/>
    <row r="1044585" spans="1:7" customHeight="1" ht="12.8"/>
    <row r="1044586" spans="1:7" customHeight="1" ht="12.8"/>
    <row r="1044587" spans="1:7" customHeight="1" ht="12.8"/>
    <row r="1044588" spans="1:7" customHeight="1" ht="12.8"/>
    <row r="1044589" spans="1:7" customHeight="1" ht="12.8"/>
    <row r="1044590" spans="1:7" customHeight="1" ht="12.8"/>
    <row r="1044591" spans="1:7" customHeight="1" ht="12.8"/>
    <row r="1044592" spans="1:7" customHeight="1" ht="12.8"/>
    <row r="1044593" spans="1:7" customHeight="1" ht="12.8"/>
    <row r="1044594" spans="1:7" customHeight="1" ht="12.8"/>
    <row r="1044595" spans="1:7" customHeight="1" ht="12.8"/>
    <row r="1044596" spans="1:7" customHeight="1" ht="12.8"/>
    <row r="1044597" spans="1:7" customHeight="1" ht="12.8"/>
    <row r="1044598" spans="1:7" customHeight="1" ht="12.8"/>
    <row r="1044599" spans="1:7" customHeight="1" ht="12.8"/>
    <row r="1044600" spans="1:7" customHeight="1" ht="12.8"/>
    <row r="1044601" spans="1:7" customHeight="1" ht="12.8"/>
    <row r="1044602" spans="1:7" customHeight="1" ht="12.8"/>
    <row r="1044603" spans="1:7" customHeight="1" ht="12.8"/>
    <row r="1044604" spans="1:7" customHeight="1" ht="12.8"/>
    <row r="1044605" spans="1:7" customHeight="1" ht="12.8"/>
    <row r="1044606" spans="1:7" customHeight="1" ht="12.8"/>
    <row r="1044607" spans="1:7" customHeight="1" ht="12.8"/>
    <row r="1044608" spans="1:7" customHeight="1" ht="12.8"/>
    <row r="1044609" spans="1:7" customHeight="1" ht="12.8"/>
    <row r="1044610" spans="1:7" customHeight="1" ht="12.8"/>
    <row r="1044611" spans="1:7" customHeight="1" ht="12.8"/>
    <row r="1044612" spans="1:7" customHeight="1" ht="12.8"/>
    <row r="1044613" spans="1:7" customHeight="1" ht="12.8"/>
    <row r="1044614" spans="1:7" customHeight="1" ht="12.8"/>
    <row r="1044615" spans="1:7" customHeight="1" ht="12.8"/>
    <row r="1044616" spans="1:7" customHeight="1" ht="12.8"/>
    <row r="1044617" spans="1:7" customHeight="1" ht="12.8"/>
    <row r="1044618" spans="1:7" customHeight="1" ht="12.8"/>
    <row r="1044619" spans="1:7" customHeight="1" ht="12.8"/>
    <row r="1044620" spans="1:7" customHeight="1" ht="12.8"/>
    <row r="1044621" spans="1:7" customHeight="1" ht="12.8"/>
    <row r="1044622" spans="1:7" customHeight="1" ht="12.8"/>
    <row r="1044623" spans="1:7" customHeight="1" ht="12.8"/>
    <row r="1044624" spans="1:7" customHeight="1" ht="12.8"/>
    <row r="1044625" spans="1:7" customHeight="1" ht="12.8"/>
    <row r="1044626" spans="1:7" customHeight="1" ht="12.8"/>
    <row r="1044627" spans="1:7" customHeight="1" ht="12.8"/>
    <row r="1044628" spans="1:7" customHeight="1" ht="12.8"/>
    <row r="1044629" spans="1:7" customHeight="1" ht="12.8"/>
    <row r="1044630" spans="1:7" customHeight="1" ht="12.8"/>
    <row r="1044631" spans="1:7" customHeight="1" ht="12.8"/>
    <row r="1044632" spans="1:7" customHeight="1" ht="12.8"/>
    <row r="1044633" spans="1:7" customHeight="1" ht="12.8"/>
    <row r="1044634" spans="1:7" customHeight="1" ht="12.8"/>
    <row r="1044635" spans="1:7" customHeight="1" ht="12.8"/>
    <row r="1044636" spans="1:7" customHeight="1" ht="12.8"/>
    <row r="1044637" spans="1:7" customHeight="1" ht="12.8"/>
    <row r="1044638" spans="1:7" customHeight="1" ht="12.8"/>
    <row r="1044639" spans="1:7" customHeight="1" ht="12.8"/>
    <row r="1044640" spans="1:7" customHeight="1" ht="12.8"/>
    <row r="1044641" spans="1:7" customHeight="1" ht="12.8"/>
    <row r="1044642" spans="1:7" customHeight="1" ht="12.8"/>
    <row r="1044643" spans="1:7" customHeight="1" ht="12.8"/>
    <row r="1044644" spans="1:7" customHeight="1" ht="12.8"/>
    <row r="1044645" spans="1:7" customHeight="1" ht="12.8"/>
    <row r="1044646" spans="1:7" customHeight="1" ht="12.8"/>
    <row r="1044647" spans="1:7" customHeight="1" ht="12.8"/>
    <row r="1044648" spans="1:7" customHeight="1" ht="12.8"/>
    <row r="1044649" spans="1:7" customHeight="1" ht="12.8"/>
    <row r="1044650" spans="1:7" customHeight="1" ht="12.8"/>
    <row r="1044651" spans="1:7" customHeight="1" ht="12.8"/>
    <row r="1044652" spans="1:7" customHeight="1" ht="12.8"/>
    <row r="1044653" spans="1:7" customHeight="1" ht="12.8"/>
    <row r="1044654" spans="1:7" customHeight="1" ht="12.8"/>
    <row r="1044655" spans="1:7" customHeight="1" ht="12.8"/>
    <row r="1044656" spans="1:7" customHeight="1" ht="12.8"/>
    <row r="1044657" spans="1:7" customHeight="1" ht="12.8"/>
    <row r="1044658" spans="1:7" customHeight="1" ht="12.8"/>
    <row r="1044659" spans="1:7" customHeight="1" ht="12.8"/>
    <row r="1044660" spans="1:7" customHeight="1" ht="12.8"/>
    <row r="1044661" spans="1:7" customHeight="1" ht="12.8"/>
    <row r="1044662" spans="1:7" customHeight="1" ht="12.8"/>
    <row r="1044663" spans="1:7" customHeight="1" ht="12.8"/>
    <row r="1044664" spans="1:7" customHeight="1" ht="12.8"/>
    <row r="1044665" spans="1:7" customHeight="1" ht="12.8"/>
    <row r="1044666" spans="1:7" customHeight="1" ht="12.8"/>
    <row r="1044667" spans="1:7" customHeight="1" ht="12.8"/>
    <row r="1044668" spans="1:7" customHeight="1" ht="12.8"/>
    <row r="1044669" spans="1:7" customHeight="1" ht="12.8"/>
    <row r="1044670" spans="1:7" customHeight="1" ht="12.8"/>
    <row r="1044671" spans="1:7" customHeight="1" ht="12.8"/>
    <row r="1044672" spans="1:7" customHeight="1" ht="12.8"/>
    <row r="1044673" spans="1:7" customHeight="1" ht="12.8"/>
    <row r="1044674" spans="1:7" customHeight="1" ht="12.8"/>
    <row r="1044675" spans="1:7" customHeight="1" ht="12.8"/>
    <row r="1044676" spans="1:7" customHeight="1" ht="12.8"/>
    <row r="1044677" spans="1:7" customHeight="1" ht="12.8"/>
    <row r="1044678" spans="1:7" customHeight="1" ht="12.8"/>
    <row r="1044679" spans="1:7" customHeight="1" ht="12.8"/>
    <row r="1044680" spans="1:7" customHeight="1" ht="12.8"/>
    <row r="1044681" spans="1:7" customHeight="1" ht="12.8"/>
    <row r="1044682" spans="1:7" customHeight="1" ht="12.8"/>
    <row r="1044683" spans="1:7" customHeight="1" ht="12.8"/>
    <row r="1044684" spans="1:7" customHeight="1" ht="12.8"/>
    <row r="1044685" spans="1:7" customHeight="1" ht="12.8"/>
    <row r="1044686" spans="1:7" customHeight="1" ht="12.8"/>
    <row r="1044687" spans="1:7" customHeight="1" ht="12.8"/>
    <row r="1044688" spans="1:7" customHeight="1" ht="12.8"/>
    <row r="1044689" spans="1:7" customHeight="1" ht="12.8"/>
    <row r="1044690" spans="1:7" customHeight="1" ht="12.8"/>
    <row r="1044691" spans="1:7" customHeight="1" ht="12.8"/>
    <row r="1044692" spans="1:7" customHeight="1" ht="12.8"/>
    <row r="1044693" spans="1:7" customHeight="1" ht="12.8"/>
    <row r="1044694" spans="1:7" customHeight="1" ht="12.8"/>
    <row r="1044695" spans="1:7" customHeight="1" ht="12.8"/>
    <row r="1044696" spans="1:7" customHeight="1" ht="12.8"/>
    <row r="1044697" spans="1:7" customHeight="1" ht="12.8"/>
    <row r="1044698" spans="1:7" customHeight="1" ht="12.8"/>
    <row r="1044699" spans="1:7" customHeight="1" ht="12.8"/>
    <row r="1044700" spans="1:7" customHeight="1" ht="12.8"/>
    <row r="1044701" spans="1:7" customHeight="1" ht="12.8"/>
    <row r="1044702" spans="1:7" customHeight="1" ht="12.8"/>
    <row r="1044703" spans="1:7" customHeight="1" ht="12.8"/>
    <row r="1044704" spans="1:7" customHeight="1" ht="12.8"/>
    <row r="1044705" spans="1:7" customHeight="1" ht="12.8"/>
    <row r="1044706" spans="1:7" customHeight="1" ht="12.8"/>
    <row r="1044707" spans="1:7" customHeight="1" ht="12.8"/>
    <row r="1044708" spans="1:7" customHeight="1" ht="12.8"/>
    <row r="1044709" spans="1:7" customHeight="1" ht="12.8"/>
    <row r="1044710" spans="1:7" customHeight="1" ht="12.8"/>
    <row r="1044711" spans="1:7" customHeight="1" ht="12.8"/>
    <row r="1044712" spans="1:7" customHeight="1" ht="12.8"/>
    <row r="1044713" spans="1:7" customHeight="1" ht="12.8"/>
    <row r="1044714" spans="1:7" customHeight="1" ht="12.8"/>
    <row r="1044715" spans="1:7" customHeight="1" ht="12.8"/>
    <row r="1044716" spans="1:7" customHeight="1" ht="12.8"/>
    <row r="1044717" spans="1:7" customHeight="1" ht="12.8"/>
    <row r="1044718" spans="1:7" customHeight="1" ht="12.8"/>
    <row r="1044719" spans="1:7" customHeight="1" ht="12.8"/>
    <row r="1044720" spans="1:7" customHeight="1" ht="12.8"/>
    <row r="1044721" spans="1:7" customHeight="1" ht="12.8"/>
    <row r="1044722" spans="1:7" customHeight="1" ht="12.8"/>
    <row r="1044723" spans="1:7" customHeight="1" ht="12.8"/>
    <row r="1044724" spans="1:7" customHeight="1" ht="12.8"/>
    <row r="1044725" spans="1:7" customHeight="1" ht="12.8"/>
    <row r="1044726" spans="1:7" customHeight="1" ht="12.8"/>
    <row r="1044727" spans="1:7" customHeight="1" ht="12.8"/>
    <row r="1044728" spans="1:7" customHeight="1" ht="12.8"/>
    <row r="1044729" spans="1:7" customHeight="1" ht="12.8"/>
    <row r="1044730" spans="1:7" customHeight="1" ht="12.8"/>
    <row r="1044731" spans="1:7" customHeight="1" ht="12.8"/>
    <row r="1044732" spans="1:7" customHeight="1" ht="12.8"/>
    <row r="1044733" spans="1:7" customHeight="1" ht="12.8"/>
    <row r="1044734" spans="1:7" customHeight="1" ht="12.8"/>
    <row r="1044735" spans="1:7" customHeight="1" ht="12.8"/>
    <row r="1044736" spans="1:7" customHeight="1" ht="12.8"/>
    <row r="1044737" spans="1:7" customHeight="1" ht="12.8"/>
    <row r="1044738" spans="1:7" customHeight="1" ht="12.8"/>
    <row r="1044739" spans="1:7" customHeight="1" ht="12.8"/>
    <row r="1044740" spans="1:7" customHeight="1" ht="12.8"/>
    <row r="1044741" spans="1:7" customHeight="1" ht="12.8"/>
    <row r="1044742" spans="1:7" customHeight="1" ht="12.8"/>
    <row r="1044743" spans="1:7" customHeight="1" ht="12.8"/>
    <row r="1044744" spans="1:7" customHeight="1" ht="12.8"/>
    <row r="1044745" spans="1:7" customHeight="1" ht="12.8"/>
    <row r="1044746" spans="1:7" customHeight="1" ht="12.8"/>
    <row r="1044747" spans="1:7" customHeight="1" ht="12.8"/>
    <row r="1044748" spans="1:7" customHeight="1" ht="12.8"/>
    <row r="1044749" spans="1:7" customHeight="1" ht="12.8"/>
    <row r="1044750" spans="1:7" customHeight="1" ht="12.8"/>
    <row r="1044751" spans="1:7" customHeight="1" ht="12.8"/>
    <row r="1044752" spans="1:7" customHeight="1" ht="12.8"/>
    <row r="1044753" spans="1:7" customHeight="1" ht="12.8"/>
    <row r="1044754" spans="1:7" customHeight="1" ht="12.8"/>
    <row r="1044755" spans="1:7" customHeight="1" ht="12.8"/>
    <row r="1044756" spans="1:7" customHeight="1" ht="12.8"/>
    <row r="1044757" spans="1:7" customHeight="1" ht="12.8"/>
    <row r="1044758" spans="1:7" customHeight="1" ht="12.8"/>
    <row r="1044759" spans="1:7" customHeight="1" ht="12.8"/>
    <row r="1044760" spans="1:7" customHeight="1" ht="12.8"/>
    <row r="1044761" spans="1:7" customHeight="1" ht="12.8"/>
    <row r="1044762" spans="1:7" customHeight="1" ht="12.8"/>
    <row r="1044763" spans="1:7" customHeight="1" ht="12.8"/>
    <row r="1044764" spans="1:7" customHeight="1" ht="12.8"/>
    <row r="1044765" spans="1:7" customHeight="1" ht="12.8"/>
    <row r="1044766" spans="1:7" customHeight="1" ht="12.8"/>
    <row r="1044767" spans="1:7" customHeight="1" ht="12.8"/>
    <row r="1044768" spans="1:7" customHeight="1" ht="12.8"/>
    <row r="1044769" spans="1:7" customHeight="1" ht="12.8"/>
    <row r="1044770" spans="1:7" customHeight="1" ht="12.8"/>
    <row r="1044771" spans="1:7" customHeight="1" ht="12.8"/>
    <row r="1044772" spans="1:7" customHeight="1" ht="12.8"/>
    <row r="1044773" spans="1:7" customHeight="1" ht="12.8"/>
    <row r="1044774" spans="1:7" customHeight="1" ht="12.8"/>
    <row r="1044775" spans="1:7" customHeight="1" ht="12.8"/>
    <row r="1044776" spans="1:7" customHeight="1" ht="12.8"/>
    <row r="1044777" spans="1:7" customHeight="1" ht="12.8"/>
    <row r="1044778" spans="1:7" customHeight="1" ht="12.8"/>
    <row r="1044779" spans="1:7" customHeight="1" ht="12.8"/>
    <row r="1044780" spans="1:7" customHeight="1" ht="12.8"/>
    <row r="1044781" spans="1:7" customHeight="1" ht="12.8"/>
    <row r="1044782" spans="1:7" customHeight="1" ht="12.8"/>
    <row r="1044783" spans="1:7" customHeight="1" ht="12.8"/>
    <row r="1044784" spans="1:7" customHeight="1" ht="12.8"/>
    <row r="1044785" spans="1:7" customHeight="1" ht="12.8"/>
    <row r="1044786" spans="1:7" customHeight="1" ht="12.8"/>
    <row r="1044787" spans="1:7" customHeight="1" ht="12.8"/>
    <row r="1044788" spans="1:7" customHeight="1" ht="12.8"/>
    <row r="1044789" spans="1:7" customHeight="1" ht="12.8"/>
    <row r="1044790" spans="1:7" customHeight="1" ht="12.8"/>
    <row r="1044791" spans="1:7" customHeight="1" ht="12.8"/>
    <row r="1044792" spans="1:7" customHeight="1" ht="12.8"/>
    <row r="1044793" spans="1:7" customHeight="1" ht="12.8"/>
    <row r="1044794" spans="1:7" customHeight="1" ht="12.8"/>
    <row r="1044795" spans="1:7" customHeight="1" ht="12.8"/>
    <row r="1044796" spans="1:7" customHeight="1" ht="12.8"/>
    <row r="1044797" spans="1:7" customHeight="1" ht="12.8"/>
    <row r="1044798" spans="1:7" customHeight="1" ht="12.8"/>
    <row r="1044799" spans="1:7" customHeight="1" ht="12.8"/>
    <row r="1044800" spans="1:7" customHeight="1" ht="12.8"/>
    <row r="1044801" spans="1:7" customHeight="1" ht="12.8"/>
    <row r="1044802" spans="1:7" customHeight="1" ht="12.8"/>
    <row r="1044803" spans="1:7" customHeight="1" ht="12.8"/>
    <row r="1044804" spans="1:7" customHeight="1" ht="12.8"/>
    <row r="1044805" spans="1:7" customHeight="1" ht="12.8"/>
    <row r="1044806" spans="1:7" customHeight="1" ht="12.8"/>
    <row r="1044807" spans="1:7" customHeight="1" ht="12.8"/>
    <row r="1044808" spans="1:7" customHeight="1" ht="12.8"/>
    <row r="1044809" spans="1:7" customHeight="1" ht="12.8"/>
    <row r="1044810" spans="1:7" customHeight="1" ht="12.8"/>
    <row r="1044811" spans="1:7" customHeight="1" ht="12.8"/>
    <row r="1044812" spans="1:7" customHeight="1" ht="12.8"/>
    <row r="1044813" spans="1:7" customHeight="1" ht="12.8"/>
    <row r="1044814" spans="1:7" customHeight="1" ht="12.8"/>
    <row r="1044815" spans="1:7" customHeight="1" ht="12.8"/>
    <row r="1044816" spans="1:7" customHeight="1" ht="12.8"/>
    <row r="1044817" spans="1:7" customHeight="1" ht="12.8"/>
    <row r="1044818" spans="1:7" customHeight="1" ht="12.8"/>
    <row r="1044819" spans="1:7" customHeight="1" ht="12.8"/>
    <row r="1044820" spans="1:7" customHeight="1" ht="12.8"/>
    <row r="1044821" spans="1:7" customHeight="1" ht="12.8"/>
    <row r="1044822" spans="1:7" customHeight="1" ht="12.8"/>
    <row r="1044823" spans="1:7" customHeight="1" ht="12.8"/>
    <row r="1044824" spans="1:7" customHeight="1" ht="12.8"/>
    <row r="1044825" spans="1:7" customHeight="1" ht="12.8"/>
    <row r="1044826" spans="1:7" customHeight="1" ht="12.8"/>
    <row r="1044827" spans="1:7" customHeight="1" ht="12.8"/>
    <row r="1044828" spans="1:7" customHeight="1" ht="12.8"/>
    <row r="1044829" spans="1:7" customHeight="1" ht="12.8"/>
    <row r="1044830" spans="1:7" customHeight="1" ht="12.8"/>
    <row r="1044831" spans="1:7" customHeight="1" ht="12.8"/>
    <row r="1044832" spans="1:7" customHeight="1" ht="12.8"/>
    <row r="1044833" spans="1:7" customHeight="1" ht="12.8"/>
    <row r="1044834" spans="1:7" customHeight="1" ht="12.8"/>
    <row r="1044835" spans="1:7" customHeight="1" ht="12.8"/>
    <row r="1044836" spans="1:7" customHeight="1" ht="12.8"/>
    <row r="1044837" spans="1:7" customHeight="1" ht="12.8"/>
    <row r="1044838" spans="1:7" customHeight="1" ht="12.8"/>
    <row r="1044839" spans="1:7" customHeight="1" ht="12.8"/>
    <row r="1044840" spans="1:7" customHeight="1" ht="12.8"/>
    <row r="1044841" spans="1:7" customHeight="1" ht="12.8"/>
    <row r="1044842" spans="1:7" customHeight="1" ht="12.8"/>
    <row r="1044843" spans="1:7" customHeight="1" ht="12.8"/>
    <row r="1044844" spans="1:7" customHeight="1" ht="12.8"/>
    <row r="1044845" spans="1:7" customHeight="1" ht="12.8"/>
    <row r="1044846" spans="1:7" customHeight="1" ht="12.8"/>
    <row r="1044847" spans="1:7" customHeight="1" ht="12.8"/>
    <row r="1044848" spans="1:7" customHeight="1" ht="12.8"/>
    <row r="1044849" spans="1:7" customHeight="1" ht="12.8"/>
    <row r="1044850" spans="1:7" customHeight="1" ht="12.8"/>
    <row r="1044851" spans="1:7" customHeight="1" ht="12.8"/>
    <row r="1044852" spans="1:7" customHeight="1" ht="12.8"/>
    <row r="1044853" spans="1:7" customHeight="1" ht="12.8"/>
    <row r="1044854" spans="1:7" customHeight="1" ht="12.8"/>
    <row r="1044855" spans="1:7" customHeight="1" ht="12.8"/>
    <row r="1044856" spans="1:7" customHeight="1" ht="12.8"/>
    <row r="1044857" spans="1:7" customHeight="1" ht="12.8"/>
    <row r="1044858" spans="1:7" customHeight="1" ht="12.8"/>
    <row r="1044859" spans="1:7" customHeight="1" ht="12.8"/>
    <row r="1044860" spans="1:7" customHeight="1" ht="12.8"/>
    <row r="1044861" spans="1:7" customHeight="1" ht="12.8"/>
    <row r="1044862" spans="1:7" customHeight="1" ht="12.8"/>
    <row r="1044863" spans="1:7" customHeight="1" ht="12.8"/>
    <row r="1044864" spans="1:7" customHeight="1" ht="12.8"/>
    <row r="1044865" spans="1:7" customHeight="1" ht="12.8"/>
    <row r="1044866" spans="1:7" customHeight="1" ht="12.8"/>
    <row r="1044867" spans="1:7" customHeight="1" ht="12.8"/>
    <row r="1044868" spans="1:7" customHeight="1" ht="12.8"/>
    <row r="1044869" spans="1:7" customHeight="1" ht="12.8"/>
    <row r="1044870" spans="1:7" customHeight="1" ht="12.8"/>
    <row r="1044871" spans="1:7" customHeight="1" ht="12.8"/>
    <row r="1044872" spans="1:7" customHeight="1" ht="12.8"/>
    <row r="1044873" spans="1:7" customHeight="1" ht="12.8"/>
    <row r="1044874" spans="1:7" customHeight="1" ht="12.8"/>
    <row r="1044875" spans="1:7" customHeight="1" ht="12.8"/>
    <row r="1044876" spans="1:7" customHeight="1" ht="12.8"/>
    <row r="1044877" spans="1:7" customHeight="1" ht="12.8"/>
    <row r="1044878" spans="1:7" customHeight="1" ht="12.8"/>
    <row r="1044879" spans="1:7" customHeight="1" ht="12.8"/>
    <row r="1044880" spans="1:7" customHeight="1" ht="12.8"/>
    <row r="1044881" spans="1:7" customHeight="1" ht="12.8"/>
    <row r="1044882" spans="1:7" customHeight="1" ht="12.8"/>
    <row r="1044883" spans="1:7" customHeight="1" ht="12.8"/>
    <row r="1044884" spans="1:7" customHeight="1" ht="12.8"/>
    <row r="1044885" spans="1:7" customHeight="1" ht="12.8"/>
    <row r="1044886" spans="1:7" customHeight="1" ht="12.8"/>
    <row r="1044887" spans="1:7" customHeight="1" ht="12.8"/>
    <row r="1044888" spans="1:7" customHeight="1" ht="12.8"/>
    <row r="1044889" spans="1:7" customHeight="1" ht="12.8"/>
    <row r="1044890" spans="1:7" customHeight="1" ht="12.8"/>
    <row r="1044891" spans="1:7" customHeight="1" ht="12.8"/>
    <row r="1044892" spans="1:7" customHeight="1" ht="12.8"/>
    <row r="1044893" spans="1:7" customHeight="1" ht="12.8"/>
    <row r="1044894" spans="1:7" customHeight="1" ht="12.8"/>
    <row r="1044895" spans="1:7" customHeight="1" ht="12.8"/>
    <row r="1044896" spans="1:7" customHeight="1" ht="12.8"/>
    <row r="1044897" spans="1:7" customHeight="1" ht="12.8"/>
    <row r="1044898" spans="1:7" customHeight="1" ht="12.8"/>
    <row r="1044899" spans="1:7" customHeight="1" ht="12.8"/>
    <row r="1044900" spans="1:7" customHeight="1" ht="12.8"/>
    <row r="1044901" spans="1:7" customHeight="1" ht="12.8"/>
    <row r="1044902" spans="1:7" customHeight="1" ht="12.8"/>
    <row r="1044903" spans="1:7" customHeight="1" ht="12.8"/>
    <row r="1044904" spans="1:7" customHeight="1" ht="12.8"/>
    <row r="1044905" spans="1:7" customHeight="1" ht="12.8"/>
    <row r="1044906" spans="1:7" customHeight="1" ht="12.8"/>
    <row r="1044907" spans="1:7" customHeight="1" ht="12.8"/>
    <row r="1044908" spans="1:7" customHeight="1" ht="12.8"/>
    <row r="1044909" spans="1:7" customHeight="1" ht="12.8"/>
    <row r="1044910" spans="1:7" customHeight="1" ht="12.8"/>
    <row r="1044911" spans="1:7" customHeight="1" ht="12.8"/>
    <row r="1044912" spans="1:7" customHeight="1" ht="12.8"/>
    <row r="1044913" spans="1:7" customHeight="1" ht="12.8"/>
    <row r="1044914" spans="1:7" customHeight="1" ht="12.8"/>
    <row r="1044915" spans="1:7" customHeight="1" ht="12.8"/>
    <row r="1044916" spans="1:7" customHeight="1" ht="12.8"/>
    <row r="1044917" spans="1:7" customHeight="1" ht="12.8"/>
    <row r="1044918" spans="1:7" customHeight="1" ht="12.8"/>
    <row r="1044919" spans="1:7" customHeight="1" ht="12.8"/>
    <row r="1044920" spans="1:7" customHeight="1" ht="12.8"/>
    <row r="1044921" spans="1:7" customHeight="1" ht="12.8"/>
    <row r="1044922" spans="1:7" customHeight="1" ht="12.8"/>
    <row r="1044923" spans="1:7" customHeight="1" ht="12.8"/>
    <row r="1044924" spans="1:7" customHeight="1" ht="12.8"/>
    <row r="1044925" spans="1:7" customHeight="1" ht="12.8"/>
    <row r="1044926" spans="1:7" customHeight="1" ht="12.8"/>
    <row r="1044927" spans="1:7" customHeight="1" ht="12.8"/>
    <row r="1044928" spans="1:7" customHeight="1" ht="12.8"/>
    <row r="1044929" spans="1:7" customHeight="1" ht="12.8"/>
    <row r="1044930" spans="1:7" customHeight="1" ht="12.8"/>
    <row r="1044931" spans="1:7" customHeight="1" ht="12.8"/>
    <row r="1044932" spans="1:7" customHeight="1" ht="12.8"/>
    <row r="1044933" spans="1:7" customHeight="1" ht="12.8"/>
    <row r="1044934" spans="1:7" customHeight="1" ht="12.8"/>
    <row r="1044935" spans="1:7" customHeight="1" ht="12.8"/>
    <row r="1044936" spans="1:7" customHeight="1" ht="12.8"/>
    <row r="1044937" spans="1:7" customHeight="1" ht="12.8"/>
    <row r="1044938" spans="1:7" customHeight="1" ht="12.8"/>
    <row r="1044939" spans="1:7" customHeight="1" ht="12.8"/>
    <row r="1044940" spans="1:7" customHeight="1" ht="12.8"/>
    <row r="1044941" spans="1:7" customHeight="1" ht="12.8"/>
    <row r="1044942" spans="1:7" customHeight="1" ht="12.8"/>
    <row r="1044943" spans="1:7" customHeight="1" ht="12.8"/>
    <row r="1044944" spans="1:7" customHeight="1" ht="12.8"/>
    <row r="1044945" spans="1:7" customHeight="1" ht="12.8"/>
    <row r="1044946" spans="1:7" customHeight="1" ht="12.8"/>
    <row r="1044947" spans="1:7" customHeight="1" ht="12.8"/>
    <row r="1044948" spans="1:7" customHeight="1" ht="12.8"/>
    <row r="1044949" spans="1:7" customHeight="1" ht="12.8"/>
    <row r="1044950" spans="1:7" customHeight="1" ht="12.8"/>
    <row r="1044951" spans="1:7" customHeight="1" ht="12.8"/>
    <row r="1044952" spans="1:7" customHeight="1" ht="12.8"/>
    <row r="1044953" spans="1:7" customHeight="1" ht="12.8"/>
    <row r="1044954" spans="1:7" customHeight="1" ht="12.8"/>
    <row r="1044955" spans="1:7" customHeight="1" ht="12.8"/>
    <row r="1044956" spans="1:7" customHeight="1" ht="12.8"/>
    <row r="1044957" spans="1:7" customHeight="1" ht="12.8"/>
    <row r="1044958" spans="1:7" customHeight="1" ht="12.8"/>
    <row r="1044959" spans="1:7" customHeight="1" ht="12.8"/>
    <row r="1044960" spans="1:7" customHeight="1" ht="12.8"/>
    <row r="1044961" spans="1:7" customHeight="1" ht="12.8"/>
    <row r="1044962" spans="1:7" customHeight="1" ht="12.8"/>
    <row r="1044963" spans="1:7" customHeight="1" ht="12.8"/>
    <row r="1044964" spans="1:7" customHeight="1" ht="12.8"/>
    <row r="1044965" spans="1:7" customHeight="1" ht="12.8"/>
    <row r="1044966" spans="1:7" customHeight="1" ht="12.8"/>
    <row r="1044967" spans="1:7" customHeight="1" ht="12.8"/>
    <row r="1044968" spans="1:7" customHeight="1" ht="12.8"/>
    <row r="1044969" spans="1:7" customHeight="1" ht="12.8"/>
    <row r="1044970" spans="1:7" customHeight="1" ht="12.8"/>
    <row r="1044971" spans="1:7" customHeight="1" ht="12.8"/>
    <row r="1044972" spans="1:7" customHeight="1" ht="12.8"/>
    <row r="1044973" spans="1:7" customHeight="1" ht="12.8"/>
    <row r="1044974" spans="1:7" customHeight="1" ht="12.8"/>
    <row r="1044975" spans="1:7" customHeight="1" ht="12.8"/>
    <row r="1044976" spans="1:7" customHeight="1" ht="12.8"/>
    <row r="1044977" spans="1:7" customHeight="1" ht="12.8"/>
    <row r="1044978" spans="1:7" customHeight="1" ht="12.8"/>
    <row r="1044979" spans="1:7" customHeight="1" ht="12.8"/>
    <row r="1044980" spans="1:7" customHeight="1" ht="12.8"/>
    <row r="1044981" spans="1:7" customHeight="1" ht="12.8"/>
    <row r="1044982" spans="1:7" customHeight="1" ht="12.8"/>
    <row r="1044983" spans="1:7" customHeight="1" ht="12.8"/>
    <row r="1044984" spans="1:7" customHeight="1" ht="12.8"/>
    <row r="1044985" spans="1:7" customHeight="1" ht="12.8"/>
    <row r="1044986" spans="1:7" customHeight="1" ht="12.8"/>
    <row r="1044987" spans="1:7" customHeight="1" ht="12.8"/>
    <row r="1044988" spans="1:7" customHeight="1" ht="12.8"/>
    <row r="1044989" spans="1:7" customHeight="1" ht="12.8"/>
    <row r="1044990" spans="1:7" customHeight="1" ht="12.8"/>
    <row r="1044991" spans="1:7" customHeight="1" ht="12.8"/>
    <row r="1044992" spans="1:7" customHeight="1" ht="12.8"/>
    <row r="1044993" spans="1:7" customHeight="1" ht="12.8"/>
    <row r="1044994" spans="1:7" customHeight="1" ht="12.8"/>
    <row r="1044995" spans="1:7" customHeight="1" ht="12.8"/>
    <row r="1044996" spans="1:7" customHeight="1" ht="12.8"/>
    <row r="1044997" spans="1:7" customHeight="1" ht="12.8"/>
    <row r="1044998" spans="1:7" customHeight="1" ht="12.8"/>
    <row r="1044999" spans="1:7" customHeight="1" ht="12.8"/>
    <row r="1045000" spans="1:7" customHeight="1" ht="12.8"/>
    <row r="1045001" spans="1:7" customHeight="1" ht="12.8"/>
    <row r="1045002" spans="1:7" customHeight="1" ht="12.8"/>
    <row r="1045003" spans="1:7" customHeight="1" ht="12.8"/>
    <row r="1045004" spans="1:7" customHeight="1" ht="12.8"/>
    <row r="1045005" spans="1:7" customHeight="1" ht="12.8"/>
    <row r="1045006" spans="1:7" customHeight="1" ht="12.8"/>
    <row r="1045007" spans="1:7" customHeight="1" ht="12.8"/>
    <row r="1045008" spans="1:7" customHeight="1" ht="12.8"/>
    <row r="1045009" spans="1:7" customHeight="1" ht="12.8"/>
    <row r="1045010" spans="1:7" customHeight="1" ht="12.8"/>
    <row r="1045011" spans="1:7" customHeight="1" ht="12.8"/>
    <row r="1045012" spans="1:7" customHeight="1" ht="12.8"/>
    <row r="1045013" spans="1:7" customHeight="1" ht="12.8"/>
    <row r="1045014" spans="1:7" customHeight="1" ht="12.8"/>
    <row r="1045015" spans="1:7" customHeight="1" ht="12.8"/>
    <row r="1045016" spans="1:7" customHeight="1" ht="12.8"/>
    <row r="1045017" spans="1:7" customHeight="1" ht="12.8"/>
    <row r="1045018" spans="1:7" customHeight="1" ht="12.8"/>
    <row r="1045019" spans="1:7" customHeight="1" ht="12.8"/>
    <row r="1045020" spans="1:7" customHeight="1" ht="12.8"/>
    <row r="1045021" spans="1:7" customHeight="1" ht="12.8"/>
    <row r="1045022" spans="1:7" customHeight="1" ht="12.8"/>
    <row r="1045023" spans="1:7" customHeight="1" ht="12.8"/>
    <row r="1045024" spans="1:7" customHeight="1" ht="12.8"/>
    <row r="1045025" spans="1:7" customHeight="1" ht="12.8"/>
    <row r="1045026" spans="1:7" customHeight="1" ht="12.8"/>
    <row r="1045027" spans="1:7" customHeight="1" ht="12.8"/>
    <row r="1045028" spans="1:7" customHeight="1" ht="12.8"/>
    <row r="1045029" spans="1:7" customHeight="1" ht="12.8"/>
    <row r="1045030" spans="1:7" customHeight="1" ht="12.8"/>
    <row r="1045031" spans="1:7" customHeight="1" ht="12.8"/>
    <row r="1045032" spans="1:7" customHeight="1" ht="12.8"/>
    <row r="1045033" spans="1:7" customHeight="1" ht="12.8"/>
    <row r="1045034" spans="1:7" customHeight="1" ht="12.8"/>
    <row r="1045035" spans="1:7" customHeight="1" ht="12.8"/>
    <row r="1045036" spans="1:7" customHeight="1" ht="12.8"/>
    <row r="1045037" spans="1:7" customHeight="1" ht="12.8"/>
    <row r="1045038" spans="1:7" customHeight="1" ht="12.8"/>
    <row r="1045039" spans="1:7" customHeight="1" ht="12.8"/>
    <row r="1045040" spans="1:7" customHeight="1" ht="12.8"/>
    <row r="1045041" spans="1:7" customHeight="1" ht="12.8"/>
    <row r="1045042" spans="1:7" customHeight="1" ht="12.8"/>
    <row r="1045043" spans="1:7" customHeight="1" ht="12.8"/>
    <row r="1045044" spans="1:7" customHeight="1" ht="12.8"/>
    <row r="1045045" spans="1:7" customHeight="1" ht="12.8"/>
    <row r="1045046" spans="1:7" customHeight="1" ht="12.8"/>
    <row r="1045047" spans="1:7" customHeight="1" ht="12.8"/>
    <row r="1045048" spans="1:7" customHeight="1" ht="12.8"/>
    <row r="1045049" spans="1:7" customHeight="1" ht="12.8"/>
    <row r="1045050" spans="1:7" customHeight="1" ht="12.8"/>
    <row r="1045051" spans="1:7" customHeight="1" ht="12.8"/>
    <row r="1045052" spans="1:7" customHeight="1" ht="12.8"/>
    <row r="1045053" spans="1:7" customHeight="1" ht="12.8"/>
    <row r="1045054" spans="1:7" customHeight="1" ht="12.8"/>
    <row r="1045055" spans="1:7" customHeight="1" ht="12.8"/>
    <row r="1045056" spans="1:7" customHeight="1" ht="12.8"/>
    <row r="1045057" spans="1:7" customHeight="1" ht="12.8"/>
    <row r="1045058" spans="1:7" customHeight="1" ht="12.8"/>
    <row r="1045059" spans="1:7" customHeight="1" ht="12.8"/>
    <row r="1045060" spans="1:7" customHeight="1" ht="12.8"/>
    <row r="1045061" spans="1:7" customHeight="1" ht="12.8"/>
    <row r="1045062" spans="1:7" customHeight="1" ht="12.8"/>
    <row r="1045063" spans="1:7" customHeight="1" ht="12.8"/>
    <row r="1045064" spans="1:7" customHeight="1" ht="12.8"/>
    <row r="1045065" spans="1:7" customHeight="1" ht="12.8"/>
    <row r="1045066" spans="1:7" customHeight="1" ht="12.8"/>
    <row r="1045067" spans="1:7" customHeight="1" ht="12.8"/>
    <row r="1045068" spans="1:7" customHeight="1" ht="12.8"/>
    <row r="1045069" spans="1:7" customHeight="1" ht="12.8"/>
    <row r="1045070" spans="1:7" customHeight="1" ht="12.8"/>
    <row r="1045071" spans="1:7" customHeight="1" ht="12.8"/>
    <row r="1045072" spans="1:7" customHeight="1" ht="12.8"/>
    <row r="1045073" spans="1:7" customHeight="1" ht="12.8"/>
    <row r="1045074" spans="1:7" customHeight="1" ht="12.8"/>
    <row r="1045075" spans="1:7" customHeight="1" ht="12.8"/>
    <row r="1045076" spans="1:7" customHeight="1" ht="12.8"/>
    <row r="1045077" spans="1:7" customHeight="1" ht="12.8"/>
    <row r="1045078" spans="1:7" customHeight="1" ht="12.8"/>
    <row r="1045079" spans="1:7" customHeight="1" ht="12.8"/>
    <row r="1045080" spans="1:7" customHeight="1" ht="12.8"/>
    <row r="1045081" spans="1:7" customHeight="1" ht="12.8"/>
    <row r="1045082" spans="1:7" customHeight="1" ht="12.8"/>
    <row r="1045083" spans="1:7" customHeight="1" ht="12.8"/>
    <row r="1045084" spans="1:7" customHeight="1" ht="12.8"/>
    <row r="1045085" spans="1:7" customHeight="1" ht="12.8"/>
    <row r="1045086" spans="1:7" customHeight="1" ht="12.8"/>
    <row r="1045087" spans="1:7" customHeight="1" ht="12.8"/>
    <row r="1045088" spans="1:7" customHeight="1" ht="12.8"/>
    <row r="1045089" spans="1:7" customHeight="1" ht="12.8"/>
    <row r="1045090" spans="1:7" customHeight="1" ht="12.8"/>
    <row r="1045091" spans="1:7" customHeight="1" ht="12.8"/>
    <row r="1045092" spans="1:7" customHeight="1" ht="12.8"/>
    <row r="1045093" spans="1:7" customHeight="1" ht="12.8"/>
    <row r="1045094" spans="1:7" customHeight="1" ht="12.8"/>
    <row r="1045095" spans="1:7" customHeight="1" ht="12.8"/>
    <row r="1045096" spans="1:7" customHeight="1" ht="12.8"/>
    <row r="1045097" spans="1:7" customHeight="1" ht="12.8"/>
    <row r="1045098" spans="1:7" customHeight="1" ht="12.8"/>
    <row r="1045099" spans="1:7" customHeight="1" ht="12.8"/>
    <row r="1045100" spans="1:7" customHeight="1" ht="12.8"/>
    <row r="1045101" spans="1:7" customHeight="1" ht="12.8"/>
    <row r="1045102" spans="1:7" customHeight="1" ht="12.8"/>
    <row r="1045103" spans="1:7" customHeight="1" ht="12.8"/>
    <row r="1045104" spans="1:7" customHeight="1" ht="12.8"/>
    <row r="1045105" spans="1:7" customHeight="1" ht="12.8"/>
    <row r="1045106" spans="1:7" customHeight="1" ht="12.8"/>
    <row r="1045107" spans="1:7" customHeight="1" ht="12.8"/>
    <row r="1045108" spans="1:7" customHeight="1" ht="12.8"/>
    <row r="1045109" spans="1:7" customHeight="1" ht="12.8"/>
    <row r="1045110" spans="1:7" customHeight="1" ht="12.8"/>
    <row r="1045111" spans="1:7" customHeight="1" ht="12.8"/>
    <row r="1045112" spans="1:7" customHeight="1" ht="12.8"/>
    <row r="1045113" spans="1:7" customHeight="1" ht="12.8"/>
    <row r="1045114" spans="1:7" customHeight="1" ht="12.8"/>
    <row r="1045115" spans="1:7" customHeight="1" ht="12.8"/>
    <row r="1045116" spans="1:7" customHeight="1" ht="12.8"/>
    <row r="1045117" spans="1:7" customHeight="1" ht="12.8"/>
    <row r="1045118" spans="1:7" customHeight="1" ht="12.8"/>
    <row r="1045119" spans="1:7" customHeight="1" ht="12.8"/>
    <row r="1045120" spans="1:7" customHeight="1" ht="12.8"/>
    <row r="1045121" spans="1:7" customHeight="1" ht="12.8"/>
    <row r="1045122" spans="1:7" customHeight="1" ht="12.8"/>
    <row r="1045123" spans="1:7" customHeight="1" ht="12.8"/>
    <row r="1045124" spans="1:7" customHeight="1" ht="12.8"/>
    <row r="1045125" spans="1:7" customHeight="1" ht="12.8"/>
    <row r="1045126" spans="1:7" customHeight="1" ht="12.8"/>
    <row r="1045127" spans="1:7" customHeight="1" ht="12.8"/>
    <row r="1045128" spans="1:7" customHeight="1" ht="12.8"/>
    <row r="1045129" spans="1:7" customHeight="1" ht="12.8"/>
    <row r="1045130" spans="1:7" customHeight="1" ht="12.8"/>
    <row r="1045131" spans="1:7" customHeight="1" ht="12.8"/>
    <row r="1045132" spans="1:7" customHeight="1" ht="12.8"/>
    <row r="1045133" spans="1:7" customHeight="1" ht="12.8"/>
    <row r="1045134" spans="1:7" customHeight="1" ht="12.8"/>
    <row r="1045135" spans="1:7" customHeight="1" ht="12.8"/>
    <row r="1045136" spans="1:7" customHeight="1" ht="12.8"/>
    <row r="1045137" spans="1:7" customHeight="1" ht="12.8"/>
    <row r="1045138" spans="1:7" customHeight="1" ht="12.8"/>
    <row r="1045139" spans="1:7" customHeight="1" ht="12.8"/>
    <row r="1045140" spans="1:7" customHeight="1" ht="12.8"/>
    <row r="1045141" spans="1:7" customHeight="1" ht="12.8"/>
    <row r="1045142" spans="1:7" customHeight="1" ht="12.8"/>
    <row r="1045143" spans="1:7" customHeight="1" ht="12.8"/>
    <row r="1045144" spans="1:7" customHeight="1" ht="12.8"/>
    <row r="1045145" spans="1:7" customHeight="1" ht="12.8"/>
    <row r="1045146" spans="1:7" customHeight="1" ht="12.8"/>
    <row r="1045147" spans="1:7" customHeight="1" ht="12.8"/>
    <row r="1045148" spans="1:7" customHeight="1" ht="12.8"/>
    <row r="1045149" spans="1:7" customHeight="1" ht="12.8"/>
    <row r="1045150" spans="1:7" customHeight="1" ht="12.8"/>
    <row r="1045151" spans="1:7" customHeight="1" ht="12.8"/>
    <row r="1045152" spans="1:7" customHeight="1" ht="12.8"/>
    <row r="1045153" spans="1:7" customHeight="1" ht="12.8"/>
    <row r="1045154" spans="1:7" customHeight="1" ht="12.8"/>
    <row r="1045155" spans="1:7" customHeight="1" ht="12.8"/>
    <row r="1045156" spans="1:7" customHeight="1" ht="12.8"/>
    <row r="1045157" spans="1:7" customHeight="1" ht="12.8"/>
    <row r="1045158" spans="1:7" customHeight="1" ht="12.8"/>
    <row r="1045159" spans="1:7" customHeight="1" ht="12.8"/>
    <row r="1045160" spans="1:7" customHeight="1" ht="12.8"/>
    <row r="1045161" spans="1:7" customHeight="1" ht="12.8"/>
    <row r="1045162" spans="1:7" customHeight="1" ht="12.8"/>
    <row r="1045163" spans="1:7" customHeight="1" ht="12.8"/>
    <row r="1045164" spans="1:7" customHeight="1" ht="12.8"/>
    <row r="1045165" spans="1:7" customHeight="1" ht="12.8"/>
    <row r="1045166" spans="1:7" customHeight="1" ht="12.8"/>
    <row r="1045167" spans="1:7" customHeight="1" ht="12.8"/>
    <row r="1045168" spans="1:7" customHeight="1" ht="12.8"/>
    <row r="1045169" spans="1:7" customHeight="1" ht="12.8"/>
    <row r="1045170" spans="1:7" customHeight="1" ht="12.8"/>
    <row r="1045171" spans="1:7" customHeight="1" ht="12.8"/>
    <row r="1045172" spans="1:7" customHeight="1" ht="12.8"/>
    <row r="1045173" spans="1:7" customHeight="1" ht="12.8"/>
    <row r="1045174" spans="1:7" customHeight="1" ht="12.8"/>
    <row r="1045175" spans="1:7" customHeight="1" ht="12.8"/>
    <row r="1045176" spans="1:7" customHeight="1" ht="12.8"/>
    <row r="1045177" spans="1:7" customHeight="1" ht="12.8"/>
    <row r="1045178" spans="1:7" customHeight="1" ht="12.8"/>
    <row r="1045179" spans="1:7" customHeight="1" ht="12.8"/>
    <row r="1045180" spans="1:7" customHeight="1" ht="12.8"/>
    <row r="1045181" spans="1:7" customHeight="1" ht="12.8"/>
    <row r="1045182" spans="1:7" customHeight="1" ht="12.8"/>
    <row r="1045183" spans="1:7" customHeight="1" ht="12.8"/>
    <row r="1045184" spans="1:7" customHeight="1" ht="12.8"/>
    <row r="1045185" spans="1:7" customHeight="1" ht="12.8"/>
    <row r="1045186" spans="1:7" customHeight="1" ht="12.8"/>
    <row r="1045187" spans="1:7" customHeight="1" ht="12.8"/>
    <row r="1045188" spans="1:7" customHeight="1" ht="12.8"/>
    <row r="1045189" spans="1:7" customHeight="1" ht="12.8"/>
    <row r="1045190" spans="1:7" customHeight="1" ht="12.8"/>
    <row r="1045191" spans="1:7" customHeight="1" ht="12.8"/>
    <row r="1045192" spans="1:7" customHeight="1" ht="12.8"/>
    <row r="1045193" spans="1:7" customHeight="1" ht="12.8"/>
    <row r="1045194" spans="1:7" customHeight="1" ht="12.8"/>
    <row r="1045195" spans="1:7" customHeight="1" ht="12.8"/>
    <row r="1045196" spans="1:7" customHeight="1" ht="12.8"/>
    <row r="1045197" spans="1:7" customHeight="1" ht="12.8"/>
    <row r="1045198" spans="1:7" customHeight="1" ht="12.8"/>
    <row r="1045199" spans="1:7" customHeight="1" ht="12.8"/>
    <row r="1045200" spans="1:7" customHeight="1" ht="12.8"/>
    <row r="1045201" spans="1:7" customHeight="1" ht="12.8"/>
    <row r="1045202" spans="1:7" customHeight="1" ht="12.8"/>
    <row r="1045203" spans="1:7" customHeight="1" ht="12.8"/>
    <row r="1045204" spans="1:7" customHeight="1" ht="12.8"/>
    <row r="1045205" spans="1:7" customHeight="1" ht="12.8"/>
    <row r="1045206" spans="1:7" customHeight="1" ht="12.8"/>
    <row r="1045207" spans="1:7" customHeight="1" ht="12.8"/>
    <row r="1045208" spans="1:7" customHeight="1" ht="12.8"/>
    <row r="1045209" spans="1:7" customHeight="1" ht="12.8"/>
    <row r="1045210" spans="1:7" customHeight="1" ht="12.8"/>
    <row r="1045211" spans="1:7" customHeight="1" ht="12.8"/>
    <row r="1045212" spans="1:7" customHeight="1" ht="12.8"/>
    <row r="1045213" spans="1:7" customHeight="1" ht="12.8"/>
    <row r="1045214" spans="1:7" customHeight="1" ht="12.8"/>
    <row r="1045215" spans="1:7" customHeight="1" ht="12.8"/>
    <row r="1045216" spans="1:7" customHeight="1" ht="12.8"/>
    <row r="1045217" spans="1:7" customHeight="1" ht="12.8"/>
    <row r="1045218" spans="1:7" customHeight="1" ht="12.8"/>
    <row r="1045219" spans="1:7" customHeight="1" ht="12.8"/>
    <row r="1045220" spans="1:7" customHeight="1" ht="12.8"/>
    <row r="1045221" spans="1:7" customHeight="1" ht="12.8"/>
    <row r="1045222" spans="1:7" customHeight="1" ht="12.8"/>
    <row r="1045223" spans="1:7" customHeight="1" ht="12.8"/>
    <row r="1045224" spans="1:7" customHeight="1" ht="12.8"/>
    <row r="1045225" spans="1:7" customHeight="1" ht="12.8"/>
    <row r="1045226" spans="1:7" customHeight="1" ht="12.8"/>
    <row r="1045227" spans="1:7" customHeight="1" ht="12.8"/>
    <row r="1045228" spans="1:7" customHeight="1" ht="12.8"/>
    <row r="1045229" spans="1:7" customHeight="1" ht="12.8"/>
    <row r="1045230" spans="1:7" customHeight="1" ht="12.8"/>
    <row r="1045231" spans="1:7" customHeight="1" ht="12.8"/>
    <row r="1045232" spans="1:7" customHeight="1" ht="12.8"/>
    <row r="1045233" spans="1:7" customHeight="1" ht="12.8"/>
    <row r="1045234" spans="1:7" customHeight="1" ht="12.8"/>
    <row r="1045235" spans="1:7" customHeight="1" ht="12.8"/>
    <row r="1045236" spans="1:7" customHeight="1" ht="12.8"/>
    <row r="1045237" spans="1:7" customHeight="1" ht="12.8"/>
    <row r="1045238" spans="1:7" customHeight="1" ht="12.8"/>
    <row r="1045239" spans="1:7" customHeight="1" ht="12.8"/>
    <row r="1045240" spans="1:7" customHeight="1" ht="12.8"/>
    <row r="1045241" spans="1:7" customHeight="1" ht="12.8"/>
    <row r="1045242" spans="1:7" customHeight="1" ht="12.8"/>
    <row r="1045243" spans="1:7" customHeight="1" ht="12.8"/>
    <row r="1045244" spans="1:7" customHeight="1" ht="12.8"/>
    <row r="1045245" spans="1:7" customHeight="1" ht="12.8"/>
    <row r="1045246" spans="1:7" customHeight="1" ht="12.8"/>
    <row r="1045247" spans="1:7" customHeight="1" ht="12.8"/>
    <row r="1045248" spans="1:7" customHeight="1" ht="12.8"/>
    <row r="1045249" spans="1:7" customHeight="1" ht="12.8"/>
    <row r="1045250" spans="1:7" customHeight="1" ht="12.8"/>
    <row r="1045251" spans="1:7" customHeight="1" ht="12.8"/>
    <row r="1045252" spans="1:7" customHeight="1" ht="12.8"/>
    <row r="1045253" spans="1:7" customHeight="1" ht="12.8"/>
    <row r="1045254" spans="1:7" customHeight="1" ht="12.8"/>
    <row r="1045255" spans="1:7" customHeight="1" ht="12.8"/>
    <row r="1045256" spans="1:7" customHeight="1" ht="12.8"/>
    <row r="1045257" spans="1:7" customHeight="1" ht="12.8"/>
    <row r="1045258" spans="1:7" customHeight="1" ht="12.8"/>
    <row r="1045259" spans="1:7" customHeight="1" ht="12.8"/>
    <row r="1045260" spans="1:7" customHeight="1" ht="12.8"/>
    <row r="1045261" spans="1:7" customHeight="1" ht="12.8"/>
    <row r="1045262" spans="1:7" customHeight="1" ht="12.8"/>
    <row r="1045263" spans="1:7" customHeight="1" ht="12.8"/>
    <row r="1045264" spans="1:7" customHeight="1" ht="12.8"/>
    <row r="1045265" spans="1:7" customHeight="1" ht="12.8"/>
    <row r="1045266" spans="1:7" customHeight="1" ht="12.8"/>
    <row r="1045267" spans="1:7" customHeight="1" ht="12.8"/>
    <row r="1045268" spans="1:7" customHeight="1" ht="12.8"/>
    <row r="1045269" spans="1:7" customHeight="1" ht="12.8"/>
    <row r="1045270" spans="1:7" customHeight="1" ht="12.8"/>
    <row r="1045271" spans="1:7" customHeight="1" ht="12.8"/>
    <row r="1045272" spans="1:7" customHeight="1" ht="12.8"/>
    <row r="1045273" spans="1:7" customHeight="1" ht="12.8"/>
    <row r="1045274" spans="1:7" customHeight="1" ht="12.8"/>
    <row r="1045275" spans="1:7" customHeight="1" ht="12.8"/>
    <row r="1045276" spans="1:7" customHeight="1" ht="12.8"/>
    <row r="1045277" spans="1:7" customHeight="1" ht="12.8"/>
    <row r="1045278" spans="1:7" customHeight="1" ht="12.8"/>
    <row r="1045279" spans="1:7" customHeight="1" ht="12.8"/>
    <row r="1045280" spans="1:7" customHeight="1" ht="12.8"/>
    <row r="1045281" spans="1:7" customHeight="1" ht="12.8"/>
    <row r="1045282" spans="1:7" customHeight="1" ht="12.8"/>
    <row r="1045283" spans="1:7" customHeight="1" ht="12.8"/>
    <row r="1045284" spans="1:7" customHeight="1" ht="12.8"/>
    <row r="1045285" spans="1:7" customHeight="1" ht="12.8"/>
    <row r="1045286" spans="1:7" customHeight="1" ht="12.8"/>
    <row r="1045287" spans="1:7" customHeight="1" ht="12.8"/>
    <row r="1045288" spans="1:7" customHeight="1" ht="12.8"/>
    <row r="1045289" spans="1:7" customHeight="1" ht="12.8"/>
    <row r="1045290" spans="1:7" customHeight="1" ht="12.8"/>
    <row r="1045291" spans="1:7" customHeight="1" ht="12.8"/>
    <row r="1045292" spans="1:7" customHeight="1" ht="12.8"/>
    <row r="1045293" spans="1:7" customHeight="1" ht="12.8"/>
    <row r="1045294" spans="1:7" customHeight="1" ht="12.8"/>
    <row r="1045295" spans="1:7" customHeight="1" ht="12.8"/>
    <row r="1045296" spans="1:7" customHeight="1" ht="12.8"/>
    <row r="1045297" spans="1:7" customHeight="1" ht="12.8"/>
    <row r="1045298" spans="1:7" customHeight="1" ht="12.8"/>
    <row r="1045299" spans="1:7" customHeight="1" ht="12.8"/>
    <row r="1045300" spans="1:7" customHeight="1" ht="12.8"/>
    <row r="1045301" spans="1:7" customHeight="1" ht="12.8"/>
    <row r="1045302" spans="1:7" customHeight="1" ht="12.8"/>
    <row r="1045303" spans="1:7" customHeight="1" ht="12.8"/>
    <row r="1045304" spans="1:7" customHeight="1" ht="12.8"/>
    <row r="1045305" spans="1:7" customHeight="1" ht="12.8"/>
    <row r="1045306" spans="1:7" customHeight="1" ht="12.8"/>
    <row r="1045307" spans="1:7" customHeight="1" ht="12.8"/>
    <row r="1045308" spans="1:7" customHeight="1" ht="12.8"/>
    <row r="1045309" spans="1:7" customHeight="1" ht="12.8"/>
    <row r="1045310" spans="1:7" customHeight="1" ht="12.8"/>
    <row r="1045311" spans="1:7" customHeight="1" ht="12.8"/>
    <row r="1045312" spans="1:7" customHeight="1" ht="12.8"/>
    <row r="1045313" spans="1:7" customHeight="1" ht="12.8"/>
    <row r="1045314" spans="1:7" customHeight="1" ht="12.8"/>
    <row r="1045315" spans="1:7" customHeight="1" ht="12.8"/>
    <row r="1045316" spans="1:7" customHeight="1" ht="12.8"/>
    <row r="1045317" spans="1:7" customHeight="1" ht="12.8"/>
    <row r="1045318" spans="1:7" customHeight="1" ht="12.8"/>
    <row r="1045319" spans="1:7" customHeight="1" ht="12.8"/>
    <row r="1045320" spans="1:7" customHeight="1" ht="12.8"/>
    <row r="1045321" spans="1:7" customHeight="1" ht="12.8"/>
    <row r="1045322" spans="1:7" customHeight="1" ht="12.8"/>
    <row r="1045323" spans="1:7" customHeight="1" ht="12.8"/>
    <row r="1045324" spans="1:7" customHeight="1" ht="12.8"/>
    <row r="1045325" spans="1:7" customHeight="1" ht="12.8"/>
    <row r="1045326" spans="1:7" customHeight="1" ht="12.8"/>
    <row r="1045327" spans="1:7" customHeight="1" ht="12.8"/>
    <row r="1045328" spans="1:7" customHeight="1" ht="12.8"/>
    <row r="1045329" spans="1:7" customHeight="1" ht="12.8"/>
    <row r="1045330" spans="1:7" customHeight="1" ht="12.8"/>
    <row r="1045331" spans="1:7" customHeight="1" ht="12.8"/>
    <row r="1045332" spans="1:7" customHeight="1" ht="12.8"/>
    <row r="1045333" spans="1:7" customHeight="1" ht="12.8"/>
    <row r="1045334" spans="1:7" customHeight="1" ht="12.8"/>
    <row r="1045335" spans="1:7" customHeight="1" ht="12.8"/>
    <row r="1045336" spans="1:7" customHeight="1" ht="12.8"/>
    <row r="1045337" spans="1:7" customHeight="1" ht="12.8"/>
    <row r="1045338" spans="1:7" customHeight="1" ht="12.8"/>
    <row r="1045339" spans="1:7" customHeight="1" ht="12.8"/>
    <row r="1045340" spans="1:7" customHeight="1" ht="12.8"/>
    <row r="1045341" spans="1:7" customHeight="1" ht="12.8"/>
    <row r="1045342" spans="1:7" customHeight="1" ht="12.8"/>
    <row r="1045343" spans="1:7" customHeight="1" ht="12.8"/>
    <row r="1045344" spans="1:7" customHeight="1" ht="12.8"/>
    <row r="1045345" spans="1:7" customHeight="1" ht="12.8"/>
    <row r="1045346" spans="1:7" customHeight="1" ht="12.8"/>
    <row r="1045347" spans="1:7" customHeight="1" ht="12.8"/>
    <row r="1045348" spans="1:7" customHeight="1" ht="12.8"/>
    <row r="1045349" spans="1:7" customHeight="1" ht="12.8"/>
    <row r="1045350" spans="1:7" customHeight="1" ht="12.8"/>
    <row r="1045351" spans="1:7" customHeight="1" ht="12.8"/>
    <row r="1045352" spans="1:7" customHeight="1" ht="12.8"/>
    <row r="1045353" spans="1:7" customHeight="1" ht="12.8"/>
    <row r="1045354" spans="1:7" customHeight="1" ht="12.8"/>
    <row r="1045355" spans="1:7" customHeight="1" ht="12.8"/>
    <row r="1045356" spans="1:7" customHeight="1" ht="12.8"/>
    <row r="1045357" spans="1:7" customHeight="1" ht="12.8"/>
    <row r="1045358" spans="1:7" customHeight="1" ht="12.8"/>
    <row r="1045359" spans="1:7" customHeight="1" ht="12.8"/>
    <row r="1045360" spans="1:7" customHeight="1" ht="12.8"/>
    <row r="1045361" spans="1:7" customHeight="1" ht="12.8"/>
    <row r="1045362" spans="1:7" customHeight="1" ht="12.8"/>
    <row r="1045363" spans="1:7" customHeight="1" ht="12.8"/>
    <row r="1045364" spans="1:7" customHeight="1" ht="12.8"/>
    <row r="1045365" spans="1:7" customHeight="1" ht="12.8"/>
    <row r="1045366" spans="1:7" customHeight="1" ht="12.8"/>
    <row r="1045367" spans="1:7" customHeight="1" ht="12.8"/>
    <row r="1045368" spans="1:7" customHeight="1" ht="12.8"/>
    <row r="1045369" spans="1:7" customHeight="1" ht="12.8"/>
    <row r="1045370" spans="1:7" customHeight="1" ht="12.8"/>
    <row r="1045371" spans="1:7" customHeight="1" ht="12.8"/>
    <row r="1045372" spans="1:7" customHeight="1" ht="12.8"/>
    <row r="1045373" spans="1:7" customHeight="1" ht="12.8"/>
    <row r="1045374" spans="1:7" customHeight="1" ht="12.8"/>
    <row r="1045375" spans="1:7" customHeight="1" ht="12.8"/>
    <row r="1045376" spans="1:7" customHeight="1" ht="12.8"/>
    <row r="1045377" spans="1:7" customHeight="1" ht="12.8"/>
    <row r="1045378" spans="1:7" customHeight="1" ht="12.8"/>
    <row r="1045379" spans="1:7" customHeight="1" ht="12.8"/>
    <row r="1045380" spans="1:7" customHeight="1" ht="12.8"/>
    <row r="1045381" spans="1:7" customHeight="1" ht="12.8"/>
    <row r="1045382" spans="1:7" customHeight="1" ht="12.8"/>
    <row r="1045383" spans="1:7" customHeight="1" ht="12.8"/>
    <row r="1045384" spans="1:7" customHeight="1" ht="12.8"/>
    <row r="1045385" spans="1:7" customHeight="1" ht="12.8"/>
    <row r="1045386" spans="1:7" customHeight="1" ht="12.8"/>
    <row r="1045387" spans="1:7" customHeight="1" ht="12.8"/>
    <row r="1045388" spans="1:7" customHeight="1" ht="12.8"/>
    <row r="1045389" spans="1:7" customHeight="1" ht="12.8"/>
    <row r="1045390" spans="1:7" customHeight="1" ht="12.8"/>
    <row r="1045391" spans="1:7" customHeight="1" ht="12.8"/>
    <row r="1045392" spans="1:7" customHeight="1" ht="12.8"/>
    <row r="1045393" spans="1:7" customHeight="1" ht="12.8"/>
    <row r="1045394" spans="1:7" customHeight="1" ht="12.8"/>
    <row r="1045395" spans="1:7" customHeight="1" ht="12.8"/>
    <row r="1045396" spans="1:7" customHeight="1" ht="12.8"/>
    <row r="1045397" spans="1:7" customHeight="1" ht="12.8"/>
    <row r="1045398" spans="1:7" customHeight="1" ht="12.8"/>
    <row r="1045399" spans="1:7" customHeight="1" ht="12.8"/>
    <row r="1045400" spans="1:7" customHeight="1" ht="12.8"/>
    <row r="1045401" spans="1:7" customHeight="1" ht="12.8"/>
    <row r="1045402" spans="1:7" customHeight="1" ht="12.8"/>
    <row r="1045403" spans="1:7" customHeight="1" ht="12.8"/>
    <row r="1045404" spans="1:7" customHeight="1" ht="12.8"/>
    <row r="1045405" spans="1:7" customHeight="1" ht="12.8"/>
    <row r="1045406" spans="1:7" customHeight="1" ht="12.8"/>
    <row r="1045407" spans="1:7" customHeight="1" ht="12.8"/>
    <row r="1045408" spans="1:7" customHeight="1" ht="12.8"/>
    <row r="1045409" spans="1:7" customHeight="1" ht="12.8"/>
    <row r="1045410" spans="1:7" customHeight="1" ht="12.8"/>
    <row r="1045411" spans="1:7" customHeight="1" ht="12.8"/>
    <row r="1045412" spans="1:7" customHeight="1" ht="12.8"/>
    <row r="1045413" spans="1:7" customHeight="1" ht="12.8"/>
    <row r="1045414" spans="1:7" customHeight="1" ht="12.8"/>
    <row r="1045415" spans="1:7" customHeight="1" ht="12.8"/>
    <row r="1045416" spans="1:7" customHeight="1" ht="12.8"/>
    <row r="1045417" spans="1:7" customHeight="1" ht="12.8"/>
    <row r="1045418" spans="1:7" customHeight="1" ht="12.8"/>
    <row r="1045419" spans="1:7" customHeight="1" ht="12.8"/>
    <row r="1045420" spans="1:7" customHeight="1" ht="12.8"/>
    <row r="1045421" spans="1:7" customHeight="1" ht="12.8"/>
    <row r="1045422" spans="1:7" customHeight="1" ht="12.8"/>
    <row r="1045423" spans="1:7" customHeight="1" ht="12.8"/>
    <row r="1045424" spans="1:7" customHeight="1" ht="12.8"/>
    <row r="1045425" spans="1:7" customHeight="1" ht="12.8"/>
    <row r="1045426" spans="1:7" customHeight="1" ht="12.8"/>
    <row r="1045427" spans="1:7" customHeight="1" ht="12.8"/>
    <row r="1045428" spans="1:7" customHeight="1" ht="12.8"/>
    <row r="1045429" spans="1:7" customHeight="1" ht="12.8"/>
    <row r="1045430" spans="1:7" customHeight="1" ht="12.8"/>
    <row r="1045431" spans="1:7" customHeight="1" ht="12.8"/>
    <row r="1045432" spans="1:7" customHeight="1" ht="12.8"/>
    <row r="1045433" spans="1:7" customHeight="1" ht="12.8"/>
    <row r="1045434" spans="1:7" customHeight="1" ht="12.8"/>
    <row r="1045435" spans="1:7" customHeight="1" ht="12.8"/>
    <row r="1045436" spans="1:7" customHeight="1" ht="12.8"/>
    <row r="1045437" spans="1:7" customHeight="1" ht="12.8"/>
    <row r="1045438" spans="1:7" customHeight="1" ht="12.8"/>
    <row r="1045439" spans="1:7" customHeight="1" ht="12.8"/>
    <row r="1045440" spans="1:7" customHeight="1" ht="12.8"/>
    <row r="1045441" spans="1:7" customHeight="1" ht="12.8"/>
    <row r="1045442" spans="1:7" customHeight="1" ht="12.8"/>
    <row r="1045443" spans="1:7" customHeight="1" ht="12.8"/>
    <row r="1045444" spans="1:7" customHeight="1" ht="12.8"/>
    <row r="1045445" spans="1:7" customHeight="1" ht="12.8"/>
    <row r="1045446" spans="1:7" customHeight="1" ht="12.8"/>
    <row r="1045447" spans="1:7" customHeight="1" ht="12.8"/>
    <row r="1045448" spans="1:7" customHeight="1" ht="12.8"/>
    <row r="1045449" spans="1:7" customHeight="1" ht="12.8"/>
    <row r="1045450" spans="1:7" customHeight="1" ht="12.8"/>
    <row r="1045451" spans="1:7" customHeight="1" ht="12.8"/>
    <row r="1045452" spans="1:7" customHeight="1" ht="12.8"/>
    <row r="1045453" spans="1:7" customHeight="1" ht="12.8"/>
    <row r="1045454" spans="1:7" customHeight="1" ht="12.8"/>
    <row r="1045455" spans="1:7" customHeight="1" ht="12.8"/>
    <row r="1045456" spans="1:7" customHeight="1" ht="12.8"/>
    <row r="1045457" spans="1:7" customHeight="1" ht="12.8"/>
    <row r="1045458" spans="1:7" customHeight="1" ht="12.8"/>
    <row r="1045459" spans="1:7" customHeight="1" ht="12.8"/>
    <row r="1045460" spans="1:7" customHeight="1" ht="12.8"/>
    <row r="1045461" spans="1:7" customHeight="1" ht="12.8"/>
    <row r="1045462" spans="1:7" customHeight="1" ht="12.8"/>
    <row r="1045463" spans="1:7" customHeight="1" ht="12.8"/>
    <row r="1045464" spans="1:7" customHeight="1" ht="12.8"/>
    <row r="1045465" spans="1:7" customHeight="1" ht="12.8"/>
    <row r="1045466" spans="1:7" customHeight="1" ht="12.8"/>
    <row r="1045467" spans="1:7" customHeight="1" ht="12.8"/>
    <row r="1045468" spans="1:7" customHeight="1" ht="12.8"/>
    <row r="1045469" spans="1:7" customHeight="1" ht="12.8"/>
    <row r="1045470" spans="1:7" customHeight="1" ht="12.8"/>
    <row r="1045471" spans="1:7" customHeight="1" ht="12.8"/>
    <row r="1045472" spans="1:7" customHeight="1" ht="12.8"/>
    <row r="1045473" spans="1:7" customHeight="1" ht="12.8"/>
    <row r="1045474" spans="1:7" customHeight="1" ht="12.8"/>
    <row r="1045475" spans="1:7" customHeight="1" ht="12.8"/>
    <row r="1045476" spans="1:7" customHeight="1" ht="12.8"/>
    <row r="1045477" spans="1:7" customHeight="1" ht="12.8"/>
    <row r="1045478" spans="1:7" customHeight="1" ht="12.8"/>
    <row r="1045479" spans="1:7" customHeight="1" ht="12.8"/>
    <row r="1045480" spans="1:7" customHeight="1" ht="12.8"/>
    <row r="1045481" spans="1:7" customHeight="1" ht="12.8"/>
    <row r="1045482" spans="1:7" customHeight="1" ht="12.8"/>
    <row r="1045483" spans="1:7" customHeight="1" ht="12.8"/>
    <row r="1045484" spans="1:7" customHeight="1" ht="12.8"/>
    <row r="1045485" spans="1:7" customHeight="1" ht="12.8"/>
    <row r="1045486" spans="1:7" customHeight="1" ht="12.8"/>
    <row r="1045487" spans="1:7" customHeight="1" ht="12.8"/>
    <row r="1045488" spans="1:7" customHeight="1" ht="12.8"/>
    <row r="1045489" spans="1:7" customHeight="1" ht="12.8"/>
    <row r="1045490" spans="1:7" customHeight="1" ht="12.8"/>
    <row r="1045491" spans="1:7" customHeight="1" ht="12.8"/>
    <row r="1045492" spans="1:7" customHeight="1" ht="12.8"/>
    <row r="1045493" spans="1:7" customHeight="1" ht="12.8"/>
    <row r="1045494" spans="1:7" customHeight="1" ht="12.8"/>
    <row r="1045495" spans="1:7" customHeight="1" ht="12.8"/>
    <row r="1045496" spans="1:7" customHeight="1" ht="12.8"/>
    <row r="1045497" spans="1:7" customHeight="1" ht="12.8"/>
    <row r="1045498" spans="1:7" customHeight="1" ht="12.8"/>
    <row r="1045499" spans="1:7" customHeight="1" ht="12.8"/>
    <row r="1045500" spans="1:7" customHeight="1" ht="12.8"/>
    <row r="1045501" spans="1:7" customHeight="1" ht="12.8"/>
    <row r="1045502" spans="1:7" customHeight="1" ht="12.8"/>
    <row r="1045503" spans="1:7" customHeight="1" ht="12.8"/>
    <row r="1045504" spans="1:7" customHeight="1" ht="12.8"/>
    <row r="1045505" spans="1:7" customHeight="1" ht="12.8"/>
    <row r="1045506" spans="1:7" customHeight="1" ht="12.8"/>
    <row r="1045507" spans="1:7" customHeight="1" ht="12.8"/>
    <row r="1045508" spans="1:7" customHeight="1" ht="12.8"/>
    <row r="1045509" spans="1:7" customHeight="1" ht="12.8"/>
    <row r="1045510" spans="1:7" customHeight="1" ht="12.8"/>
    <row r="1045511" spans="1:7" customHeight="1" ht="12.8"/>
    <row r="1045512" spans="1:7" customHeight="1" ht="12.8"/>
    <row r="1045513" spans="1:7" customHeight="1" ht="12.8"/>
    <row r="1045514" spans="1:7" customHeight="1" ht="12.8"/>
    <row r="1045515" spans="1:7" customHeight="1" ht="12.8"/>
    <row r="1045516" spans="1:7" customHeight="1" ht="12.8"/>
    <row r="1045517" spans="1:7" customHeight="1" ht="12.8"/>
    <row r="1045518" spans="1:7" customHeight="1" ht="12.8"/>
    <row r="1045519" spans="1:7" customHeight="1" ht="12.8"/>
    <row r="1045520" spans="1:7" customHeight="1" ht="12.8"/>
    <row r="1045521" spans="1:7" customHeight="1" ht="12.8"/>
    <row r="1045522" spans="1:7" customHeight="1" ht="12.8"/>
    <row r="1045523" spans="1:7" customHeight="1" ht="12.8"/>
    <row r="1045524" spans="1:7" customHeight="1" ht="12.8"/>
    <row r="1045525" spans="1:7" customHeight="1" ht="12.8"/>
    <row r="1045526" spans="1:7" customHeight="1" ht="12.8"/>
    <row r="1045527" spans="1:7" customHeight="1" ht="12.8"/>
    <row r="1045528" spans="1:7" customHeight="1" ht="12.8"/>
    <row r="1045529" spans="1:7" customHeight="1" ht="12.8"/>
    <row r="1045530" spans="1:7" customHeight="1" ht="12.8"/>
    <row r="1045531" spans="1:7" customHeight="1" ht="12.8"/>
    <row r="1045532" spans="1:7" customHeight="1" ht="12.8"/>
    <row r="1045533" spans="1:7" customHeight="1" ht="12.8"/>
    <row r="1045534" spans="1:7" customHeight="1" ht="12.8"/>
    <row r="1045535" spans="1:7" customHeight="1" ht="12.8"/>
    <row r="1045536" spans="1:7" customHeight="1" ht="12.8"/>
    <row r="1045537" spans="1:7" customHeight="1" ht="12.8"/>
    <row r="1045538" spans="1:7" customHeight="1" ht="12.8"/>
    <row r="1045539" spans="1:7" customHeight="1" ht="12.8"/>
    <row r="1045540" spans="1:7" customHeight="1" ht="12.8"/>
    <row r="1045541" spans="1:7" customHeight="1" ht="12.8"/>
    <row r="1045542" spans="1:7" customHeight="1" ht="12.8"/>
    <row r="1045543" spans="1:7" customHeight="1" ht="12.8"/>
    <row r="1045544" spans="1:7" customHeight="1" ht="12.8"/>
    <row r="1045545" spans="1:7" customHeight="1" ht="12.8"/>
    <row r="1045546" spans="1:7" customHeight="1" ht="12.8"/>
    <row r="1045547" spans="1:7" customHeight="1" ht="12.8"/>
    <row r="1045548" spans="1:7" customHeight="1" ht="12.8"/>
    <row r="1045549" spans="1:7" customHeight="1" ht="12.8"/>
    <row r="1045550" spans="1:7" customHeight="1" ht="12.8"/>
    <row r="1045551" spans="1:7" customHeight="1" ht="12.8"/>
    <row r="1045552" spans="1:7" customHeight="1" ht="12.8"/>
    <row r="1045553" spans="1:7" customHeight="1" ht="12.8"/>
    <row r="1045554" spans="1:7" customHeight="1" ht="12.8"/>
    <row r="1045555" spans="1:7" customHeight="1" ht="12.8"/>
    <row r="1045556" spans="1:7" customHeight="1" ht="12.8"/>
    <row r="1045557" spans="1:7" customHeight="1" ht="12.8"/>
    <row r="1045558" spans="1:7" customHeight="1" ht="12.8"/>
    <row r="1045559" spans="1:7" customHeight="1" ht="12.8"/>
    <row r="1045560" spans="1:7" customHeight="1" ht="12.8"/>
    <row r="1045561" spans="1:7" customHeight="1" ht="12.8"/>
    <row r="1045562" spans="1:7" customHeight="1" ht="12.8"/>
    <row r="1045563" spans="1:7" customHeight="1" ht="12.8"/>
    <row r="1045564" spans="1:7" customHeight="1" ht="12.8"/>
    <row r="1045565" spans="1:7" customHeight="1" ht="12.8"/>
    <row r="1045566" spans="1:7" customHeight="1" ht="12.8"/>
    <row r="1045567" spans="1:7" customHeight="1" ht="12.8"/>
    <row r="1045568" spans="1:7" customHeight="1" ht="12.8"/>
    <row r="1045569" spans="1:7" customHeight="1" ht="12.8"/>
    <row r="1045570" spans="1:7" customHeight="1" ht="12.8"/>
    <row r="1045571" spans="1:7" customHeight="1" ht="12.8"/>
    <row r="1045572" spans="1:7" customHeight="1" ht="12.8"/>
    <row r="1045573" spans="1:7" customHeight="1" ht="12.8"/>
    <row r="1045574" spans="1:7" customHeight="1" ht="12.8"/>
    <row r="1045575" spans="1:7" customHeight="1" ht="12.8"/>
    <row r="1045576" spans="1:7" customHeight="1" ht="12.8"/>
    <row r="1045577" spans="1:7" customHeight="1" ht="12.8"/>
    <row r="1045578" spans="1:7" customHeight="1" ht="12.8"/>
    <row r="1045579" spans="1:7" customHeight="1" ht="12.8"/>
    <row r="1045580" spans="1:7" customHeight="1" ht="12.8"/>
    <row r="1045581" spans="1:7" customHeight="1" ht="12.8"/>
    <row r="1045582" spans="1:7" customHeight="1" ht="12.8"/>
    <row r="1045583" spans="1:7" customHeight="1" ht="12.8"/>
    <row r="1045584" spans="1:7" customHeight="1" ht="12.8"/>
    <row r="1045585" spans="1:7" customHeight="1" ht="12.8"/>
    <row r="1045586" spans="1:7" customHeight="1" ht="12.8"/>
    <row r="1045587" spans="1:7" customHeight="1" ht="12.8"/>
    <row r="1045588" spans="1:7" customHeight="1" ht="12.8"/>
    <row r="1045589" spans="1:7" customHeight="1" ht="12.8"/>
    <row r="1045590" spans="1:7" customHeight="1" ht="12.8"/>
    <row r="1045591" spans="1:7" customHeight="1" ht="12.8"/>
    <row r="1045592" spans="1:7" customHeight="1" ht="12.8"/>
    <row r="1045593" spans="1:7" customHeight="1" ht="12.8"/>
    <row r="1045594" spans="1:7" customHeight="1" ht="12.8"/>
    <row r="1045595" spans="1:7" customHeight="1" ht="12.8"/>
    <row r="1045596" spans="1:7" customHeight="1" ht="12.8"/>
    <row r="1045597" spans="1:7" customHeight="1" ht="12.8"/>
    <row r="1045598" spans="1:7" customHeight="1" ht="12.8"/>
    <row r="1045599" spans="1:7" customHeight="1" ht="12.8"/>
    <row r="1045600" spans="1:7" customHeight="1" ht="12.8"/>
    <row r="1045601" spans="1:7" customHeight="1" ht="12.8"/>
    <row r="1045602" spans="1:7" customHeight="1" ht="12.8"/>
    <row r="1045603" spans="1:7" customHeight="1" ht="12.8"/>
    <row r="1045604" spans="1:7" customHeight="1" ht="12.8"/>
    <row r="1045605" spans="1:7" customHeight="1" ht="12.8"/>
    <row r="1045606" spans="1:7" customHeight="1" ht="12.8"/>
    <row r="1045607" spans="1:7" customHeight="1" ht="12.8"/>
    <row r="1045608" spans="1:7" customHeight="1" ht="12.8"/>
    <row r="1045609" spans="1:7" customHeight="1" ht="12.8"/>
    <row r="1045610" spans="1:7" customHeight="1" ht="12.8"/>
    <row r="1045611" spans="1:7" customHeight="1" ht="12.8"/>
    <row r="1045612" spans="1:7" customHeight="1" ht="12.8"/>
    <row r="1045613" spans="1:7" customHeight="1" ht="12.8"/>
    <row r="1045614" spans="1:7" customHeight="1" ht="12.8"/>
    <row r="1045615" spans="1:7" customHeight="1" ht="12.8"/>
    <row r="1045616" spans="1:7" customHeight="1" ht="12.8"/>
    <row r="1045617" spans="1:7" customHeight="1" ht="12.8"/>
    <row r="1045618" spans="1:7" customHeight="1" ht="12.8"/>
    <row r="1045619" spans="1:7" customHeight="1" ht="12.8"/>
    <row r="1045620" spans="1:7" customHeight="1" ht="12.8"/>
    <row r="1045621" spans="1:7" customHeight="1" ht="12.8"/>
    <row r="1045622" spans="1:7" customHeight="1" ht="12.8"/>
    <row r="1045623" spans="1:7" customHeight="1" ht="12.8"/>
    <row r="1045624" spans="1:7" customHeight="1" ht="12.8"/>
    <row r="1045625" spans="1:7" customHeight="1" ht="12.8"/>
    <row r="1045626" spans="1:7" customHeight="1" ht="12.8"/>
    <row r="1045627" spans="1:7" customHeight="1" ht="12.8"/>
    <row r="1045628" spans="1:7" customHeight="1" ht="12.8"/>
    <row r="1045629" spans="1:7" customHeight="1" ht="12.8"/>
    <row r="1045630" spans="1:7" customHeight="1" ht="12.8"/>
    <row r="1045631" spans="1:7" customHeight="1" ht="12.8"/>
    <row r="1045632" spans="1:7" customHeight="1" ht="12.8"/>
    <row r="1045633" spans="1:7" customHeight="1" ht="12.8"/>
    <row r="1045634" spans="1:7" customHeight="1" ht="12.8"/>
    <row r="1045635" spans="1:7" customHeight="1" ht="12.8"/>
    <row r="1045636" spans="1:7" customHeight="1" ht="12.8"/>
    <row r="1045637" spans="1:7" customHeight="1" ht="12.8"/>
    <row r="1045638" spans="1:7" customHeight="1" ht="12.8"/>
    <row r="1045639" spans="1:7" customHeight="1" ht="12.8"/>
    <row r="1045640" spans="1:7" customHeight="1" ht="12.8"/>
    <row r="1045641" spans="1:7" customHeight="1" ht="12.8"/>
    <row r="1045642" spans="1:7" customHeight="1" ht="12.8"/>
    <row r="1045643" spans="1:7" customHeight="1" ht="12.8"/>
    <row r="1045644" spans="1:7" customHeight="1" ht="12.8"/>
    <row r="1045645" spans="1:7" customHeight="1" ht="12.8"/>
    <row r="1045646" spans="1:7" customHeight="1" ht="12.8"/>
    <row r="1045647" spans="1:7" customHeight="1" ht="12.8"/>
    <row r="1045648" spans="1:7" customHeight="1" ht="12.8"/>
    <row r="1045649" spans="1:7" customHeight="1" ht="12.8"/>
    <row r="1045650" spans="1:7" customHeight="1" ht="12.8"/>
    <row r="1045651" spans="1:7" customHeight="1" ht="12.8"/>
    <row r="1045652" spans="1:7" customHeight="1" ht="12.8"/>
    <row r="1045653" spans="1:7" customHeight="1" ht="12.8"/>
    <row r="1045654" spans="1:7" customHeight="1" ht="12.8"/>
    <row r="1045655" spans="1:7" customHeight="1" ht="12.8"/>
    <row r="1045656" spans="1:7" customHeight="1" ht="12.8"/>
    <row r="1045657" spans="1:7" customHeight="1" ht="12.8"/>
    <row r="1045658" spans="1:7" customHeight="1" ht="12.8"/>
    <row r="1045659" spans="1:7" customHeight="1" ht="12.8"/>
    <row r="1045660" spans="1:7" customHeight="1" ht="12.8"/>
    <row r="1045661" spans="1:7" customHeight="1" ht="12.8"/>
    <row r="1045662" spans="1:7" customHeight="1" ht="12.8"/>
    <row r="1045663" spans="1:7" customHeight="1" ht="12.8"/>
    <row r="1045664" spans="1:7" customHeight="1" ht="12.8"/>
    <row r="1045665" spans="1:7" customHeight="1" ht="12.8"/>
    <row r="1045666" spans="1:7" customHeight="1" ht="12.8"/>
    <row r="1045667" spans="1:7" customHeight="1" ht="12.8"/>
    <row r="1045668" spans="1:7" customHeight="1" ht="12.8"/>
    <row r="1045669" spans="1:7" customHeight="1" ht="12.8"/>
    <row r="1045670" spans="1:7" customHeight="1" ht="12.8"/>
    <row r="1045671" spans="1:7" customHeight="1" ht="12.8"/>
    <row r="1045672" spans="1:7" customHeight="1" ht="12.8"/>
    <row r="1045673" spans="1:7" customHeight="1" ht="12.8"/>
    <row r="1045674" spans="1:7" customHeight="1" ht="12.8"/>
    <row r="1045675" spans="1:7" customHeight="1" ht="12.8"/>
    <row r="1045676" spans="1:7" customHeight="1" ht="12.8"/>
    <row r="1045677" spans="1:7" customHeight="1" ht="12.8"/>
    <row r="1045678" spans="1:7" customHeight="1" ht="12.8"/>
    <row r="1045679" spans="1:7" customHeight="1" ht="12.8"/>
    <row r="1045680" spans="1:7" customHeight="1" ht="12.8"/>
    <row r="1045681" spans="1:7" customHeight="1" ht="12.8"/>
    <row r="1045682" spans="1:7" customHeight="1" ht="12.8"/>
    <row r="1045683" spans="1:7" customHeight="1" ht="12.8"/>
    <row r="1045684" spans="1:7" customHeight="1" ht="12.8"/>
    <row r="1045685" spans="1:7" customHeight="1" ht="12.8"/>
    <row r="1045686" spans="1:7" customHeight="1" ht="12.8"/>
    <row r="1045687" spans="1:7" customHeight="1" ht="12.8"/>
    <row r="1045688" spans="1:7" customHeight="1" ht="12.8"/>
    <row r="1045689" spans="1:7" customHeight="1" ht="12.8"/>
    <row r="1045690" spans="1:7" customHeight="1" ht="12.8"/>
    <row r="1045691" spans="1:7" customHeight="1" ht="12.8"/>
    <row r="1045692" spans="1:7" customHeight="1" ht="12.8"/>
    <row r="1045693" spans="1:7" customHeight="1" ht="12.8"/>
    <row r="1045694" spans="1:7" customHeight="1" ht="12.8"/>
    <row r="1045695" spans="1:7" customHeight="1" ht="12.8"/>
    <row r="1045696" spans="1:7" customHeight="1" ht="12.8"/>
    <row r="1045697" spans="1:7" customHeight="1" ht="12.8"/>
    <row r="1045698" spans="1:7" customHeight="1" ht="12.8"/>
    <row r="1045699" spans="1:7" customHeight="1" ht="12.8"/>
    <row r="1045700" spans="1:7" customHeight="1" ht="12.8"/>
    <row r="1045701" spans="1:7" customHeight="1" ht="12.8"/>
    <row r="1045702" spans="1:7" customHeight="1" ht="12.8"/>
    <row r="1045703" spans="1:7" customHeight="1" ht="12.8"/>
    <row r="1045704" spans="1:7" customHeight="1" ht="12.8"/>
    <row r="1045705" spans="1:7" customHeight="1" ht="12.8"/>
    <row r="1045706" spans="1:7" customHeight="1" ht="12.8"/>
    <row r="1045707" spans="1:7" customHeight="1" ht="12.8"/>
    <row r="1045708" spans="1:7" customHeight="1" ht="12.8"/>
    <row r="1045709" spans="1:7" customHeight="1" ht="12.8"/>
    <row r="1045710" spans="1:7" customHeight="1" ht="12.8"/>
    <row r="1045711" spans="1:7" customHeight="1" ht="12.8"/>
    <row r="1045712" spans="1:7" customHeight="1" ht="12.8"/>
    <row r="1045713" spans="1:7" customHeight="1" ht="12.8"/>
    <row r="1045714" spans="1:7" customHeight="1" ht="12.8"/>
    <row r="1045715" spans="1:7" customHeight="1" ht="12.8"/>
    <row r="1045716" spans="1:7" customHeight="1" ht="12.8"/>
    <row r="1045717" spans="1:7" customHeight="1" ht="12.8"/>
    <row r="1045718" spans="1:7" customHeight="1" ht="12.8"/>
    <row r="1045719" spans="1:7" customHeight="1" ht="12.8"/>
    <row r="1045720" spans="1:7" customHeight="1" ht="12.8"/>
    <row r="1045721" spans="1:7" customHeight="1" ht="12.8"/>
    <row r="1045722" spans="1:7" customHeight="1" ht="12.8"/>
    <row r="1045723" spans="1:7" customHeight="1" ht="12.8"/>
    <row r="1045724" spans="1:7" customHeight="1" ht="12.8"/>
    <row r="1045725" spans="1:7" customHeight="1" ht="12.8"/>
    <row r="1045726" spans="1:7" customHeight="1" ht="12.8"/>
    <row r="1045727" spans="1:7" customHeight="1" ht="12.8"/>
    <row r="1045728" spans="1:7" customHeight="1" ht="12.8"/>
    <row r="1045729" spans="1:7" customHeight="1" ht="12.8"/>
    <row r="1045730" spans="1:7" customHeight="1" ht="12.8"/>
    <row r="1045731" spans="1:7" customHeight="1" ht="12.8"/>
    <row r="1045732" spans="1:7" customHeight="1" ht="12.8"/>
    <row r="1045733" spans="1:7" customHeight="1" ht="12.8"/>
    <row r="1045734" spans="1:7" customHeight="1" ht="12.8"/>
    <row r="1045735" spans="1:7" customHeight="1" ht="12.8"/>
    <row r="1045736" spans="1:7" customHeight="1" ht="12.8"/>
    <row r="1045737" spans="1:7" customHeight="1" ht="12.8"/>
    <row r="1045738" spans="1:7" customHeight="1" ht="12.8"/>
    <row r="1045739" spans="1:7" customHeight="1" ht="12.8"/>
    <row r="1045740" spans="1:7" customHeight="1" ht="12.8"/>
    <row r="1045741" spans="1:7" customHeight="1" ht="12.8"/>
    <row r="1045742" spans="1:7" customHeight="1" ht="12.8"/>
    <row r="1045743" spans="1:7" customHeight="1" ht="12.8"/>
    <row r="1045744" spans="1:7" customHeight="1" ht="12.8"/>
    <row r="1045745" spans="1:7" customHeight="1" ht="12.8"/>
    <row r="1045746" spans="1:7" customHeight="1" ht="12.8"/>
    <row r="1045747" spans="1:7" customHeight="1" ht="12.8"/>
    <row r="1045748" spans="1:7" customHeight="1" ht="12.8"/>
    <row r="1045749" spans="1:7" customHeight="1" ht="12.8"/>
    <row r="1045750" spans="1:7" customHeight="1" ht="12.8"/>
    <row r="1045751" spans="1:7" customHeight="1" ht="12.8"/>
    <row r="1045752" spans="1:7" customHeight="1" ht="12.8"/>
    <row r="1045753" spans="1:7" customHeight="1" ht="12.8"/>
    <row r="1045754" spans="1:7" customHeight="1" ht="12.8"/>
    <row r="1045755" spans="1:7" customHeight="1" ht="12.8"/>
    <row r="1045756" spans="1:7" customHeight="1" ht="12.8"/>
    <row r="1045757" spans="1:7" customHeight="1" ht="12.8"/>
    <row r="1045758" spans="1:7" customHeight="1" ht="12.8"/>
    <row r="1045759" spans="1:7" customHeight="1" ht="12.8"/>
    <row r="1045760" spans="1:7" customHeight="1" ht="12.8"/>
    <row r="1045761" spans="1:7" customHeight="1" ht="12.8"/>
    <row r="1045762" spans="1:7" customHeight="1" ht="12.8"/>
    <row r="1045763" spans="1:7" customHeight="1" ht="12.8"/>
    <row r="1045764" spans="1:7" customHeight="1" ht="12.8"/>
    <row r="1045765" spans="1:7" customHeight="1" ht="12.8"/>
    <row r="1045766" spans="1:7" customHeight="1" ht="12.8"/>
    <row r="1045767" spans="1:7" customHeight="1" ht="12.8"/>
    <row r="1045768" spans="1:7" customHeight="1" ht="12.8"/>
    <row r="1045769" spans="1:7" customHeight="1" ht="12.8"/>
    <row r="1045770" spans="1:7" customHeight="1" ht="12.8"/>
    <row r="1045771" spans="1:7" customHeight="1" ht="12.8"/>
    <row r="1045772" spans="1:7" customHeight="1" ht="12.8"/>
    <row r="1045773" spans="1:7" customHeight="1" ht="12.8"/>
    <row r="1045774" spans="1:7" customHeight="1" ht="12.8"/>
    <row r="1045775" spans="1:7" customHeight="1" ht="12.8"/>
    <row r="1045776" spans="1:7" customHeight="1" ht="12.8"/>
    <row r="1045777" spans="1:7" customHeight="1" ht="12.8"/>
    <row r="1045778" spans="1:7" customHeight="1" ht="12.8"/>
    <row r="1045779" spans="1:7" customHeight="1" ht="12.8"/>
    <row r="1045780" spans="1:7" customHeight="1" ht="12.8"/>
    <row r="1045781" spans="1:7" customHeight="1" ht="12.8"/>
    <row r="1045782" spans="1:7" customHeight="1" ht="12.8"/>
    <row r="1045783" spans="1:7" customHeight="1" ht="12.8"/>
    <row r="1045784" spans="1:7" customHeight="1" ht="12.8"/>
    <row r="1045785" spans="1:7" customHeight="1" ht="12.8"/>
    <row r="1045786" spans="1:7" customHeight="1" ht="12.8"/>
    <row r="1045787" spans="1:7" customHeight="1" ht="12.8"/>
    <row r="1045788" spans="1:7" customHeight="1" ht="12.8"/>
    <row r="1045789" spans="1:7" customHeight="1" ht="12.8"/>
    <row r="1045790" spans="1:7" customHeight="1" ht="12.8"/>
    <row r="1045791" spans="1:7" customHeight="1" ht="12.8"/>
    <row r="1045792" spans="1:7" customHeight="1" ht="12.8"/>
    <row r="1045793" spans="1:7" customHeight="1" ht="12.8"/>
    <row r="1045794" spans="1:7" customHeight="1" ht="12.8"/>
    <row r="1045795" spans="1:7" customHeight="1" ht="12.8"/>
    <row r="1045796" spans="1:7" customHeight="1" ht="12.8"/>
    <row r="1045797" spans="1:7" customHeight="1" ht="12.8"/>
    <row r="1045798" spans="1:7" customHeight="1" ht="12.8"/>
    <row r="1045799" spans="1:7" customHeight="1" ht="12.8"/>
    <row r="1045800" spans="1:7" customHeight="1" ht="12.8"/>
    <row r="1045801" spans="1:7" customHeight="1" ht="12.8"/>
    <row r="1045802" spans="1:7" customHeight="1" ht="12.8"/>
    <row r="1045803" spans="1:7" customHeight="1" ht="12.8"/>
    <row r="1045804" spans="1:7" customHeight="1" ht="12.8"/>
    <row r="1045805" spans="1:7" customHeight="1" ht="12.8"/>
    <row r="1045806" spans="1:7" customHeight="1" ht="12.8"/>
    <row r="1045807" spans="1:7" customHeight="1" ht="12.8"/>
    <row r="1045808" spans="1:7" customHeight="1" ht="12.8"/>
    <row r="1045809" spans="1:7" customHeight="1" ht="12.8"/>
    <row r="1045810" spans="1:7" customHeight="1" ht="12.8"/>
    <row r="1045811" spans="1:7" customHeight="1" ht="12.8"/>
    <row r="1045812" spans="1:7" customHeight="1" ht="12.8"/>
    <row r="1045813" spans="1:7" customHeight="1" ht="12.8"/>
    <row r="1045814" spans="1:7" customHeight="1" ht="12.8"/>
    <row r="1045815" spans="1:7" customHeight="1" ht="12.8"/>
    <row r="1045816" spans="1:7" customHeight="1" ht="12.8"/>
    <row r="1045817" spans="1:7" customHeight="1" ht="12.8"/>
    <row r="1045818" spans="1:7" customHeight="1" ht="12.8"/>
    <row r="1045819" spans="1:7" customHeight="1" ht="12.8"/>
    <row r="1045820" spans="1:7" customHeight="1" ht="12.8"/>
    <row r="1045821" spans="1:7" customHeight="1" ht="12.8"/>
    <row r="1045822" spans="1:7" customHeight="1" ht="12.8"/>
    <row r="1045823" spans="1:7" customHeight="1" ht="12.8"/>
    <row r="1045824" spans="1:7" customHeight="1" ht="12.8"/>
    <row r="1045825" spans="1:7" customHeight="1" ht="12.8"/>
    <row r="1045826" spans="1:7" customHeight="1" ht="12.8"/>
    <row r="1045827" spans="1:7" customHeight="1" ht="12.8"/>
    <row r="1045828" spans="1:7" customHeight="1" ht="12.8"/>
    <row r="1045829" spans="1:7" customHeight="1" ht="12.8"/>
    <row r="1045830" spans="1:7" customHeight="1" ht="12.8"/>
    <row r="1045831" spans="1:7" customHeight="1" ht="12.8"/>
    <row r="1045832" spans="1:7" customHeight="1" ht="12.8"/>
    <row r="1045833" spans="1:7" customHeight="1" ht="12.8"/>
    <row r="1045834" spans="1:7" customHeight="1" ht="12.8"/>
    <row r="1045835" spans="1:7" customHeight="1" ht="12.8"/>
    <row r="1045836" spans="1:7" customHeight="1" ht="12.8"/>
    <row r="1045837" spans="1:7" customHeight="1" ht="12.8"/>
    <row r="1045838" spans="1:7" customHeight="1" ht="12.8"/>
    <row r="1045839" spans="1:7" customHeight="1" ht="12.8"/>
    <row r="1045840" spans="1:7" customHeight="1" ht="12.8"/>
    <row r="1045841" spans="1:7" customHeight="1" ht="12.8"/>
    <row r="1045842" spans="1:7" customHeight="1" ht="12.8"/>
    <row r="1045843" spans="1:7" customHeight="1" ht="12.8"/>
    <row r="1045844" spans="1:7" customHeight="1" ht="12.8"/>
    <row r="1045845" spans="1:7" customHeight="1" ht="12.8"/>
    <row r="1045846" spans="1:7" customHeight="1" ht="12.8"/>
    <row r="1045847" spans="1:7" customHeight="1" ht="12.8"/>
    <row r="1045848" spans="1:7" customHeight="1" ht="12.8"/>
    <row r="1045849" spans="1:7" customHeight="1" ht="12.8"/>
    <row r="1045850" spans="1:7" customHeight="1" ht="12.8"/>
    <row r="1045851" spans="1:7" customHeight="1" ht="12.8"/>
    <row r="1045852" spans="1:7" customHeight="1" ht="12.8"/>
    <row r="1045853" spans="1:7" customHeight="1" ht="12.8"/>
    <row r="1045854" spans="1:7" customHeight="1" ht="12.8"/>
    <row r="1045855" spans="1:7" customHeight="1" ht="12.8"/>
    <row r="1045856" spans="1:7" customHeight="1" ht="12.8"/>
    <row r="1045857" spans="1:7" customHeight="1" ht="12.8"/>
    <row r="1045858" spans="1:7" customHeight="1" ht="12.8"/>
    <row r="1045859" spans="1:7" customHeight="1" ht="12.8"/>
    <row r="1045860" spans="1:7" customHeight="1" ht="12.8"/>
    <row r="1045861" spans="1:7" customHeight="1" ht="12.8"/>
    <row r="1045862" spans="1:7" customHeight="1" ht="12.8"/>
    <row r="1045863" spans="1:7" customHeight="1" ht="12.8"/>
    <row r="1045864" spans="1:7" customHeight="1" ht="12.8"/>
    <row r="1045865" spans="1:7" customHeight="1" ht="12.8"/>
    <row r="1045866" spans="1:7" customHeight="1" ht="12.8"/>
    <row r="1045867" spans="1:7" customHeight="1" ht="12.8"/>
    <row r="1045868" spans="1:7" customHeight="1" ht="12.8"/>
    <row r="1045869" spans="1:7" customHeight="1" ht="12.8"/>
    <row r="1045870" spans="1:7" customHeight="1" ht="12.8"/>
    <row r="1045871" spans="1:7" customHeight="1" ht="12.8"/>
    <row r="1045872" spans="1:7" customHeight="1" ht="12.8"/>
    <row r="1045873" spans="1:7" customHeight="1" ht="12.8"/>
    <row r="1045874" spans="1:7" customHeight="1" ht="12.8"/>
    <row r="1045875" spans="1:7" customHeight="1" ht="12.8"/>
    <row r="1045876" spans="1:7" customHeight="1" ht="12.8"/>
    <row r="1045877" spans="1:7" customHeight="1" ht="12.8"/>
    <row r="1045878" spans="1:7" customHeight="1" ht="12.8"/>
    <row r="1045879" spans="1:7" customHeight="1" ht="12.8"/>
    <row r="1045880" spans="1:7" customHeight="1" ht="12.8"/>
    <row r="1045881" spans="1:7" customHeight="1" ht="12.8"/>
    <row r="1045882" spans="1:7" customHeight="1" ht="12.8"/>
    <row r="1045883" spans="1:7" customHeight="1" ht="12.8"/>
    <row r="1045884" spans="1:7" customHeight="1" ht="12.8"/>
    <row r="1045885" spans="1:7" customHeight="1" ht="12.8"/>
    <row r="1045886" spans="1:7" customHeight="1" ht="12.8"/>
    <row r="1045887" spans="1:7" customHeight="1" ht="12.8"/>
    <row r="1045888" spans="1:7" customHeight="1" ht="12.8"/>
    <row r="1045889" spans="1:7" customHeight="1" ht="12.8"/>
    <row r="1045890" spans="1:7" customHeight="1" ht="12.8"/>
    <row r="1045891" spans="1:7" customHeight="1" ht="12.8"/>
    <row r="1045892" spans="1:7" customHeight="1" ht="12.8"/>
    <row r="1045893" spans="1:7" customHeight="1" ht="12.8"/>
    <row r="1045894" spans="1:7" customHeight="1" ht="12.8"/>
    <row r="1045895" spans="1:7" customHeight="1" ht="12.8"/>
    <row r="1045896" spans="1:7" customHeight="1" ht="12.8"/>
    <row r="1045897" spans="1:7" customHeight="1" ht="12.8"/>
    <row r="1045898" spans="1:7" customHeight="1" ht="12.8"/>
    <row r="1045899" spans="1:7" customHeight="1" ht="12.8"/>
    <row r="1045900" spans="1:7" customHeight="1" ht="12.8"/>
    <row r="1045901" spans="1:7" customHeight="1" ht="12.8"/>
    <row r="1045902" spans="1:7" customHeight="1" ht="12.8"/>
    <row r="1045903" spans="1:7" customHeight="1" ht="12.8"/>
    <row r="1045904" spans="1:7" customHeight="1" ht="12.8"/>
    <row r="1045905" spans="1:7" customHeight="1" ht="12.8"/>
    <row r="1045906" spans="1:7" customHeight="1" ht="12.8"/>
    <row r="1045907" spans="1:7" customHeight="1" ht="12.8"/>
    <row r="1045908" spans="1:7" customHeight="1" ht="12.8"/>
    <row r="1045909" spans="1:7" customHeight="1" ht="12.8"/>
    <row r="1045910" spans="1:7" customHeight="1" ht="12.8"/>
    <row r="1045911" spans="1:7" customHeight="1" ht="12.8"/>
    <row r="1045912" spans="1:7" customHeight="1" ht="12.8"/>
    <row r="1045913" spans="1:7" customHeight="1" ht="12.8"/>
    <row r="1045914" spans="1:7" customHeight="1" ht="12.8"/>
    <row r="1045915" spans="1:7" customHeight="1" ht="12.8"/>
    <row r="1045916" spans="1:7" customHeight="1" ht="12.8"/>
    <row r="1045917" spans="1:7" customHeight="1" ht="12.8"/>
    <row r="1045918" spans="1:7" customHeight="1" ht="12.8"/>
    <row r="1045919" spans="1:7" customHeight="1" ht="12.8"/>
    <row r="1045920" spans="1:7" customHeight="1" ht="12.8"/>
    <row r="1045921" spans="1:7" customHeight="1" ht="12.8"/>
    <row r="1045922" spans="1:7" customHeight="1" ht="12.8"/>
    <row r="1045923" spans="1:7" customHeight="1" ht="12.8"/>
    <row r="1045924" spans="1:7" customHeight="1" ht="12.8"/>
    <row r="1045925" spans="1:7" customHeight="1" ht="12.8"/>
    <row r="1045926" spans="1:7" customHeight="1" ht="12.8"/>
    <row r="1045927" spans="1:7" customHeight="1" ht="12.8"/>
    <row r="1045928" spans="1:7" customHeight="1" ht="12.8"/>
    <row r="1045929" spans="1:7" customHeight="1" ht="12.8"/>
    <row r="1045930" spans="1:7" customHeight="1" ht="12.8"/>
    <row r="1045931" spans="1:7" customHeight="1" ht="12.8"/>
    <row r="1045932" spans="1:7" customHeight="1" ht="12.8"/>
    <row r="1045933" spans="1:7" customHeight="1" ht="12.8"/>
    <row r="1045934" spans="1:7" customHeight="1" ht="12.8"/>
    <row r="1045935" spans="1:7" customHeight="1" ht="12.8"/>
    <row r="1045936" spans="1:7" customHeight="1" ht="12.8"/>
    <row r="1045937" spans="1:7" customHeight="1" ht="12.8"/>
    <row r="1045938" spans="1:7" customHeight="1" ht="12.8"/>
    <row r="1045939" spans="1:7" customHeight="1" ht="12.8"/>
    <row r="1045940" spans="1:7" customHeight="1" ht="12.8"/>
    <row r="1045941" spans="1:7" customHeight="1" ht="12.8"/>
    <row r="1045942" spans="1:7" customHeight="1" ht="12.8"/>
    <row r="1045943" spans="1:7" customHeight="1" ht="12.8"/>
    <row r="1045944" spans="1:7" customHeight="1" ht="12.8"/>
    <row r="1045945" spans="1:7" customHeight="1" ht="12.8"/>
    <row r="1045946" spans="1:7" customHeight="1" ht="12.8"/>
    <row r="1045947" spans="1:7" customHeight="1" ht="12.8"/>
    <row r="1045948" spans="1:7" customHeight="1" ht="12.8"/>
    <row r="1045949" spans="1:7" customHeight="1" ht="12.8"/>
    <row r="1045950" spans="1:7" customHeight="1" ht="12.8"/>
    <row r="1045951" spans="1:7" customHeight="1" ht="12.8"/>
    <row r="1045952" spans="1:7" customHeight="1" ht="12.8"/>
    <row r="1045953" spans="1:7" customHeight="1" ht="12.8"/>
    <row r="1045954" spans="1:7" customHeight="1" ht="12.8"/>
    <row r="1045955" spans="1:7" customHeight="1" ht="12.8"/>
    <row r="1045956" spans="1:7" customHeight="1" ht="12.8"/>
    <row r="1045957" spans="1:7" customHeight="1" ht="12.8"/>
    <row r="1045958" spans="1:7" customHeight="1" ht="12.8"/>
    <row r="1045959" spans="1:7" customHeight="1" ht="12.8"/>
    <row r="1045960" spans="1:7" customHeight="1" ht="12.8"/>
    <row r="1045961" spans="1:7" customHeight="1" ht="12.8"/>
    <row r="1045962" spans="1:7" customHeight="1" ht="12.8"/>
    <row r="1045963" spans="1:7" customHeight="1" ht="12.8"/>
    <row r="1045964" spans="1:7" customHeight="1" ht="12.8"/>
    <row r="1045965" spans="1:7" customHeight="1" ht="12.8"/>
    <row r="1045966" spans="1:7" customHeight="1" ht="12.8"/>
    <row r="1045967" spans="1:7" customHeight="1" ht="12.8"/>
    <row r="1045968" spans="1:7" customHeight="1" ht="12.8"/>
    <row r="1045969" spans="1:7" customHeight="1" ht="12.8"/>
    <row r="1045970" spans="1:7" customHeight="1" ht="12.8"/>
    <row r="1045971" spans="1:7" customHeight="1" ht="12.8"/>
    <row r="1045972" spans="1:7" customHeight="1" ht="12.8"/>
    <row r="1045973" spans="1:7" customHeight="1" ht="12.8"/>
    <row r="1045974" spans="1:7" customHeight="1" ht="12.8"/>
    <row r="1045975" spans="1:7" customHeight="1" ht="12.8"/>
    <row r="1045976" spans="1:7" customHeight="1" ht="12.8"/>
    <row r="1045977" spans="1:7" customHeight="1" ht="12.8"/>
    <row r="1045978" spans="1:7" customHeight="1" ht="12.8"/>
    <row r="1045979" spans="1:7" customHeight="1" ht="12.8"/>
    <row r="1045980" spans="1:7" customHeight="1" ht="12.8"/>
    <row r="1045981" spans="1:7" customHeight="1" ht="12.8"/>
    <row r="1045982" spans="1:7" customHeight="1" ht="12.8"/>
    <row r="1045983" spans="1:7" customHeight="1" ht="12.8"/>
    <row r="1045984" spans="1:7" customHeight="1" ht="12.8"/>
    <row r="1045985" spans="1:7" customHeight="1" ht="12.8"/>
    <row r="1045986" spans="1:7" customHeight="1" ht="12.8"/>
    <row r="1045987" spans="1:7" customHeight="1" ht="12.8"/>
    <row r="1045988" spans="1:7" customHeight="1" ht="12.8"/>
    <row r="1045989" spans="1:7" customHeight="1" ht="12.8"/>
    <row r="1045990" spans="1:7" customHeight="1" ht="12.8"/>
    <row r="1045991" spans="1:7" customHeight="1" ht="12.8"/>
    <row r="1045992" spans="1:7" customHeight="1" ht="12.8"/>
    <row r="1045993" spans="1:7" customHeight="1" ht="12.8"/>
    <row r="1045994" spans="1:7" customHeight="1" ht="12.8"/>
    <row r="1045995" spans="1:7" customHeight="1" ht="12.8"/>
    <row r="1045996" spans="1:7" customHeight="1" ht="12.8"/>
    <row r="1045997" spans="1:7" customHeight="1" ht="12.8"/>
    <row r="1045998" spans="1:7" customHeight="1" ht="12.8"/>
    <row r="1045999" spans="1:7" customHeight="1" ht="12.8"/>
    <row r="1046000" spans="1:7" customHeight="1" ht="12.8"/>
    <row r="1046001" spans="1:7" customHeight="1" ht="12.8"/>
    <row r="1046002" spans="1:7" customHeight="1" ht="12.8"/>
    <row r="1046003" spans="1:7" customHeight="1" ht="12.8"/>
    <row r="1046004" spans="1:7" customHeight="1" ht="12.8"/>
    <row r="1046005" spans="1:7" customHeight="1" ht="12.8"/>
    <row r="1046006" spans="1:7" customHeight="1" ht="12.8"/>
    <row r="1046007" spans="1:7" customHeight="1" ht="12.8"/>
    <row r="1046008" spans="1:7" customHeight="1" ht="12.8"/>
    <row r="1046009" spans="1:7" customHeight="1" ht="12.8"/>
    <row r="1046010" spans="1:7" customHeight="1" ht="12.8"/>
    <row r="1046011" spans="1:7" customHeight="1" ht="12.8"/>
    <row r="1046012" spans="1:7" customHeight="1" ht="12.8"/>
    <row r="1046013" spans="1:7" customHeight="1" ht="12.8"/>
    <row r="1046014" spans="1:7" customHeight="1" ht="12.8"/>
    <row r="1046015" spans="1:7" customHeight="1" ht="12.8"/>
    <row r="1046016" spans="1:7" customHeight="1" ht="12.8"/>
    <row r="1046017" spans="1:7" customHeight="1" ht="12.8"/>
    <row r="1046018" spans="1:7" customHeight="1" ht="12.8"/>
    <row r="1046019" spans="1:7" customHeight="1" ht="12.8"/>
    <row r="1046020" spans="1:7" customHeight="1" ht="12.8"/>
    <row r="1046021" spans="1:7" customHeight="1" ht="12.8"/>
    <row r="1046022" spans="1:7" customHeight="1" ht="12.8"/>
    <row r="1046023" spans="1:7" customHeight="1" ht="12.8"/>
    <row r="1046024" spans="1:7" customHeight="1" ht="12.8"/>
    <row r="1046025" spans="1:7" customHeight="1" ht="12.8"/>
    <row r="1046026" spans="1:7" customHeight="1" ht="12.8"/>
    <row r="1046027" spans="1:7" customHeight="1" ht="12.8"/>
    <row r="1046028" spans="1:7" customHeight="1" ht="12.8"/>
    <row r="1046029" spans="1:7" customHeight="1" ht="12.8"/>
    <row r="1046030" spans="1:7" customHeight="1" ht="12.8"/>
    <row r="1046031" spans="1:7" customHeight="1" ht="12.8"/>
    <row r="1046032" spans="1:7" customHeight="1" ht="12.8"/>
    <row r="1046033" spans="1:7" customHeight="1" ht="12.8"/>
    <row r="1046034" spans="1:7" customHeight="1" ht="12.8"/>
    <row r="1046035" spans="1:7" customHeight="1" ht="12.8"/>
    <row r="1046036" spans="1:7" customHeight="1" ht="12.8"/>
    <row r="1046037" spans="1:7" customHeight="1" ht="12.8"/>
    <row r="1046038" spans="1:7" customHeight="1" ht="12.8"/>
    <row r="1046039" spans="1:7" customHeight="1" ht="12.8"/>
    <row r="1046040" spans="1:7" customHeight="1" ht="12.8"/>
    <row r="1046041" spans="1:7" customHeight="1" ht="12.8"/>
    <row r="1046042" spans="1:7" customHeight="1" ht="12.8"/>
    <row r="1046043" spans="1:7" customHeight="1" ht="12.8"/>
    <row r="1046044" spans="1:7" customHeight="1" ht="12.8"/>
    <row r="1046045" spans="1:7" customHeight="1" ht="12.8"/>
    <row r="1046046" spans="1:7" customHeight="1" ht="12.8"/>
    <row r="1046047" spans="1:7" customHeight="1" ht="12.8"/>
    <row r="1046048" spans="1:7" customHeight="1" ht="12.8"/>
    <row r="1046049" spans="1:7" customHeight="1" ht="12.8"/>
    <row r="1046050" spans="1:7" customHeight="1" ht="12.8"/>
    <row r="1046051" spans="1:7" customHeight="1" ht="12.8"/>
    <row r="1046052" spans="1:7" customHeight="1" ht="12.8"/>
    <row r="1046053" spans="1:7" customHeight="1" ht="12.8"/>
    <row r="1046054" spans="1:7" customHeight="1" ht="12.8"/>
    <row r="1046055" spans="1:7" customHeight="1" ht="12.8"/>
    <row r="1046056" spans="1:7" customHeight="1" ht="12.8"/>
    <row r="1046057" spans="1:7" customHeight="1" ht="12.8"/>
    <row r="1046058" spans="1:7" customHeight="1" ht="12.8"/>
    <row r="1046059" spans="1:7" customHeight="1" ht="12.8"/>
    <row r="1046060" spans="1:7" customHeight="1" ht="12.8"/>
    <row r="1046061" spans="1:7" customHeight="1" ht="12.8"/>
    <row r="1046062" spans="1:7" customHeight="1" ht="12.8"/>
    <row r="1046063" spans="1:7" customHeight="1" ht="12.8"/>
    <row r="1046064" spans="1:7" customHeight="1" ht="12.8"/>
    <row r="1046065" spans="1:7" customHeight="1" ht="12.8"/>
    <row r="1046066" spans="1:7" customHeight="1" ht="12.8"/>
    <row r="1046067" spans="1:7" customHeight="1" ht="12.8"/>
    <row r="1046068" spans="1:7" customHeight="1" ht="12.8"/>
    <row r="1046069" spans="1:7" customHeight="1" ht="12.8"/>
    <row r="1046070" spans="1:7" customHeight="1" ht="12.8"/>
    <row r="1046071" spans="1:7" customHeight="1" ht="12.8"/>
    <row r="1046072" spans="1:7" customHeight="1" ht="12.8"/>
    <row r="1046073" spans="1:7" customHeight="1" ht="12.8"/>
    <row r="1046074" spans="1:7" customHeight="1" ht="12.8"/>
    <row r="1046075" spans="1:7" customHeight="1" ht="12.8"/>
    <row r="1046076" spans="1:7" customHeight="1" ht="12.8"/>
    <row r="1046077" spans="1:7" customHeight="1" ht="12.8"/>
    <row r="1046078" spans="1:7" customHeight="1" ht="12.8"/>
    <row r="1046079" spans="1:7" customHeight="1" ht="12.8"/>
    <row r="1046080" spans="1:7" customHeight="1" ht="12.8"/>
    <row r="1046081" spans="1:7" customHeight="1" ht="12.8"/>
    <row r="1046082" spans="1:7" customHeight="1" ht="12.8"/>
    <row r="1046083" spans="1:7" customHeight="1" ht="12.8"/>
    <row r="1046084" spans="1:7" customHeight="1" ht="12.8"/>
    <row r="1046085" spans="1:7" customHeight="1" ht="12.8"/>
    <row r="1046086" spans="1:7" customHeight="1" ht="12.8"/>
    <row r="1046087" spans="1:7" customHeight="1" ht="12.8"/>
    <row r="1046088" spans="1:7" customHeight="1" ht="12.8"/>
    <row r="1046089" spans="1:7" customHeight="1" ht="12.8"/>
    <row r="1046090" spans="1:7" customHeight="1" ht="12.8"/>
    <row r="1046091" spans="1:7" customHeight="1" ht="12.8"/>
    <row r="1046092" spans="1:7" customHeight="1" ht="12.8"/>
    <row r="1046093" spans="1:7" customHeight="1" ht="12.8"/>
    <row r="1046094" spans="1:7" customHeight="1" ht="12.8"/>
    <row r="1046095" spans="1:7" customHeight="1" ht="12.8"/>
    <row r="1046096" spans="1:7" customHeight="1" ht="12.8"/>
    <row r="1046097" spans="1:7" customHeight="1" ht="12.8"/>
    <row r="1046098" spans="1:7" customHeight="1" ht="12.8"/>
    <row r="1046099" spans="1:7" customHeight="1" ht="12.8"/>
    <row r="1046100" spans="1:7" customHeight="1" ht="12.8"/>
    <row r="1046101" spans="1:7" customHeight="1" ht="12.8"/>
    <row r="1046102" spans="1:7" customHeight="1" ht="12.8"/>
    <row r="1046103" spans="1:7" customHeight="1" ht="12.8"/>
    <row r="1046104" spans="1:7" customHeight="1" ht="12.8"/>
    <row r="1046105" spans="1:7" customHeight="1" ht="12.8"/>
    <row r="1046106" spans="1:7" customHeight="1" ht="12.8"/>
    <row r="1046107" spans="1:7" customHeight="1" ht="12.8"/>
    <row r="1046108" spans="1:7" customHeight="1" ht="12.8"/>
    <row r="1046109" spans="1:7" customHeight="1" ht="12.8"/>
    <row r="1046110" spans="1:7" customHeight="1" ht="12.8"/>
    <row r="1046111" spans="1:7" customHeight="1" ht="12.8"/>
    <row r="1046112" spans="1:7" customHeight="1" ht="12.8"/>
    <row r="1046113" spans="1:7" customHeight="1" ht="12.8"/>
    <row r="1046114" spans="1:7" customHeight="1" ht="12.8"/>
    <row r="1046115" spans="1:7" customHeight="1" ht="12.8"/>
    <row r="1046116" spans="1:7" customHeight="1" ht="12.8"/>
    <row r="1046117" spans="1:7" customHeight="1" ht="12.8"/>
    <row r="1046118" spans="1:7" customHeight="1" ht="12.8"/>
    <row r="1046119" spans="1:7" customHeight="1" ht="12.8"/>
    <row r="1046120" spans="1:7" customHeight="1" ht="12.8"/>
    <row r="1046121" spans="1:7" customHeight="1" ht="12.8"/>
    <row r="1046122" spans="1:7" customHeight="1" ht="12.8"/>
    <row r="1046123" spans="1:7" customHeight="1" ht="12.8"/>
    <row r="1046124" spans="1:7" customHeight="1" ht="12.8"/>
    <row r="1046125" spans="1:7" customHeight="1" ht="12.8"/>
    <row r="1046126" spans="1:7" customHeight="1" ht="12.8"/>
    <row r="1046127" spans="1:7" customHeight="1" ht="12.8"/>
    <row r="1046128" spans="1:7" customHeight="1" ht="12.8"/>
    <row r="1046129" spans="1:7" customHeight="1" ht="12.8"/>
    <row r="1046130" spans="1:7" customHeight="1" ht="12.8"/>
    <row r="1046131" spans="1:7" customHeight="1" ht="12.8"/>
    <row r="1046132" spans="1:7" customHeight="1" ht="12.8"/>
    <row r="1046133" spans="1:7" customHeight="1" ht="12.8"/>
    <row r="1046134" spans="1:7" customHeight="1" ht="12.8"/>
    <row r="1046135" spans="1:7" customHeight="1" ht="12.8"/>
    <row r="1046136" spans="1:7" customHeight="1" ht="12.8"/>
    <row r="1046137" spans="1:7" customHeight="1" ht="12.8"/>
    <row r="1046138" spans="1:7" customHeight="1" ht="12.8"/>
    <row r="1046139" spans="1:7" customHeight="1" ht="12.8"/>
    <row r="1046140" spans="1:7" customHeight="1" ht="12.8"/>
    <row r="1046141" spans="1:7" customHeight="1" ht="12.8"/>
    <row r="1046142" spans="1:7" customHeight="1" ht="12.8"/>
    <row r="1046143" spans="1:7" customHeight="1" ht="12.8"/>
    <row r="1046144" spans="1:7" customHeight="1" ht="12.8"/>
    <row r="1046145" spans="1:7" customHeight="1" ht="12.8"/>
    <row r="1046146" spans="1:7" customHeight="1" ht="12.8"/>
    <row r="1046147" spans="1:7" customHeight="1" ht="12.8"/>
    <row r="1046148" spans="1:7" customHeight="1" ht="12.8"/>
    <row r="1046149" spans="1:7" customHeight="1" ht="12.8"/>
    <row r="1046150" spans="1:7" customHeight="1" ht="12.8"/>
    <row r="1046151" spans="1:7" customHeight="1" ht="12.8"/>
    <row r="1046152" spans="1:7" customHeight="1" ht="12.8"/>
    <row r="1046153" spans="1:7" customHeight="1" ht="12.8"/>
    <row r="1046154" spans="1:7" customHeight="1" ht="12.8"/>
    <row r="1046155" spans="1:7" customHeight="1" ht="12.8"/>
    <row r="1046156" spans="1:7" customHeight="1" ht="12.8"/>
    <row r="1046157" spans="1:7" customHeight="1" ht="12.8"/>
    <row r="1046158" spans="1:7" customHeight="1" ht="12.8"/>
    <row r="1046159" spans="1:7" customHeight="1" ht="12.8"/>
    <row r="1046160" spans="1:7" customHeight="1" ht="12.8"/>
    <row r="1046161" spans="1:7" customHeight="1" ht="12.8"/>
    <row r="1046162" spans="1:7" customHeight="1" ht="12.8"/>
    <row r="1046163" spans="1:7" customHeight="1" ht="12.8"/>
    <row r="1046164" spans="1:7" customHeight="1" ht="12.8"/>
    <row r="1046165" spans="1:7" customHeight="1" ht="12.8"/>
    <row r="1046166" spans="1:7" customHeight="1" ht="12.8"/>
    <row r="1046167" spans="1:7" customHeight="1" ht="12.8"/>
    <row r="1046168" spans="1:7" customHeight="1" ht="12.8"/>
    <row r="1046169" spans="1:7" customHeight="1" ht="12.8"/>
    <row r="1046170" spans="1:7" customHeight="1" ht="12.8"/>
    <row r="1046171" spans="1:7" customHeight="1" ht="12.8"/>
    <row r="1046172" spans="1:7" customHeight="1" ht="12.8"/>
    <row r="1046173" spans="1:7" customHeight="1" ht="12.8"/>
    <row r="1046174" spans="1:7" customHeight="1" ht="12.8"/>
    <row r="1046175" spans="1:7" customHeight="1" ht="12.8"/>
    <row r="1046176" spans="1:7" customHeight="1" ht="12.8"/>
    <row r="1046177" spans="1:7" customHeight="1" ht="12.8"/>
    <row r="1046178" spans="1:7" customHeight="1" ht="12.8"/>
    <row r="1046179" spans="1:7" customHeight="1" ht="12.8"/>
    <row r="1046180" spans="1:7" customHeight="1" ht="12.8"/>
    <row r="1046181" spans="1:7" customHeight="1" ht="12.8"/>
    <row r="1046182" spans="1:7" customHeight="1" ht="12.8"/>
    <row r="1046183" spans="1:7" customHeight="1" ht="12.8"/>
    <row r="1046184" spans="1:7" customHeight="1" ht="12.8"/>
    <row r="1046185" spans="1:7" customHeight="1" ht="12.8"/>
    <row r="1046186" spans="1:7" customHeight="1" ht="12.8"/>
    <row r="1046187" spans="1:7" customHeight="1" ht="12.8"/>
    <row r="1046188" spans="1:7" customHeight="1" ht="12.8"/>
    <row r="1046189" spans="1:7" customHeight="1" ht="12.8"/>
    <row r="1046190" spans="1:7" customHeight="1" ht="12.8"/>
    <row r="1046191" spans="1:7" customHeight="1" ht="12.8"/>
    <row r="1046192" spans="1:7" customHeight="1" ht="12.8"/>
    <row r="1046193" spans="1:7" customHeight="1" ht="12.8"/>
    <row r="1046194" spans="1:7" customHeight="1" ht="12.8"/>
    <row r="1046195" spans="1:7" customHeight="1" ht="12.8"/>
    <row r="1046196" spans="1:7" customHeight="1" ht="12.8"/>
    <row r="1046197" spans="1:7" customHeight="1" ht="12.8"/>
    <row r="1046198" spans="1:7" customHeight="1" ht="12.8"/>
    <row r="1046199" spans="1:7" customHeight="1" ht="12.8"/>
    <row r="1046200" spans="1:7" customHeight="1" ht="12.8"/>
    <row r="1046201" spans="1:7" customHeight="1" ht="12.8"/>
    <row r="1046202" spans="1:7" customHeight="1" ht="12.8"/>
    <row r="1046203" spans="1:7" customHeight="1" ht="12.8"/>
    <row r="1046204" spans="1:7" customHeight="1" ht="12.8"/>
    <row r="1046205" spans="1:7" customHeight="1" ht="12.8"/>
    <row r="1046206" spans="1:7" customHeight="1" ht="12.8"/>
    <row r="1046207" spans="1:7" customHeight="1" ht="12.8"/>
    <row r="1046208" spans="1:7" customHeight="1" ht="12.8"/>
    <row r="1046209" spans="1:7" customHeight="1" ht="12.8"/>
    <row r="1046210" spans="1:7" customHeight="1" ht="12.8"/>
    <row r="1046211" spans="1:7" customHeight="1" ht="12.8"/>
    <row r="1046212" spans="1:7" customHeight="1" ht="12.8"/>
    <row r="1046213" spans="1:7" customHeight="1" ht="12.8"/>
    <row r="1046214" spans="1:7" customHeight="1" ht="12.8"/>
    <row r="1046215" spans="1:7" customHeight="1" ht="12.8"/>
    <row r="1046216" spans="1:7" customHeight="1" ht="12.8"/>
    <row r="1046217" spans="1:7" customHeight="1" ht="12.8"/>
    <row r="1046218" spans="1:7" customHeight="1" ht="12.8"/>
    <row r="1046219" spans="1:7" customHeight="1" ht="12.8"/>
    <row r="1046220" spans="1:7" customHeight="1" ht="12.8"/>
    <row r="1046221" spans="1:7" customHeight="1" ht="12.8"/>
    <row r="1046222" spans="1:7" customHeight="1" ht="12.8"/>
    <row r="1046223" spans="1:7" customHeight="1" ht="12.8"/>
    <row r="1046224" spans="1:7" customHeight="1" ht="12.8"/>
    <row r="1046225" spans="1:7" customHeight="1" ht="12.8"/>
    <row r="1046226" spans="1:7" customHeight="1" ht="12.8"/>
    <row r="1046227" spans="1:7" customHeight="1" ht="12.8"/>
    <row r="1046228" spans="1:7" customHeight="1" ht="12.8"/>
    <row r="1046229" spans="1:7" customHeight="1" ht="12.8"/>
    <row r="1046230" spans="1:7" customHeight="1" ht="12.8"/>
    <row r="1046231" spans="1:7" customHeight="1" ht="12.8"/>
    <row r="1046232" spans="1:7" customHeight="1" ht="12.8"/>
    <row r="1046233" spans="1:7" customHeight="1" ht="12.8"/>
    <row r="1046234" spans="1:7" customHeight="1" ht="12.8"/>
    <row r="1046235" spans="1:7" customHeight="1" ht="12.8"/>
    <row r="1046236" spans="1:7" customHeight="1" ht="12.8"/>
    <row r="1046237" spans="1:7" customHeight="1" ht="12.8"/>
    <row r="1046238" spans="1:7" customHeight="1" ht="12.8"/>
    <row r="1046239" spans="1:7" customHeight="1" ht="12.8"/>
    <row r="1046240" spans="1:7" customHeight="1" ht="12.8"/>
    <row r="1046241" spans="1:7" customHeight="1" ht="12.8"/>
    <row r="1046242" spans="1:7" customHeight="1" ht="12.8"/>
    <row r="1046243" spans="1:7" customHeight="1" ht="12.8"/>
    <row r="1046244" spans="1:7" customHeight="1" ht="12.8"/>
    <row r="1046245" spans="1:7" customHeight="1" ht="12.8"/>
    <row r="1046246" spans="1:7" customHeight="1" ht="12.8"/>
    <row r="1046247" spans="1:7" customHeight="1" ht="12.8"/>
    <row r="1046248" spans="1:7" customHeight="1" ht="12.8"/>
    <row r="1046249" spans="1:7" customHeight="1" ht="12.8"/>
    <row r="1046250" spans="1:7" customHeight="1" ht="12.8"/>
    <row r="1046251" spans="1:7" customHeight="1" ht="12.8"/>
    <row r="1046252" spans="1:7" customHeight="1" ht="12.8"/>
    <row r="1046253" spans="1:7" customHeight="1" ht="12.8"/>
    <row r="1046254" spans="1:7" customHeight="1" ht="12.8"/>
    <row r="1046255" spans="1:7" customHeight="1" ht="12.8"/>
    <row r="1046256" spans="1:7" customHeight="1" ht="12.8"/>
    <row r="1046257" spans="1:7" customHeight="1" ht="12.8"/>
    <row r="1046258" spans="1:7" customHeight="1" ht="12.8"/>
    <row r="1046259" spans="1:7" customHeight="1" ht="12.8"/>
    <row r="1046260" spans="1:7" customHeight="1" ht="12.8"/>
    <row r="1046261" spans="1:7" customHeight="1" ht="12.8"/>
    <row r="1046262" spans="1:7" customHeight="1" ht="12.8"/>
    <row r="1046263" spans="1:7" customHeight="1" ht="12.8"/>
    <row r="1046264" spans="1:7" customHeight="1" ht="12.8"/>
    <row r="1046265" spans="1:7" customHeight="1" ht="12.8"/>
    <row r="1046266" spans="1:7" customHeight="1" ht="12.8"/>
    <row r="1046267" spans="1:7" customHeight="1" ht="12.8"/>
    <row r="1046268" spans="1:7" customHeight="1" ht="12.8"/>
    <row r="1046269" spans="1:7" customHeight="1" ht="12.8"/>
    <row r="1046270" spans="1:7" customHeight="1" ht="12.8"/>
    <row r="1046271" spans="1:7" customHeight="1" ht="12.8"/>
    <row r="1046272" spans="1:7" customHeight="1" ht="12.8"/>
    <row r="1046273" spans="1:7" customHeight="1" ht="12.8"/>
    <row r="1046274" spans="1:7" customHeight="1" ht="12.8"/>
    <row r="1046275" spans="1:7" customHeight="1" ht="12.8"/>
    <row r="1046276" spans="1:7" customHeight="1" ht="12.8"/>
    <row r="1046277" spans="1:7" customHeight="1" ht="12.8"/>
    <row r="1046278" spans="1:7" customHeight="1" ht="12.8"/>
    <row r="1046279" spans="1:7" customHeight="1" ht="12.8"/>
    <row r="1046280" spans="1:7" customHeight="1" ht="12.8"/>
    <row r="1046281" spans="1:7" customHeight="1" ht="12.8"/>
    <row r="1046282" spans="1:7" customHeight="1" ht="12.8"/>
    <row r="1046283" spans="1:7" customHeight="1" ht="12.8"/>
    <row r="1046284" spans="1:7" customHeight="1" ht="12.8"/>
    <row r="1046285" spans="1:7" customHeight="1" ht="12.8"/>
    <row r="1046286" spans="1:7" customHeight="1" ht="12.8"/>
    <row r="1046287" spans="1:7" customHeight="1" ht="12.8"/>
    <row r="1046288" spans="1:7" customHeight="1" ht="12.8"/>
    <row r="1046289" spans="1:7" customHeight="1" ht="12.8"/>
    <row r="1046290" spans="1:7" customHeight="1" ht="12.8"/>
    <row r="1046291" spans="1:7" customHeight="1" ht="12.8"/>
    <row r="1046292" spans="1:7" customHeight="1" ht="12.8"/>
    <row r="1046293" spans="1:7" customHeight="1" ht="12.8"/>
    <row r="1046294" spans="1:7" customHeight="1" ht="12.8"/>
    <row r="1046295" spans="1:7" customHeight="1" ht="12.8"/>
    <row r="1046296" spans="1:7" customHeight="1" ht="12.8"/>
    <row r="1046297" spans="1:7" customHeight="1" ht="12.8"/>
    <row r="1046298" spans="1:7" customHeight="1" ht="12.8"/>
    <row r="1046299" spans="1:7" customHeight="1" ht="12.8"/>
    <row r="1046300" spans="1:7" customHeight="1" ht="12.8"/>
    <row r="1046301" spans="1:7" customHeight="1" ht="12.8"/>
    <row r="1046302" spans="1:7" customHeight="1" ht="12.8"/>
    <row r="1046303" spans="1:7" customHeight="1" ht="12.8"/>
    <row r="1046304" spans="1:7" customHeight="1" ht="12.8"/>
    <row r="1046305" spans="1:7" customHeight="1" ht="12.8"/>
    <row r="1046306" spans="1:7" customHeight="1" ht="12.8"/>
    <row r="1046307" spans="1:7" customHeight="1" ht="12.8"/>
    <row r="1046308" spans="1:7" customHeight="1" ht="12.8"/>
    <row r="1046309" spans="1:7" customHeight="1" ht="12.8"/>
    <row r="1046310" spans="1:7" customHeight="1" ht="12.8"/>
    <row r="1046311" spans="1:7" customHeight="1" ht="12.8"/>
    <row r="1046312" spans="1:7" customHeight="1" ht="12.8"/>
    <row r="1046313" spans="1:7" customHeight="1" ht="12.8"/>
    <row r="1046314" spans="1:7" customHeight="1" ht="12.8"/>
    <row r="1046315" spans="1:7" customHeight="1" ht="12.8"/>
    <row r="1046316" spans="1:7" customHeight="1" ht="12.8"/>
    <row r="1046317" spans="1:7" customHeight="1" ht="12.8"/>
    <row r="1046318" spans="1:7" customHeight="1" ht="12.8"/>
    <row r="1046319" spans="1:7" customHeight="1" ht="12.8"/>
    <row r="1046320" spans="1:7" customHeight="1" ht="12.8"/>
    <row r="1046321" spans="1:7" customHeight="1" ht="12.8"/>
    <row r="1046322" spans="1:7" customHeight="1" ht="12.8"/>
    <row r="1046323" spans="1:7" customHeight="1" ht="12.8"/>
    <row r="1046324" spans="1:7" customHeight="1" ht="12.8"/>
    <row r="1046325" spans="1:7" customHeight="1" ht="12.8"/>
    <row r="1046326" spans="1:7" customHeight="1" ht="12.8"/>
    <row r="1046327" spans="1:7" customHeight="1" ht="12.8"/>
    <row r="1046328" spans="1:7" customHeight="1" ht="12.8"/>
    <row r="1046329" spans="1:7" customHeight="1" ht="12.8"/>
    <row r="1046330" spans="1:7" customHeight="1" ht="12.8"/>
    <row r="1046331" spans="1:7" customHeight="1" ht="12.8"/>
    <row r="1046332" spans="1:7" customHeight="1" ht="12.8"/>
    <row r="1046333" spans="1:7" customHeight="1" ht="12.8"/>
    <row r="1046334" spans="1:7" customHeight="1" ht="12.8"/>
    <row r="1046335" spans="1:7" customHeight="1" ht="12.8"/>
    <row r="1046336" spans="1:7" customHeight="1" ht="12.8"/>
    <row r="1046337" spans="1:7" customHeight="1" ht="12.8"/>
    <row r="1046338" spans="1:7" customHeight="1" ht="12.8"/>
    <row r="1046339" spans="1:7" customHeight="1" ht="12.8"/>
    <row r="1046340" spans="1:7" customHeight="1" ht="12.8"/>
    <row r="1046341" spans="1:7" customHeight="1" ht="12.8"/>
    <row r="1046342" spans="1:7" customHeight="1" ht="12.8"/>
    <row r="1046343" spans="1:7" customHeight="1" ht="12.8"/>
    <row r="1046344" spans="1:7" customHeight="1" ht="12.8"/>
    <row r="1046345" spans="1:7" customHeight="1" ht="12.8"/>
    <row r="1046346" spans="1:7" customHeight="1" ht="12.8"/>
    <row r="1046347" spans="1:7" customHeight="1" ht="12.8"/>
    <row r="1046348" spans="1:7" customHeight="1" ht="12.8"/>
    <row r="1046349" spans="1:7" customHeight="1" ht="12.8"/>
    <row r="1046350" spans="1:7" customHeight="1" ht="12.8"/>
    <row r="1046351" spans="1:7" customHeight="1" ht="12.8"/>
    <row r="1046352" spans="1:7" customHeight="1" ht="12.8"/>
    <row r="1046353" spans="1:7" customHeight="1" ht="12.8"/>
    <row r="1046354" spans="1:7" customHeight="1" ht="12.8"/>
    <row r="1046355" spans="1:7" customHeight="1" ht="12.8"/>
    <row r="1046356" spans="1:7" customHeight="1" ht="12.8"/>
    <row r="1046357" spans="1:7" customHeight="1" ht="12.8"/>
    <row r="1046358" spans="1:7" customHeight="1" ht="12.8"/>
    <row r="1046359" spans="1:7" customHeight="1" ht="12.8"/>
    <row r="1046360" spans="1:7" customHeight="1" ht="12.8"/>
    <row r="1046361" spans="1:7" customHeight="1" ht="12.8"/>
    <row r="1046362" spans="1:7" customHeight="1" ht="12.8"/>
    <row r="1046363" spans="1:7" customHeight="1" ht="12.8"/>
    <row r="1046364" spans="1:7" customHeight="1" ht="12.8"/>
    <row r="1046365" spans="1:7" customHeight="1" ht="12.8"/>
    <row r="1046366" spans="1:7" customHeight="1" ht="12.8"/>
    <row r="1046367" spans="1:7" customHeight="1" ht="12.8"/>
    <row r="1046368" spans="1:7" customHeight="1" ht="12.8"/>
    <row r="1046369" spans="1:7" customHeight="1" ht="12.8"/>
    <row r="1046370" spans="1:7" customHeight="1" ht="12.8"/>
    <row r="1046371" spans="1:7" customHeight="1" ht="12.8"/>
    <row r="1046372" spans="1:7" customHeight="1" ht="12.8"/>
    <row r="1046373" spans="1:7" customHeight="1" ht="12.8"/>
    <row r="1046374" spans="1:7" customHeight="1" ht="12.8"/>
    <row r="1046375" spans="1:7" customHeight="1" ht="12.8"/>
    <row r="1046376" spans="1:7" customHeight="1" ht="12.8"/>
    <row r="1046377" spans="1:7" customHeight="1" ht="12.8"/>
    <row r="1046378" spans="1:7" customHeight="1" ht="12.8"/>
    <row r="1046379" spans="1:7" customHeight="1" ht="12.8"/>
    <row r="1046380" spans="1:7" customHeight="1" ht="12.8"/>
    <row r="1046381" spans="1:7" customHeight="1" ht="12.8"/>
    <row r="1046382" spans="1:7" customHeight="1" ht="12.8"/>
    <row r="1046383" spans="1:7" customHeight="1" ht="12.8"/>
    <row r="1046384" spans="1:7" customHeight="1" ht="12.8"/>
    <row r="1046385" spans="1:7" customHeight="1" ht="12.8"/>
    <row r="1046386" spans="1:7" customHeight="1" ht="12.8"/>
    <row r="1046387" spans="1:7" customHeight="1" ht="12.8"/>
    <row r="1046388" spans="1:7" customHeight="1" ht="12.8"/>
    <row r="1046389" spans="1:7" customHeight="1" ht="12.8"/>
    <row r="1046390" spans="1:7" customHeight="1" ht="12.8"/>
    <row r="1046391" spans="1:7" customHeight="1" ht="12.8"/>
    <row r="1046392" spans="1:7" customHeight="1" ht="12.8"/>
    <row r="1046393" spans="1:7" customHeight="1" ht="12.8"/>
    <row r="1046394" spans="1:7" customHeight="1" ht="12.8"/>
    <row r="1046395" spans="1:7" customHeight="1" ht="12.8"/>
    <row r="1046396" spans="1:7" customHeight="1" ht="12.8"/>
    <row r="1046397" spans="1:7" customHeight="1" ht="12.8"/>
    <row r="1046398" spans="1:7" customHeight="1" ht="12.8"/>
    <row r="1046399" spans="1:7" customHeight="1" ht="12.8"/>
    <row r="1046400" spans="1:7" customHeight="1" ht="12.8"/>
    <row r="1046401" spans="1:7" customHeight="1" ht="12.8"/>
    <row r="1046402" spans="1:7" customHeight="1" ht="12.8"/>
    <row r="1046403" spans="1:7" customHeight="1" ht="12.8"/>
    <row r="1046404" spans="1:7" customHeight="1" ht="12.8"/>
    <row r="1046405" spans="1:7" customHeight="1" ht="12.8"/>
    <row r="1046406" spans="1:7" customHeight="1" ht="12.8"/>
    <row r="1046407" spans="1:7" customHeight="1" ht="12.8"/>
    <row r="1046408" spans="1:7" customHeight="1" ht="12.8"/>
    <row r="1046409" spans="1:7" customHeight="1" ht="12.8"/>
    <row r="1046410" spans="1:7" customHeight="1" ht="12.8"/>
    <row r="1046411" spans="1:7" customHeight="1" ht="12.8"/>
    <row r="1046412" spans="1:7" customHeight="1" ht="12.8"/>
    <row r="1046413" spans="1:7" customHeight="1" ht="12.8"/>
    <row r="1046414" spans="1:7" customHeight="1" ht="12.8"/>
    <row r="1046415" spans="1:7" customHeight="1" ht="12.8"/>
    <row r="1046416" spans="1:7" customHeight="1" ht="12.8"/>
    <row r="1046417" spans="1:7" customHeight="1" ht="12.8"/>
    <row r="1046418" spans="1:7" customHeight="1" ht="12.8"/>
    <row r="1046419" spans="1:7" customHeight="1" ht="12.8"/>
    <row r="1046420" spans="1:7" customHeight="1" ht="12.8"/>
    <row r="1046421" spans="1:7" customHeight="1" ht="12.8"/>
    <row r="1046422" spans="1:7" customHeight="1" ht="12.8"/>
    <row r="1046423" spans="1:7" customHeight="1" ht="12.8"/>
    <row r="1046424" spans="1:7" customHeight="1" ht="12.8"/>
    <row r="1046425" spans="1:7" customHeight="1" ht="12.8"/>
    <row r="1046426" spans="1:7" customHeight="1" ht="12.8"/>
    <row r="1046427" spans="1:7" customHeight="1" ht="12.8"/>
    <row r="1046428" spans="1:7" customHeight="1" ht="12.8"/>
    <row r="1046429" spans="1:7" customHeight="1" ht="12.8"/>
    <row r="1046430" spans="1:7" customHeight="1" ht="12.8"/>
    <row r="1046431" spans="1:7" customHeight="1" ht="12.8"/>
    <row r="1046432" spans="1:7" customHeight="1" ht="12.8"/>
    <row r="1046433" spans="1:7" customHeight="1" ht="12.8"/>
    <row r="1046434" spans="1:7" customHeight="1" ht="12.8"/>
    <row r="1046435" spans="1:7" customHeight="1" ht="12.8"/>
    <row r="1046436" spans="1:7" customHeight="1" ht="12.8"/>
    <row r="1046437" spans="1:7" customHeight="1" ht="12.8"/>
    <row r="1046438" spans="1:7" customHeight="1" ht="12.8"/>
    <row r="1046439" spans="1:7" customHeight="1" ht="12.8"/>
    <row r="1046440" spans="1:7" customHeight="1" ht="12.8"/>
    <row r="1046441" spans="1:7" customHeight="1" ht="12.8"/>
    <row r="1046442" spans="1:7" customHeight="1" ht="12.8"/>
    <row r="1046443" spans="1:7" customHeight="1" ht="12.8"/>
    <row r="1046444" spans="1:7" customHeight="1" ht="12.8"/>
    <row r="1046445" spans="1:7" customHeight="1" ht="12.8"/>
    <row r="1046446" spans="1:7" customHeight="1" ht="12.8"/>
    <row r="1046447" spans="1:7" customHeight="1" ht="12.8"/>
    <row r="1046448" spans="1:7" customHeight="1" ht="12.8"/>
    <row r="1046449" spans="1:7" customHeight="1" ht="12.8"/>
    <row r="1046450" spans="1:7" customHeight="1" ht="12.8"/>
    <row r="1046451" spans="1:7" customHeight="1" ht="12.8"/>
    <row r="1046452" spans="1:7" customHeight="1" ht="12.8"/>
    <row r="1046453" spans="1:7" customHeight="1" ht="12.8"/>
    <row r="1046454" spans="1:7" customHeight="1" ht="12.8"/>
    <row r="1046455" spans="1:7" customHeight="1" ht="12.8"/>
    <row r="1046456" spans="1:7" customHeight="1" ht="12.8"/>
    <row r="1046457" spans="1:7" customHeight="1" ht="12.8"/>
    <row r="1046458" spans="1:7" customHeight="1" ht="12.8"/>
    <row r="1046459" spans="1:7" customHeight="1" ht="12.8"/>
    <row r="1046460" spans="1:7" customHeight="1" ht="12.8"/>
    <row r="1046461" spans="1:7" customHeight="1" ht="12.8"/>
    <row r="1046462" spans="1:7" customHeight="1" ht="12.8"/>
    <row r="1046463" spans="1:7" customHeight="1" ht="12.8"/>
    <row r="1046464" spans="1:7" customHeight="1" ht="12.8"/>
    <row r="1046465" spans="1:7" customHeight="1" ht="12.8"/>
    <row r="1046466" spans="1:7" customHeight="1" ht="12.8"/>
    <row r="1046467" spans="1:7" customHeight="1" ht="12.8"/>
    <row r="1046468" spans="1:7" customHeight="1" ht="12.8"/>
    <row r="1046469" spans="1:7" customHeight="1" ht="12.8"/>
    <row r="1046470" spans="1:7" customHeight="1" ht="12.8"/>
    <row r="1046471" spans="1:7" customHeight="1" ht="12.8"/>
    <row r="1046472" spans="1:7" customHeight="1" ht="12.8"/>
    <row r="1046473" spans="1:7" customHeight="1" ht="12.8"/>
    <row r="1046474" spans="1:7" customHeight="1" ht="12.8"/>
    <row r="1046475" spans="1:7" customHeight="1" ht="12.8"/>
    <row r="1046476" spans="1:7" customHeight="1" ht="12.8"/>
    <row r="1046477" spans="1:7" customHeight="1" ht="12.8"/>
    <row r="1046478" spans="1:7" customHeight="1" ht="12.8"/>
    <row r="1046479" spans="1:7" customHeight="1" ht="12.8"/>
    <row r="1046480" spans="1:7" customHeight="1" ht="12.8"/>
    <row r="1046481" spans="1:7" customHeight="1" ht="12.8"/>
    <row r="1046482" spans="1:7" customHeight="1" ht="12.8"/>
    <row r="1046483" spans="1:7" customHeight="1" ht="12.8"/>
    <row r="1046484" spans="1:7" customHeight="1" ht="12.8"/>
    <row r="1046485" spans="1:7" customHeight="1" ht="12.8"/>
    <row r="1046486" spans="1:7" customHeight="1" ht="12.8"/>
    <row r="1046487" spans="1:7" customHeight="1" ht="12.8"/>
    <row r="1046488" spans="1:7" customHeight="1" ht="12.8"/>
    <row r="1046489" spans="1:7" customHeight="1" ht="12.8"/>
    <row r="1046490" spans="1:7" customHeight="1" ht="12.8"/>
    <row r="1046491" spans="1:7" customHeight="1" ht="12.8"/>
    <row r="1046492" spans="1:7" customHeight="1" ht="12.8"/>
    <row r="1046493" spans="1:7" customHeight="1" ht="12.8"/>
    <row r="1046494" spans="1:7" customHeight="1" ht="12.8"/>
    <row r="1046495" spans="1:7" customHeight="1" ht="12.8"/>
    <row r="1046496" spans="1:7" customHeight="1" ht="12.8"/>
    <row r="1046497" spans="1:7" customHeight="1" ht="12.8"/>
    <row r="1046498" spans="1:7" customHeight="1" ht="12.8"/>
    <row r="1046499" spans="1:7" customHeight="1" ht="12.8"/>
    <row r="1046500" spans="1:7" customHeight="1" ht="12.8"/>
    <row r="1046501" spans="1:7" customHeight="1" ht="12.8"/>
    <row r="1046502" spans="1:7" customHeight="1" ht="12.8"/>
    <row r="1046503" spans="1:7" customHeight="1" ht="12.8"/>
    <row r="1046504" spans="1:7" customHeight="1" ht="12.8"/>
    <row r="1046505" spans="1:7" customHeight="1" ht="12.8"/>
    <row r="1046506" spans="1:7" customHeight="1" ht="12.8"/>
    <row r="1046507" spans="1:7" customHeight="1" ht="12.8"/>
    <row r="1046508" spans="1:7" customHeight="1" ht="12.8"/>
    <row r="1046509" spans="1:7" customHeight="1" ht="12.8"/>
    <row r="1046510" spans="1:7" customHeight="1" ht="12.8"/>
    <row r="1046511" spans="1:7" customHeight="1" ht="12.8"/>
    <row r="1046512" spans="1:7" customHeight="1" ht="12.8"/>
    <row r="1046513" spans="1:7" customHeight="1" ht="12.8"/>
    <row r="1046514" spans="1:7" customHeight="1" ht="12.8"/>
    <row r="1046515" spans="1:7" customHeight="1" ht="12.8"/>
    <row r="1046516" spans="1:7" customHeight="1" ht="12.8"/>
    <row r="1046517" spans="1:7" customHeight="1" ht="12.8"/>
    <row r="1046518" spans="1:7" customHeight="1" ht="12.8"/>
    <row r="1046519" spans="1:7" customHeight="1" ht="12.8"/>
    <row r="1046520" spans="1:7" customHeight="1" ht="12.8"/>
    <row r="1046521" spans="1:7" customHeight="1" ht="12.8"/>
    <row r="1046522" spans="1:7" customHeight="1" ht="12.8"/>
    <row r="1046523" spans="1:7" customHeight="1" ht="12.8"/>
    <row r="1046524" spans="1:7" customHeight="1" ht="12.8"/>
    <row r="1046525" spans="1:7" customHeight="1" ht="12.8"/>
    <row r="1046526" spans="1:7" customHeight="1" ht="12.8"/>
    <row r="1046527" spans="1:7" customHeight="1" ht="12.8"/>
    <row r="1046528" spans="1:7" customHeight="1" ht="12.8"/>
    <row r="1046529" spans="1:7" customHeight="1" ht="12.8"/>
    <row r="1046530" spans="1:7" customHeight="1" ht="12.8"/>
    <row r="1046531" spans="1:7" customHeight="1" ht="12.8"/>
    <row r="1046532" spans="1:7" customHeight="1" ht="12.8"/>
    <row r="1046533" spans="1:7" customHeight="1" ht="12.8"/>
    <row r="1046534" spans="1:7" customHeight="1" ht="12.8"/>
    <row r="1046535" spans="1:7" customHeight="1" ht="12.8"/>
    <row r="1046536" spans="1:7" customHeight="1" ht="12.8"/>
    <row r="1046537" spans="1:7" customHeight="1" ht="12.8"/>
    <row r="1046538" spans="1:7" customHeight="1" ht="12.8"/>
    <row r="1046539" spans="1:7" customHeight="1" ht="12.8"/>
    <row r="1046540" spans="1:7" customHeight="1" ht="12.8"/>
    <row r="1046541" spans="1:7" customHeight="1" ht="12.8"/>
    <row r="1046542" spans="1:7" customHeight="1" ht="12.8"/>
    <row r="1046543" spans="1:7" customHeight="1" ht="12.8"/>
    <row r="1046544" spans="1:7" customHeight="1" ht="12.8"/>
    <row r="1046545" spans="1:7" customHeight="1" ht="12.8"/>
    <row r="1046546" spans="1:7" customHeight="1" ht="12.8"/>
    <row r="1046547" spans="1:7" customHeight="1" ht="12.8"/>
    <row r="1046548" spans="1:7" customHeight="1" ht="12.8"/>
    <row r="1046549" spans="1:7" customHeight="1" ht="12.8"/>
    <row r="1046550" spans="1:7" customHeight="1" ht="12.8"/>
    <row r="1046551" spans="1:7" customHeight="1" ht="12.8"/>
    <row r="1046552" spans="1:7" customHeight="1" ht="12.8"/>
    <row r="1046553" spans="1:7" customHeight="1" ht="12.8"/>
    <row r="1046554" spans="1:7" customHeight="1" ht="12.8"/>
    <row r="1046555" spans="1:7" customHeight="1" ht="12.8"/>
    <row r="1046556" spans="1:7" customHeight="1" ht="12.8"/>
    <row r="1046557" spans="1:7" customHeight="1" ht="12.8"/>
    <row r="1046558" spans="1:7" customHeight="1" ht="12.8"/>
    <row r="1046559" spans="1:7" customHeight="1" ht="12.8"/>
    <row r="1046560" spans="1:7" customHeight="1" ht="12.8"/>
    <row r="1046561" spans="1:7" customHeight="1" ht="12.8"/>
    <row r="1046562" spans="1:7" customHeight="1" ht="12.8"/>
    <row r="1046563" spans="1:7" customHeight="1" ht="12.8"/>
    <row r="1046564" spans="1:7" customHeight="1" ht="12.8"/>
    <row r="1046565" spans="1:7" customHeight="1" ht="12.8"/>
    <row r="1046566" spans="1:7" customHeight="1" ht="12.8"/>
    <row r="1046567" spans="1:7" customHeight="1" ht="12.8"/>
    <row r="1046568" spans="1:7" customHeight="1" ht="12.8"/>
    <row r="1046569" spans="1:7" customHeight="1" ht="12.8"/>
    <row r="1046570" spans="1:7" customHeight="1" ht="12.8"/>
    <row r="1046571" spans="1:7" customHeight="1" ht="12.8"/>
    <row r="1046572" spans="1:7" customHeight="1" ht="12.8"/>
    <row r="1046573" spans="1:7" customHeight="1" ht="12.8"/>
    <row r="1046574" spans="1:7" customHeight="1" ht="12.8"/>
    <row r="1046575" spans="1:7" customHeight="1" ht="12.8"/>
    <row r="1046576" spans="1:7" customHeight="1" ht="12.8"/>
    <row r="1046577" spans="1:7" customHeight="1" ht="12.8"/>
    <row r="1046578" spans="1:7" customHeight="1" ht="12.8"/>
    <row r="1046579" spans="1:7" customHeight="1" ht="12.8"/>
    <row r="1046580" spans="1:7" customHeight="1" ht="12.8"/>
    <row r="1046581" spans="1:7" customHeight="1" ht="12.8"/>
    <row r="1046582" spans="1:7" customHeight="1" ht="12.8"/>
    <row r="1046583" spans="1:7" customHeight="1" ht="12.8"/>
    <row r="1046584" spans="1:7" customHeight="1" ht="12.8"/>
    <row r="1046585" spans="1:7" customHeight="1" ht="12.8"/>
    <row r="1046586" spans="1:7" customHeight="1" ht="12.8"/>
    <row r="1046587" spans="1:7" customHeight="1" ht="12.8"/>
    <row r="1046588" spans="1:7" customHeight="1" ht="12.8"/>
    <row r="1046589" spans="1:7" customHeight="1" ht="12.8"/>
    <row r="1046590" spans="1:7" customHeight="1" ht="12.8"/>
    <row r="1046591" spans="1:7" customHeight="1" ht="12.8"/>
    <row r="1046592" spans="1:7" customHeight="1" ht="12.8"/>
    <row r="1046593" spans="1:7" customHeight="1" ht="12.8"/>
    <row r="1046594" spans="1:7" customHeight="1" ht="12.8"/>
    <row r="1046595" spans="1:7" customHeight="1" ht="12.8"/>
    <row r="1046596" spans="1:7" customHeight="1" ht="12.8"/>
    <row r="1046597" spans="1:7" customHeight="1" ht="12.8"/>
    <row r="1046598" spans="1:7" customHeight="1" ht="12.8"/>
    <row r="1046599" spans="1:7" customHeight="1" ht="12.8"/>
    <row r="1046600" spans="1:7" customHeight="1" ht="12.8"/>
    <row r="1046601" spans="1:7" customHeight="1" ht="12.8"/>
    <row r="1046602" spans="1:7" customHeight="1" ht="12.8"/>
    <row r="1046603" spans="1:7" customHeight="1" ht="12.8"/>
    <row r="1046604" spans="1:7" customHeight="1" ht="12.8"/>
    <row r="1046605" spans="1:7" customHeight="1" ht="12.8"/>
    <row r="1046606" spans="1:7" customHeight="1" ht="12.8"/>
    <row r="1046607" spans="1:7" customHeight="1" ht="12.8"/>
    <row r="1046608" spans="1:7" customHeight="1" ht="12.8"/>
    <row r="1046609" spans="1:7" customHeight="1" ht="12.8"/>
    <row r="1046610" spans="1:7" customHeight="1" ht="12.8"/>
    <row r="1046611" spans="1:7" customHeight="1" ht="12.8"/>
    <row r="1046612" spans="1:7" customHeight="1" ht="12.8"/>
    <row r="1046613" spans="1:7" customHeight="1" ht="12.8"/>
    <row r="1046614" spans="1:7" customHeight="1" ht="12.8"/>
    <row r="1046615" spans="1:7" customHeight="1" ht="12.8"/>
    <row r="1046616" spans="1:7" customHeight="1" ht="12.8"/>
    <row r="1046617" spans="1:7" customHeight="1" ht="12.8"/>
    <row r="1046618" spans="1:7" customHeight="1" ht="12.8"/>
    <row r="1046619" spans="1:7" customHeight="1" ht="12.8"/>
    <row r="1046620" spans="1:7" customHeight="1" ht="12.8"/>
    <row r="1046621" spans="1:7" customHeight="1" ht="12.8"/>
    <row r="1046622" spans="1:7" customHeight="1" ht="12.8"/>
    <row r="1046623" spans="1:7" customHeight="1" ht="12.8"/>
    <row r="1046624" spans="1:7" customHeight="1" ht="12.8"/>
    <row r="1046625" spans="1:7" customHeight="1" ht="12.8"/>
    <row r="1046626" spans="1:7" customHeight="1" ht="12.8"/>
    <row r="1046627" spans="1:7" customHeight="1" ht="12.8"/>
    <row r="1046628" spans="1:7" customHeight="1" ht="12.8"/>
    <row r="1046629" spans="1:7" customHeight="1" ht="12.8"/>
    <row r="1046630" spans="1:7" customHeight="1" ht="12.8"/>
    <row r="1046631" spans="1:7" customHeight="1" ht="12.8"/>
    <row r="1046632" spans="1:7" customHeight="1" ht="12.8"/>
    <row r="1046633" spans="1:7" customHeight="1" ht="12.8"/>
    <row r="1046634" spans="1:7" customHeight="1" ht="12.8"/>
    <row r="1046635" spans="1:7" customHeight="1" ht="12.8"/>
    <row r="1046636" spans="1:7" customHeight="1" ht="12.8"/>
    <row r="1046637" spans="1:7" customHeight="1" ht="12.8"/>
    <row r="1046638" spans="1:7" customHeight="1" ht="12.8"/>
    <row r="1046639" spans="1:7" customHeight="1" ht="12.8"/>
    <row r="1046640" spans="1:7" customHeight="1" ht="12.8"/>
    <row r="1046641" spans="1:7" customHeight="1" ht="12.8"/>
    <row r="1046642" spans="1:7" customHeight="1" ht="12.8"/>
    <row r="1046643" spans="1:7" customHeight="1" ht="12.8"/>
    <row r="1046644" spans="1:7" customHeight="1" ht="12.8"/>
    <row r="1046645" spans="1:7" customHeight="1" ht="12.8"/>
    <row r="1046646" spans="1:7" customHeight="1" ht="12.8"/>
    <row r="1046647" spans="1:7" customHeight="1" ht="12.8"/>
    <row r="1046648" spans="1:7" customHeight="1" ht="12.8"/>
    <row r="1046649" spans="1:7" customHeight="1" ht="12.8"/>
    <row r="1046650" spans="1:7" customHeight="1" ht="12.8"/>
    <row r="1046651" spans="1:7" customHeight="1" ht="12.8"/>
    <row r="1046652" spans="1:7" customHeight="1" ht="12.8"/>
    <row r="1046653" spans="1:7" customHeight="1" ht="12.8"/>
    <row r="1046654" spans="1:7" customHeight="1" ht="12.8"/>
    <row r="1046655" spans="1:7" customHeight="1" ht="12.8"/>
    <row r="1046656" spans="1:7" customHeight="1" ht="12.8"/>
    <row r="1046657" spans="1:7" customHeight="1" ht="12.8"/>
    <row r="1046658" spans="1:7" customHeight="1" ht="12.8"/>
    <row r="1046659" spans="1:7" customHeight="1" ht="12.8"/>
    <row r="1046660" spans="1:7" customHeight="1" ht="12.8"/>
    <row r="1046661" spans="1:7" customHeight="1" ht="12.8"/>
    <row r="1046662" spans="1:7" customHeight="1" ht="12.8"/>
    <row r="1046663" spans="1:7" customHeight="1" ht="12.8"/>
    <row r="1046664" spans="1:7" customHeight="1" ht="12.8"/>
    <row r="1046665" spans="1:7" customHeight="1" ht="12.8"/>
    <row r="1046666" spans="1:7" customHeight="1" ht="12.8"/>
    <row r="1046667" spans="1:7" customHeight="1" ht="12.8"/>
    <row r="1046668" spans="1:7" customHeight="1" ht="12.8"/>
    <row r="1046669" spans="1:7" customHeight="1" ht="12.8"/>
    <row r="1046670" spans="1:7" customHeight="1" ht="12.8"/>
    <row r="1046671" spans="1:7" customHeight="1" ht="12.8"/>
    <row r="1046672" spans="1:7" customHeight="1" ht="12.8"/>
    <row r="1046673" spans="1:7" customHeight="1" ht="12.8"/>
    <row r="1046674" spans="1:7" customHeight="1" ht="12.8"/>
    <row r="1046675" spans="1:7" customHeight="1" ht="12.8"/>
    <row r="1046676" spans="1:7" customHeight="1" ht="12.8"/>
    <row r="1046677" spans="1:7" customHeight="1" ht="12.8"/>
    <row r="1046678" spans="1:7" customHeight="1" ht="12.8"/>
    <row r="1046679" spans="1:7" customHeight="1" ht="12.8"/>
    <row r="1046680" spans="1:7" customHeight="1" ht="12.8"/>
    <row r="1046681" spans="1:7" customHeight="1" ht="12.8"/>
    <row r="1046682" spans="1:7" customHeight="1" ht="12.8"/>
    <row r="1046683" spans="1:7" customHeight="1" ht="12.8"/>
    <row r="1046684" spans="1:7" customHeight="1" ht="12.8"/>
    <row r="1046685" spans="1:7" customHeight="1" ht="12.8"/>
    <row r="1046686" spans="1:7" customHeight="1" ht="12.8"/>
    <row r="1046687" spans="1:7" customHeight="1" ht="12.8"/>
    <row r="1046688" spans="1:7" customHeight="1" ht="12.8"/>
    <row r="1046689" spans="1:7" customHeight="1" ht="12.8"/>
    <row r="1046690" spans="1:7" customHeight="1" ht="12.8"/>
    <row r="1046691" spans="1:7" customHeight="1" ht="12.8"/>
    <row r="1046692" spans="1:7" customHeight="1" ht="12.8"/>
    <row r="1046693" spans="1:7" customHeight="1" ht="12.8"/>
    <row r="1046694" spans="1:7" customHeight="1" ht="12.8"/>
    <row r="1046695" spans="1:7" customHeight="1" ht="12.8"/>
    <row r="1046696" spans="1:7" customHeight="1" ht="12.8"/>
    <row r="1046697" spans="1:7" customHeight="1" ht="12.8"/>
    <row r="1046698" spans="1:7" customHeight="1" ht="12.8"/>
    <row r="1046699" spans="1:7" customHeight="1" ht="12.8"/>
    <row r="1046700" spans="1:7" customHeight="1" ht="12.8"/>
    <row r="1046701" spans="1:7" customHeight="1" ht="12.8"/>
    <row r="1046702" spans="1:7" customHeight="1" ht="12.8"/>
    <row r="1046703" spans="1:7" customHeight="1" ht="12.8"/>
    <row r="1046704" spans="1:7" customHeight="1" ht="12.8"/>
    <row r="1046705" spans="1:7" customHeight="1" ht="12.8"/>
    <row r="1046706" spans="1:7" customHeight="1" ht="12.8"/>
    <row r="1046707" spans="1:7" customHeight="1" ht="12.8"/>
    <row r="1046708" spans="1:7" customHeight="1" ht="12.8"/>
    <row r="1046709" spans="1:7" customHeight="1" ht="12.8"/>
    <row r="1046710" spans="1:7" customHeight="1" ht="12.8"/>
    <row r="1046711" spans="1:7" customHeight="1" ht="12.8"/>
    <row r="1046712" spans="1:7" customHeight="1" ht="12.8"/>
    <row r="1046713" spans="1:7" customHeight="1" ht="12.8"/>
    <row r="1046714" spans="1:7" customHeight="1" ht="12.8"/>
    <row r="1046715" spans="1:7" customHeight="1" ht="12.8"/>
    <row r="1046716" spans="1:7" customHeight="1" ht="12.8"/>
    <row r="1046717" spans="1:7" customHeight="1" ht="12.8"/>
    <row r="1046718" spans="1:7" customHeight="1" ht="12.8"/>
    <row r="1046719" spans="1:7" customHeight="1" ht="12.8"/>
    <row r="1046720" spans="1:7" customHeight="1" ht="12.8"/>
    <row r="1046721" spans="1:7" customHeight="1" ht="12.8"/>
    <row r="1046722" spans="1:7" customHeight="1" ht="12.8"/>
    <row r="1046723" spans="1:7" customHeight="1" ht="12.8"/>
    <row r="1046724" spans="1:7" customHeight="1" ht="12.8"/>
    <row r="1046725" spans="1:7" customHeight="1" ht="12.8"/>
    <row r="1046726" spans="1:7" customHeight="1" ht="12.8"/>
    <row r="1046727" spans="1:7" customHeight="1" ht="12.8"/>
    <row r="1046728" spans="1:7" customHeight="1" ht="12.8"/>
    <row r="1046729" spans="1:7" customHeight="1" ht="12.8"/>
    <row r="1046730" spans="1:7" customHeight="1" ht="12.8"/>
    <row r="1046731" spans="1:7" customHeight="1" ht="12.8"/>
    <row r="1046732" spans="1:7" customHeight="1" ht="12.8"/>
    <row r="1046733" spans="1:7" customHeight="1" ht="12.8"/>
    <row r="1046734" spans="1:7" customHeight="1" ht="12.8"/>
    <row r="1046735" spans="1:7" customHeight="1" ht="12.8"/>
    <row r="1046736" spans="1:7" customHeight="1" ht="12.8"/>
    <row r="1046737" spans="1:7" customHeight="1" ht="12.8"/>
    <row r="1046738" spans="1:7" customHeight="1" ht="12.8"/>
    <row r="1046739" spans="1:7" customHeight="1" ht="12.8"/>
    <row r="1046740" spans="1:7" customHeight="1" ht="12.8"/>
    <row r="1046741" spans="1:7" customHeight="1" ht="12.8"/>
    <row r="1046742" spans="1:7" customHeight="1" ht="12.8"/>
    <row r="1046743" spans="1:7" customHeight="1" ht="12.8"/>
    <row r="1046744" spans="1:7" customHeight="1" ht="12.8"/>
    <row r="1046745" spans="1:7" customHeight="1" ht="12.8"/>
    <row r="1046746" spans="1:7" customHeight="1" ht="12.8"/>
    <row r="1046747" spans="1:7" customHeight="1" ht="12.8"/>
    <row r="1046748" spans="1:7" customHeight="1" ht="12.8"/>
    <row r="1046749" spans="1:7" customHeight="1" ht="12.8"/>
    <row r="1046750" spans="1:7" customHeight="1" ht="12.8"/>
    <row r="1046751" spans="1:7" customHeight="1" ht="12.8"/>
    <row r="1046752" spans="1:7" customHeight="1" ht="12.8"/>
    <row r="1046753" spans="1:7" customHeight="1" ht="12.8"/>
    <row r="1046754" spans="1:7" customHeight="1" ht="12.8"/>
    <row r="1046755" spans="1:7" customHeight="1" ht="12.8"/>
    <row r="1046756" spans="1:7" customHeight="1" ht="12.8"/>
    <row r="1046757" spans="1:7" customHeight="1" ht="12.8"/>
    <row r="1046758" spans="1:7" customHeight="1" ht="12.8"/>
    <row r="1046759" spans="1:7" customHeight="1" ht="12.8"/>
    <row r="1046760" spans="1:7" customHeight="1" ht="12.8"/>
    <row r="1046761" spans="1:7" customHeight="1" ht="12.8"/>
    <row r="1046762" spans="1:7" customHeight="1" ht="12.8"/>
    <row r="1046763" spans="1:7" customHeight="1" ht="12.8"/>
    <row r="1046764" spans="1:7" customHeight="1" ht="12.8"/>
    <row r="1046765" spans="1:7" customHeight="1" ht="12.8"/>
    <row r="1046766" spans="1:7" customHeight="1" ht="12.8"/>
    <row r="1046767" spans="1:7" customHeight="1" ht="12.8"/>
    <row r="1046768" spans="1:7" customHeight="1" ht="12.8"/>
    <row r="1046769" spans="1:7" customHeight="1" ht="12.8"/>
    <row r="1046770" spans="1:7" customHeight="1" ht="12.8"/>
    <row r="1046771" spans="1:7" customHeight="1" ht="12.8"/>
    <row r="1046772" spans="1:7" customHeight="1" ht="12.8"/>
    <row r="1046773" spans="1:7" customHeight="1" ht="12.8"/>
    <row r="1046774" spans="1:7" customHeight="1" ht="12.8"/>
    <row r="1046775" spans="1:7" customHeight="1" ht="12.8"/>
    <row r="1046776" spans="1:7" customHeight="1" ht="12.8"/>
    <row r="1046777" spans="1:7" customHeight="1" ht="12.8"/>
    <row r="1046778" spans="1:7" customHeight="1" ht="12.8"/>
    <row r="1046779" spans="1:7" customHeight="1" ht="12.8"/>
    <row r="1046780" spans="1:7" customHeight="1" ht="12.8"/>
    <row r="1046781" spans="1:7" customHeight="1" ht="12.8"/>
    <row r="1046782" spans="1:7" customHeight="1" ht="12.8"/>
    <row r="1046783" spans="1:7" customHeight="1" ht="12.8"/>
    <row r="1046784" spans="1:7" customHeight="1" ht="12.8"/>
    <row r="1046785" spans="1:7" customHeight="1" ht="12.8"/>
    <row r="1046786" spans="1:7" customHeight="1" ht="12.8"/>
    <row r="1046787" spans="1:7" customHeight="1" ht="12.8"/>
    <row r="1046788" spans="1:7" customHeight="1" ht="12.8"/>
    <row r="1046789" spans="1:7" customHeight="1" ht="12.8"/>
    <row r="1046790" spans="1:7" customHeight="1" ht="12.8"/>
    <row r="1046791" spans="1:7" customHeight="1" ht="12.8"/>
    <row r="1046792" spans="1:7" customHeight="1" ht="12.8"/>
    <row r="1046793" spans="1:7" customHeight="1" ht="12.8"/>
    <row r="1046794" spans="1:7" customHeight="1" ht="12.8"/>
    <row r="1046795" spans="1:7" customHeight="1" ht="12.8"/>
    <row r="1046796" spans="1:7" customHeight="1" ht="12.8"/>
    <row r="1046797" spans="1:7" customHeight="1" ht="12.8"/>
    <row r="1046798" spans="1:7" customHeight="1" ht="12.8"/>
    <row r="1046799" spans="1:7" customHeight="1" ht="12.8"/>
    <row r="1046800" spans="1:7" customHeight="1" ht="12.8"/>
    <row r="1046801" spans="1:7" customHeight="1" ht="12.8"/>
    <row r="1046802" spans="1:7" customHeight="1" ht="12.8"/>
    <row r="1046803" spans="1:7" customHeight="1" ht="12.8"/>
    <row r="1046804" spans="1:7" customHeight="1" ht="12.8"/>
    <row r="1046805" spans="1:7" customHeight="1" ht="12.8"/>
    <row r="1046806" spans="1:7" customHeight="1" ht="12.8"/>
    <row r="1046807" spans="1:7" customHeight="1" ht="12.8"/>
    <row r="1046808" spans="1:7" customHeight="1" ht="12.8"/>
    <row r="1046809" spans="1:7" customHeight="1" ht="12.8"/>
    <row r="1046810" spans="1:7" customHeight="1" ht="12.8"/>
    <row r="1046811" spans="1:7" customHeight="1" ht="12.8"/>
    <row r="1046812" spans="1:7" customHeight="1" ht="12.8"/>
    <row r="1046813" spans="1:7" customHeight="1" ht="12.8"/>
    <row r="1046814" spans="1:7" customHeight="1" ht="12.8"/>
    <row r="1046815" spans="1:7" customHeight="1" ht="12.8"/>
    <row r="1046816" spans="1:7" customHeight="1" ht="12.8"/>
    <row r="1046817" spans="1:7" customHeight="1" ht="12.8"/>
    <row r="1046818" spans="1:7" customHeight="1" ht="12.8"/>
    <row r="1046819" spans="1:7" customHeight="1" ht="12.8"/>
    <row r="1046820" spans="1:7" customHeight="1" ht="12.8"/>
    <row r="1046821" spans="1:7" customHeight="1" ht="12.8"/>
    <row r="1046822" spans="1:7" customHeight="1" ht="12.8"/>
    <row r="1046823" spans="1:7" customHeight="1" ht="12.8"/>
    <row r="1046824" spans="1:7" customHeight="1" ht="12.8"/>
    <row r="1046825" spans="1:7" customHeight="1" ht="12.8"/>
    <row r="1046826" spans="1:7" customHeight="1" ht="12.8"/>
    <row r="1046827" spans="1:7" customHeight="1" ht="12.8"/>
    <row r="1046828" spans="1:7" customHeight="1" ht="12.8"/>
    <row r="1046829" spans="1:7" customHeight="1" ht="12.8"/>
    <row r="1046830" spans="1:7" customHeight="1" ht="12.8"/>
    <row r="1046831" spans="1:7" customHeight="1" ht="12.8"/>
    <row r="1046832" spans="1:7" customHeight="1" ht="12.8"/>
    <row r="1046833" spans="1:7" customHeight="1" ht="12.8"/>
    <row r="1046834" spans="1:7" customHeight="1" ht="12.8"/>
    <row r="1046835" spans="1:7" customHeight="1" ht="12.8"/>
    <row r="1046836" spans="1:7" customHeight="1" ht="12.8"/>
    <row r="1046837" spans="1:7" customHeight="1" ht="12.8"/>
    <row r="1046838" spans="1:7" customHeight="1" ht="12.8"/>
    <row r="1046839" spans="1:7" customHeight="1" ht="12.8"/>
    <row r="1046840" spans="1:7" customHeight="1" ht="12.8"/>
    <row r="1046841" spans="1:7" customHeight="1" ht="12.8"/>
    <row r="1046842" spans="1:7" customHeight="1" ht="12.8"/>
    <row r="1046843" spans="1:7" customHeight="1" ht="12.8"/>
    <row r="1046844" spans="1:7" customHeight="1" ht="12.8"/>
    <row r="1046845" spans="1:7" customHeight="1" ht="12.8"/>
    <row r="1046846" spans="1:7" customHeight="1" ht="12.8"/>
    <row r="1046847" spans="1:7" customHeight="1" ht="12.8"/>
    <row r="1046848" spans="1:7" customHeight="1" ht="12.8"/>
    <row r="1046849" spans="1:7" customHeight="1" ht="12.8"/>
    <row r="1046850" spans="1:7" customHeight="1" ht="12.8"/>
    <row r="1046851" spans="1:7" customHeight="1" ht="12.8"/>
    <row r="1046852" spans="1:7" customHeight="1" ht="12.8"/>
    <row r="1046853" spans="1:7" customHeight="1" ht="12.8"/>
    <row r="1046854" spans="1:7" customHeight="1" ht="12.8"/>
    <row r="1046855" spans="1:7" customHeight="1" ht="12.8"/>
    <row r="1046856" spans="1:7" customHeight="1" ht="12.8"/>
    <row r="1046857" spans="1:7" customHeight="1" ht="12.8"/>
    <row r="1046858" spans="1:7" customHeight="1" ht="12.8"/>
    <row r="1046859" spans="1:7" customHeight="1" ht="12.8"/>
    <row r="1046860" spans="1:7" customHeight="1" ht="12.8"/>
    <row r="1046861" spans="1:7" customHeight="1" ht="12.8"/>
    <row r="1046862" spans="1:7" customHeight="1" ht="12.8"/>
    <row r="1046863" spans="1:7" customHeight="1" ht="12.8"/>
    <row r="1046864" spans="1:7" customHeight="1" ht="12.8"/>
    <row r="1046865" spans="1:7" customHeight="1" ht="12.8"/>
    <row r="1046866" spans="1:7" customHeight="1" ht="12.8"/>
    <row r="1046867" spans="1:7" customHeight="1" ht="12.8"/>
    <row r="1046868" spans="1:7" customHeight="1" ht="12.8"/>
    <row r="1046869" spans="1:7" customHeight="1" ht="12.8"/>
    <row r="1046870" spans="1:7" customHeight="1" ht="12.8"/>
    <row r="1046871" spans="1:7" customHeight="1" ht="12.8"/>
    <row r="1046872" spans="1:7" customHeight="1" ht="12.8"/>
    <row r="1046873" spans="1:7" customHeight="1" ht="12.8"/>
    <row r="1046874" spans="1:7" customHeight="1" ht="12.8"/>
    <row r="1046875" spans="1:7" customHeight="1" ht="12.8"/>
    <row r="1046876" spans="1:7" customHeight="1" ht="12.8"/>
    <row r="1046877" spans="1:7" customHeight="1" ht="12.8"/>
    <row r="1046878" spans="1:7" customHeight="1" ht="12.8"/>
    <row r="1046879" spans="1:7" customHeight="1" ht="12.8"/>
    <row r="1046880" spans="1:7" customHeight="1" ht="12.8"/>
    <row r="1046881" spans="1:7" customHeight="1" ht="12.8"/>
    <row r="1046882" spans="1:7" customHeight="1" ht="12.8"/>
    <row r="1046883" spans="1:7" customHeight="1" ht="12.8"/>
    <row r="1046884" spans="1:7" customHeight="1" ht="12.8"/>
    <row r="1046885" spans="1:7" customHeight="1" ht="12.8"/>
    <row r="1046886" spans="1:7" customHeight="1" ht="12.8"/>
    <row r="1046887" spans="1:7" customHeight="1" ht="12.8"/>
    <row r="1046888" spans="1:7" customHeight="1" ht="12.8"/>
    <row r="1046889" spans="1:7" customHeight="1" ht="12.8"/>
    <row r="1046890" spans="1:7" customHeight="1" ht="12.8"/>
    <row r="1046891" spans="1:7" customHeight="1" ht="12.8"/>
    <row r="1046892" spans="1:7" customHeight="1" ht="12.8"/>
    <row r="1046893" spans="1:7" customHeight="1" ht="12.8"/>
    <row r="1046894" spans="1:7" customHeight="1" ht="12.8"/>
    <row r="1046895" spans="1:7" customHeight="1" ht="12.8"/>
    <row r="1046896" spans="1:7" customHeight="1" ht="12.8"/>
    <row r="1046897" spans="1:7" customHeight="1" ht="12.8"/>
    <row r="1046898" spans="1:7" customHeight="1" ht="12.8"/>
    <row r="1046899" spans="1:7" customHeight="1" ht="12.8"/>
    <row r="1046900" spans="1:7" customHeight="1" ht="12.8"/>
    <row r="1046901" spans="1:7" customHeight="1" ht="12.8"/>
    <row r="1046902" spans="1:7" customHeight="1" ht="12.8"/>
    <row r="1046903" spans="1:7" customHeight="1" ht="12.8"/>
    <row r="1046904" spans="1:7" customHeight="1" ht="12.8"/>
    <row r="1046905" spans="1:7" customHeight="1" ht="12.8"/>
    <row r="1046906" spans="1:7" customHeight="1" ht="12.8"/>
    <row r="1046907" spans="1:7" customHeight="1" ht="12.8"/>
    <row r="1046908" spans="1:7" customHeight="1" ht="12.8"/>
    <row r="1046909" spans="1:7" customHeight="1" ht="12.8"/>
    <row r="1046910" spans="1:7" customHeight="1" ht="12.8"/>
    <row r="1046911" spans="1:7" customHeight="1" ht="12.8"/>
    <row r="1046912" spans="1:7" customHeight="1" ht="12.8"/>
    <row r="1046913" spans="1:7" customHeight="1" ht="12.8"/>
    <row r="1046914" spans="1:7" customHeight="1" ht="12.8"/>
    <row r="1046915" spans="1:7" customHeight="1" ht="12.8"/>
    <row r="1046916" spans="1:7" customHeight="1" ht="12.8"/>
    <row r="1046917" spans="1:7" customHeight="1" ht="12.8"/>
    <row r="1046918" spans="1:7" customHeight="1" ht="12.8"/>
    <row r="1046919" spans="1:7" customHeight="1" ht="12.8"/>
    <row r="1046920" spans="1:7" customHeight="1" ht="12.8"/>
    <row r="1046921" spans="1:7" customHeight="1" ht="12.8"/>
    <row r="1046922" spans="1:7" customHeight="1" ht="12.8"/>
    <row r="1046923" spans="1:7" customHeight="1" ht="12.8"/>
    <row r="1046924" spans="1:7" customHeight="1" ht="12.8"/>
    <row r="1046925" spans="1:7" customHeight="1" ht="12.8"/>
    <row r="1046926" spans="1:7" customHeight="1" ht="12.8"/>
    <row r="1046927" spans="1:7" customHeight="1" ht="12.8"/>
    <row r="1046928" spans="1:7" customHeight="1" ht="12.8"/>
    <row r="1046929" spans="1:7" customHeight="1" ht="12.8"/>
    <row r="1046930" spans="1:7" customHeight="1" ht="12.8"/>
    <row r="1046931" spans="1:7" customHeight="1" ht="12.8"/>
    <row r="1046932" spans="1:7" customHeight="1" ht="12.8"/>
    <row r="1046933" spans="1:7" customHeight="1" ht="12.8"/>
    <row r="1046934" spans="1:7" customHeight="1" ht="12.8"/>
    <row r="1046935" spans="1:7" customHeight="1" ht="12.8"/>
    <row r="1046936" spans="1:7" customHeight="1" ht="12.8"/>
    <row r="1046937" spans="1:7" customHeight="1" ht="12.8"/>
    <row r="1046938" spans="1:7" customHeight="1" ht="12.8"/>
    <row r="1046939" spans="1:7" customHeight="1" ht="12.8"/>
    <row r="1046940" spans="1:7" customHeight="1" ht="12.8"/>
    <row r="1046941" spans="1:7" customHeight="1" ht="12.8"/>
    <row r="1046942" spans="1:7" customHeight="1" ht="12.8"/>
    <row r="1046943" spans="1:7" customHeight="1" ht="12.8"/>
    <row r="1046944" spans="1:7" customHeight="1" ht="12.8"/>
    <row r="1046945" spans="1:7" customHeight="1" ht="12.8"/>
    <row r="1046946" spans="1:7" customHeight="1" ht="12.8"/>
    <row r="1046947" spans="1:7" customHeight="1" ht="12.8"/>
    <row r="1046948" spans="1:7" customHeight="1" ht="12.8"/>
    <row r="1046949" spans="1:7" customHeight="1" ht="12.8"/>
    <row r="1046950" spans="1:7" customHeight="1" ht="12.8"/>
    <row r="1046951" spans="1:7" customHeight="1" ht="12.8"/>
    <row r="1046952" spans="1:7" customHeight="1" ht="12.8"/>
    <row r="1046953" spans="1:7" customHeight="1" ht="12.8"/>
    <row r="1046954" spans="1:7" customHeight="1" ht="12.8"/>
    <row r="1046955" spans="1:7" customHeight="1" ht="12.8"/>
    <row r="1046956" spans="1:7" customHeight="1" ht="12.8"/>
    <row r="1046957" spans="1:7" customHeight="1" ht="12.8"/>
    <row r="1046958" spans="1:7" customHeight="1" ht="12.8"/>
    <row r="1046959" spans="1:7" customHeight="1" ht="12.8"/>
    <row r="1046960" spans="1:7" customHeight="1" ht="12.8"/>
    <row r="1046961" spans="1:7" customHeight="1" ht="12.8"/>
    <row r="1046962" spans="1:7" customHeight="1" ht="12.8"/>
    <row r="1046963" spans="1:7" customHeight="1" ht="12.8"/>
    <row r="1046964" spans="1:7" customHeight="1" ht="12.8"/>
    <row r="1046965" spans="1:7" customHeight="1" ht="12.8"/>
    <row r="1046966" spans="1:7" customHeight="1" ht="12.8"/>
    <row r="1046967" spans="1:7" customHeight="1" ht="12.8"/>
    <row r="1046968" spans="1:7" customHeight="1" ht="12.8"/>
    <row r="1046969" spans="1:7" customHeight="1" ht="12.8"/>
    <row r="1046970" spans="1:7" customHeight="1" ht="12.8"/>
    <row r="1046971" spans="1:7" customHeight="1" ht="12.8"/>
    <row r="1046972" spans="1:7" customHeight="1" ht="12.8"/>
    <row r="1046973" spans="1:7" customHeight="1" ht="12.8"/>
    <row r="1046974" spans="1:7" customHeight="1" ht="12.8"/>
    <row r="1046975" spans="1:7" customHeight="1" ht="12.8"/>
    <row r="1046976" spans="1:7" customHeight="1" ht="12.8"/>
    <row r="1046977" spans="1:7" customHeight="1" ht="12.8"/>
    <row r="1046978" spans="1:7" customHeight="1" ht="12.8"/>
    <row r="1046979" spans="1:7" customHeight="1" ht="12.8"/>
    <row r="1046980" spans="1:7" customHeight="1" ht="12.8"/>
    <row r="1046981" spans="1:7" customHeight="1" ht="12.8"/>
    <row r="1046982" spans="1:7" customHeight="1" ht="12.8"/>
    <row r="1046983" spans="1:7" customHeight="1" ht="12.8"/>
    <row r="1046984" spans="1:7" customHeight="1" ht="12.8"/>
    <row r="1046985" spans="1:7" customHeight="1" ht="12.8"/>
    <row r="1046986" spans="1:7" customHeight="1" ht="12.8"/>
    <row r="1046987" spans="1:7" customHeight="1" ht="12.8"/>
    <row r="1046988" spans="1:7" customHeight="1" ht="12.8"/>
    <row r="1046989" spans="1:7" customHeight="1" ht="12.8"/>
    <row r="1046990" spans="1:7" customHeight="1" ht="12.8"/>
    <row r="1046991" spans="1:7" customHeight="1" ht="12.8"/>
    <row r="1046992" spans="1:7" customHeight="1" ht="12.8"/>
    <row r="1046993" spans="1:7" customHeight="1" ht="12.8"/>
    <row r="1046994" spans="1:7" customHeight="1" ht="12.8"/>
    <row r="1046995" spans="1:7" customHeight="1" ht="12.8"/>
    <row r="1046996" spans="1:7" customHeight="1" ht="12.8"/>
    <row r="1046997" spans="1:7" customHeight="1" ht="12.8"/>
    <row r="1046998" spans="1:7" customHeight="1" ht="12.8"/>
    <row r="1046999" spans="1:7" customHeight="1" ht="12.8"/>
    <row r="1047000" spans="1:7" customHeight="1" ht="12.8"/>
    <row r="1047001" spans="1:7" customHeight="1" ht="12.8"/>
    <row r="1047002" spans="1:7" customHeight="1" ht="12.8"/>
    <row r="1047003" spans="1:7" customHeight="1" ht="12.8"/>
    <row r="1047004" spans="1:7" customHeight="1" ht="12.8"/>
    <row r="1047005" spans="1:7" customHeight="1" ht="12.8"/>
    <row r="1047006" spans="1:7" customHeight="1" ht="12.8"/>
    <row r="1047007" spans="1:7" customHeight="1" ht="12.8"/>
    <row r="1047008" spans="1:7" customHeight="1" ht="12.8"/>
    <row r="1047009" spans="1:7" customHeight="1" ht="12.8"/>
    <row r="1047010" spans="1:7" customHeight="1" ht="12.8"/>
    <row r="1047011" spans="1:7" customHeight="1" ht="12.8"/>
    <row r="1047012" spans="1:7" customHeight="1" ht="12.8"/>
    <row r="1047013" spans="1:7" customHeight="1" ht="12.8"/>
    <row r="1047014" spans="1:7" customHeight="1" ht="12.8"/>
    <row r="1047015" spans="1:7" customHeight="1" ht="12.8"/>
    <row r="1047016" spans="1:7" customHeight="1" ht="12.8"/>
    <row r="1047017" spans="1:7" customHeight="1" ht="12.8"/>
    <row r="1047018" spans="1:7" customHeight="1" ht="12.8"/>
    <row r="1047019" spans="1:7" customHeight="1" ht="12.8"/>
    <row r="1047020" spans="1:7" customHeight="1" ht="12.8"/>
    <row r="1047021" spans="1:7" customHeight="1" ht="12.8"/>
    <row r="1047022" spans="1:7" customHeight="1" ht="12.8"/>
    <row r="1047023" spans="1:7" customHeight="1" ht="12.8"/>
    <row r="1047024" spans="1:7" customHeight="1" ht="12.8"/>
    <row r="1047025" spans="1:7" customHeight="1" ht="12.8"/>
    <row r="1047026" spans="1:7" customHeight="1" ht="12.8"/>
    <row r="1047027" spans="1:7" customHeight="1" ht="12.8"/>
    <row r="1047028" spans="1:7" customHeight="1" ht="12.8"/>
    <row r="1047029" spans="1:7" customHeight="1" ht="12.8"/>
    <row r="1047030" spans="1:7" customHeight="1" ht="12.8"/>
    <row r="1047031" spans="1:7" customHeight="1" ht="12.8"/>
    <row r="1047032" spans="1:7" customHeight="1" ht="12.8"/>
    <row r="1047033" spans="1:7" customHeight="1" ht="12.8"/>
    <row r="1047034" spans="1:7" customHeight="1" ht="12.8"/>
    <row r="1047035" spans="1:7" customHeight="1" ht="12.8"/>
    <row r="1047036" spans="1:7" customHeight="1" ht="12.8"/>
    <row r="1047037" spans="1:7" customHeight="1" ht="12.8"/>
    <row r="1047038" spans="1:7" customHeight="1" ht="12.8"/>
    <row r="1047039" spans="1:7" customHeight="1" ht="12.8"/>
    <row r="1047040" spans="1:7" customHeight="1" ht="12.8"/>
    <row r="1047041" spans="1:7" customHeight="1" ht="12.8"/>
    <row r="1047042" spans="1:7" customHeight="1" ht="12.8"/>
    <row r="1047043" spans="1:7" customHeight="1" ht="12.8"/>
    <row r="1047044" spans="1:7" customHeight="1" ht="12.8"/>
    <row r="1047045" spans="1:7" customHeight="1" ht="12.8"/>
    <row r="1047046" spans="1:7" customHeight="1" ht="12.8"/>
    <row r="1047047" spans="1:7" customHeight="1" ht="12.8"/>
    <row r="1047048" spans="1:7" customHeight="1" ht="12.8"/>
    <row r="1047049" spans="1:7" customHeight="1" ht="12.8"/>
    <row r="1047050" spans="1:7" customHeight="1" ht="12.8"/>
    <row r="1047051" spans="1:7" customHeight="1" ht="12.8"/>
    <row r="1047052" spans="1:7" customHeight="1" ht="12.8"/>
    <row r="1047053" spans="1:7" customHeight="1" ht="12.8"/>
    <row r="1047054" spans="1:7" customHeight="1" ht="12.8"/>
    <row r="1047055" spans="1:7" customHeight="1" ht="12.8"/>
    <row r="1047056" spans="1:7" customHeight="1" ht="12.8"/>
    <row r="1047057" spans="1:7" customHeight="1" ht="12.8"/>
    <row r="1047058" spans="1:7" customHeight="1" ht="12.8"/>
    <row r="1047059" spans="1:7" customHeight="1" ht="12.8"/>
    <row r="1047060" spans="1:7" customHeight="1" ht="12.8"/>
    <row r="1047061" spans="1:7" customHeight="1" ht="12.8"/>
    <row r="1047062" spans="1:7" customHeight="1" ht="12.8"/>
    <row r="1047063" spans="1:7" customHeight="1" ht="12.8"/>
    <row r="1047064" spans="1:7" customHeight="1" ht="12.8"/>
    <row r="1047065" spans="1:7" customHeight="1" ht="12.8"/>
    <row r="1047066" spans="1:7" customHeight="1" ht="12.8"/>
    <row r="1047067" spans="1:7" customHeight="1" ht="12.8"/>
    <row r="1047068" spans="1:7" customHeight="1" ht="12.8"/>
    <row r="1047069" spans="1:7" customHeight="1" ht="12.8"/>
    <row r="1047070" spans="1:7" customHeight="1" ht="12.8"/>
    <row r="1047071" spans="1:7" customHeight="1" ht="12.8"/>
    <row r="1047072" spans="1:7" customHeight="1" ht="12.8"/>
    <row r="1047073" spans="1:7" customHeight="1" ht="12.8"/>
    <row r="1047074" spans="1:7" customHeight="1" ht="12.8"/>
    <row r="1047075" spans="1:7" customHeight="1" ht="12.8"/>
    <row r="1047076" spans="1:7" customHeight="1" ht="12.8"/>
    <row r="1047077" spans="1:7" customHeight="1" ht="12.8"/>
    <row r="1047078" spans="1:7" customHeight="1" ht="12.8"/>
    <row r="1047079" spans="1:7" customHeight="1" ht="12.8"/>
    <row r="1047080" spans="1:7" customHeight="1" ht="12.8"/>
    <row r="1047081" spans="1:7" customHeight="1" ht="12.8"/>
    <row r="1047082" spans="1:7" customHeight="1" ht="12.8"/>
    <row r="1047083" spans="1:7" customHeight="1" ht="12.8"/>
    <row r="1047084" spans="1:7" customHeight="1" ht="12.8"/>
    <row r="1047085" spans="1:7" customHeight="1" ht="12.8"/>
    <row r="1047086" spans="1:7" customHeight="1" ht="12.8"/>
    <row r="1047087" spans="1:7" customHeight="1" ht="12.8"/>
    <row r="1047088" spans="1:7" customHeight="1" ht="12.8"/>
    <row r="1047089" spans="1:7" customHeight="1" ht="12.8"/>
    <row r="1047090" spans="1:7" customHeight="1" ht="12.8"/>
    <row r="1047091" spans="1:7" customHeight="1" ht="12.8"/>
    <row r="1047092" spans="1:7" customHeight="1" ht="12.8"/>
    <row r="1047093" spans="1:7" customHeight="1" ht="12.8"/>
    <row r="1047094" spans="1:7" customHeight="1" ht="12.8"/>
    <row r="1047095" spans="1:7" customHeight="1" ht="12.8"/>
    <row r="1047096" spans="1:7" customHeight="1" ht="12.8"/>
    <row r="1047097" spans="1:7" customHeight="1" ht="12.8"/>
    <row r="1047098" spans="1:7" customHeight="1" ht="12.8"/>
    <row r="1047099" spans="1:7" customHeight="1" ht="12.8"/>
    <row r="1047100" spans="1:7" customHeight="1" ht="12.8"/>
    <row r="1047101" spans="1:7" customHeight="1" ht="12.8"/>
    <row r="1047102" spans="1:7" customHeight="1" ht="12.8"/>
    <row r="1047103" spans="1:7" customHeight="1" ht="12.8"/>
    <row r="1047104" spans="1:7" customHeight="1" ht="12.8"/>
    <row r="1047105" spans="1:7" customHeight="1" ht="12.8"/>
    <row r="1047106" spans="1:7" customHeight="1" ht="12.8"/>
    <row r="1047107" spans="1:7" customHeight="1" ht="12.8"/>
    <row r="1047108" spans="1:7" customHeight="1" ht="12.8"/>
    <row r="1047109" spans="1:7" customHeight="1" ht="12.8"/>
    <row r="1047110" spans="1:7" customHeight="1" ht="12.8"/>
    <row r="1047111" spans="1:7" customHeight="1" ht="12.8"/>
    <row r="1047112" spans="1:7" customHeight="1" ht="12.8"/>
    <row r="1047113" spans="1:7" customHeight="1" ht="12.8"/>
    <row r="1047114" spans="1:7" customHeight="1" ht="12.8"/>
    <row r="1047115" spans="1:7" customHeight="1" ht="12.8"/>
    <row r="1047116" spans="1:7" customHeight="1" ht="12.8"/>
    <row r="1047117" spans="1:7" customHeight="1" ht="12.8"/>
    <row r="1047118" spans="1:7" customHeight="1" ht="12.8"/>
    <row r="1047119" spans="1:7" customHeight="1" ht="12.8"/>
    <row r="1047120" spans="1:7" customHeight="1" ht="12.8"/>
    <row r="1047121" spans="1:7" customHeight="1" ht="12.8"/>
    <row r="1047122" spans="1:7" customHeight="1" ht="12.8"/>
    <row r="1047123" spans="1:7" customHeight="1" ht="12.8"/>
    <row r="1047124" spans="1:7" customHeight="1" ht="12.8"/>
    <row r="1047125" spans="1:7" customHeight="1" ht="12.8"/>
    <row r="1047126" spans="1:7" customHeight="1" ht="12.8"/>
    <row r="1047127" spans="1:7" customHeight="1" ht="12.8"/>
    <row r="1047128" spans="1:7" customHeight="1" ht="12.8"/>
    <row r="1047129" spans="1:7" customHeight="1" ht="12.8"/>
    <row r="1047130" spans="1:7" customHeight="1" ht="12.8"/>
    <row r="1047131" spans="1:7" customHeight="1" ht="12.8"/>
    <row r="1047132" spans="1:7" customHeight="1" ht="12.8"/>
    <row r="1047133" spans="1:7" customHeight="1" ht="12.8"/>
    <row r="1047134" spans="1:7" customHeight="1" ht="12.8"/>
    <row r="1047135" spans="1:7" customHeight="1" ht="12.8"/>
    <row r="1047136" spans="1:7" customHeight="1" ht="12.8"/>
    <row r="1047137" spans="1:7" customHeight="1" ht="12.8"/>
    <row r="1047138" spans="1:7" customHeight="1" ht="12.8"/>
    <row r="1047139" spans="1:7" customHeight="1" ht="12.8"/>
    <row r="1047140" spans="1:7" customHeight="1" ht="12.8"/>
    <row r="1047141" spans="1:7" customHeight="1" ht="12.8"/>
    <row r="1047142" spans="1:7" customHeight="1" ht="12.8"/>
    <row r="1047143" spans="1:7" customHeight="1" ht="12.8"/>
    <row r="1047144" spans="1:7" customHeight="1" ht="12.8"/>
    <row r="1047145" spans="1:7" customHeight="1" ht="12.8"/>
    <row r="1047146" spans="1:7" customHeight="1" ht="12.8"/>
    <row r="1047147" spans="1:7" customHeight="1" ht="12.8"/>
    <row r="1047148" spans="1:7" customHeight="1" ht="12.8"/>
    <row r="1047149" spans="1:7" customHeight="1" ht="12.8"/>
    <row r="1047150" spans="1:7" customHeight="1" ht="12.8"/>
    <row r="1047151" spans="1:7" customHeight="1" ht="12.8"/>
    <row r="1047152" spans="1:7" customHeight="1" ht="12.8"/>
    <row r="1047153" spans="1:7" customHeight="1" ht="12.8"/>
    <row r="1047154" spans="1:7" customHeight="1" ht="12.8"/>
    <row r="1047155" spans="1:7" customHeight="1" ht="12.8"/>
    <row r="1047156" spans="1:7" customHeight="1" ht="12.8"/>
    <row r="1047157" spans="1:7" customHeight="1" ht="12.8"/>
    <row r="1047158" spans="1:7" customHeight="1" ht="12.8"/>
    <row r="1047159" spans="1:7" customHeight="1" ht="12.8"/>
    <row r="1047160" spans="1:7" customHeight="1" ht="12.8"/>
    <row r="1047161" spans="1:7" customHeight="1" ht="12.8"/>
    <row r="1047162" spans="1:7" customHeight="1" ht="12.8"/>
    <row r="1047163" spans="1:7" customHeight="1" ht="12.8"/>
    <row r="1047164" spans="1:7" customHeight="1" ht="12.8"/>
    <row r="1047165" spans="1:7" customHeight="1" ht="12.8"/>
    <row r="1047166" spans="1:7" customHeight="1" ht="12.8"/>
    <row r="1047167" spans="1:7" customHeight="1" ht="12.8"/>
    <row r="1047168" spans="1:7" customHeight="1" ht="12.8"/>
    <row r="1047169" spans="1:7" customHeight="1" ht="12.8"/>
    <row r="1047170" spans="1:7" customHeight="1" ht="12.8"/>
    <row r="1047171" spans="1:7" customHeight="1" ht="12.8"/>
    <row r="1047172" spans="1:7" customHeight="1" ht="12.8"/>
    <row r="1047173" spans="1:7" customHeight="1" ht="12.8"/>
    <row r="1047174" spans="1:7" customHeight="1" ht="12.8"/>
    <row r="1047175" spans="1:7" customHeight="1" ht="12.8"/>
    <row r="1047176" spans="1:7" customHeight="1" ht="12.8"/>
    <row r="1047177" spans="1:7" customHeight="1" ht="12.8"/>
    <row r="1047178" spans="1:7" customHeight="1" ht="12.8"/>
    <row r="1047179" spans="1:7" customHeight="1" ht="12.8"/>
    <row r="1047180" spans="1:7" customHeight="1" ht="12.8"/>
    <row r="1047181" spans="1:7" customHeight="1" ht="12.8"/>
    <row r="1047182" spans="1:7" customHeight="1" ht="12.8"/>
    <row r="1047183" spans="1:7" customHeight="1" ht="12.8"/>
    <row r="1047184" spans="1:7" customHeight="1" ht="12.8"/>
    <row r="1047185" spans="1:7" customHeight="1" ht="12.8"/>
    <row r="1047186" spans="1:7" customHeight="1" ht="12.8"/>
    <row r="1047187" spans="1:7" customHeight="1" ht="12.8"/>
    <row r="1047188" spans="1:7" customHeight="1" ht="12.8"/>
    <row r="1047189" spans="1:7" customHeight="1" ht="12.8"/>
    <row r="1047190" spans="1:7" customHeight="1" ht="12.8"/>
    <row r="1047191" spans="1:7" customHeight="1" ht="12.8"/>
    <row r="1047192" spans="1:7" customHeight="1" ht="12.8"/>
    <row r="1047193" spans="1:7" customHeight="1" ht="12.8"/>
    <row r="1047194" spans="1:7" customHeight="1" ht="12.8"/>
    <row r="1047195" spans="1:7" customHeight="1" ht="12.8"/>
    <row r="1047196" spans="1:7" customHeight="1" ht="12.8"/>
    <row r="1047197" spans="1:7" customHeight="1" ht="12.8"/>
    <row r="1047198" spans="1:7" customHeight="1" ht="12.8"/>
    <row r="1047199" spans="1:7" customHeight="1" ht="12.8"/>
    <row r="1047200" spans="1:7" customHeight="1" ht="12.8"/>
    <row r="1047201" spans="1:7" customHeight="1" ht="12.8"/>
    <row r="1047202" spans="1:7" customHeight="1" ht="12.8"/>
    <row r="1047203" spans="1:7" customHeight="1" ht="12.8"/>
    <row r="1047204" spans="1:7" customHeight="1" ht="12.8"/>
    <row r="1047205" spans="1:7" customHeight="1" ht="12.8"/>
    <row r="1047206" spans="1:7" customHeight="1" ht="12.8"/>
    <row r="1047207" spans="1:7" customHeight="1" ht="12.8"/>
    <row r="1047208" spans="1:7" customHeight="1" ht="12.8"/>
    <row r="1047209" spans="1:7" customHeight="1" ht="12.8"/>
    <row r="1047210" spans="1:7" customHeight="1" ht="12.8"/>
    <row r="1047211" spans="1:7" customHeight="1" ht="12.8"/>
    <row r="1047212" spans="1:7" customHeight="1" ht="12.8"/>
    <row r="1047213" spans="1:7" customHeight="1" ht="12.8"/>
    <row r="1047214" spans="1:7" customHeight="1" ht="12.8"/>
    <row r="1047215" spans="1:7" customHeight="1" ht="12.8"/>
    <row r="1047216" spans="1:7" customHeight="1" ht="12.8"/>
    <row r="1047217" spans="1:7" customHeight="1" ht="12.8"/>
    <row r="1047218" spans="1:7" customHeight="1" ht="12.8"/>
    <row r="1047219" spans="1:7" customHeight="1" ht="12.8"/>
    <row r="1047220" spans="1:7" customHeight="1" ht="12.8"/>
    <row r="1047221" spans="1:7" customHeight="1" ht="12.8"/>
    <row r="1047222" spans="1:7" customHeight="1" ht="12.8"/>
    <row r="1047223" spans="1:7" customHeight="1" ht="12.8"/>
    <row r="1047224" spans="1:7" customHeight="1" ht="12.8"/>
    <row r="1047225" spans="1:7" customHeight="1" ht="12.8"/>
    <row r="1047226" spans="1:7" customHeight="1" ht="12.8"/>
    <row r="1047227" spans="1:7" customHeight="1" ht="12.8"/>
    <row r="1047228" spans="1:7" customHeight="1" ht="12.8"/>
    <row r="1047229" spans="1:7" customHeight="1" ht="12.8"/>
    <row r="1047230" spans="1:7" customHeight="1" ht="12.8"/>
    <row r="1047231" spans="1:7" customHeight="1" ht="12.8"/>
    <row r="1047232" spans="1:7" customHeight="1" ht="12.8"/>
    <row r="1047233" spans="1:7" customHeight="1" ht="12.8"/>
    <row r="1047234" spans="1:7" customHeight="1" ht="12.8"/>
    <row r="1047235" spans="1:7" customHeight="1" ht="12.8"/>
    <row r="1047236" spans="1:7" customHeight="1" ht="12.8"/>
    <row r="1047237" spans="1:7" customHeight="1" ht="12.8"/>
    <row r="1047238" spans="1:7" customHeight="1" ht="12.8"/>
    <row r="1047239" spans="1:7" customHeight="1" ht="12.8"/>
    <row r="1047240" spans="1:7" customHeight="1" ht="12.8"/>
    <row r="1047241" spans="1:7" customHeight="1" ht="12.8"/>
    <row r="1047242" spans="1:7" customHeight="1" ht="12.8"/>
    <row r="1047243" spans="1:7" customHeight="1" ht="12.8"/>
    <row r="1047244" spans="1:7" customHeight="1" ht="12.8"/>
    <row r="1047245" spans="1:7" customHeight="1" ht="12.8"/>
    <row r="1047246" spans="1:7" customHeight="1" ht="12.8"/>
    <row r="1047247" spans="1:7" customHeight="1" ht="12.8"/>
    <row r="1047248" spans="1:7" customHeight="1" ht="12.8"/>
    <row r="1047249" spans="1:7" customHeight="1" ht="12.8"/>
    <row r="1047250" spans="1:7" customHeight="1" ht="12.8"/>
    <row r="1047251" spans="1:7" customHeight="1" ht="12.8"/>
    <row r="1047252" spans="1:7" customHeight="1" ht="12.8"/>
    <row r="1047253" spans="1:7" customHeight="1" ht="12.8"/>
    <row r="1047254" spans="1:7" customHeight="1" ht="12.8"/>
    <row r="1047255" spans="1:7" customHeight="1" ht="12.8"/>
    <row r="1047256" spans="1:7" customHeight="1" ht="12.8"/>
    <row r="1047257" spans="1:7" customHeight="1" ht="12.8"/>
    <row r="1047258" spans="1:7" customHeight="1" ht="12.8"/>
    <row r="1047259" spans="1:7" customHeight="1" ht="12.8"/>
    <row r="1047260" spans="1:7" customHeight="1" ht="12.8"/>
    <row r="1047261" spans="1:7" customHeight="1" ht="12.8"/>
    <row r="1047262" spans="1:7" customHeight="1" ht="12.8"/>
    <row r="1047263" spans="1:7" customHeight="1" ht="12.8"/>
    <row r="1047264" spans="1:7" customHeight="1" ht="12.8"/>
    <row r="1047265" spans="1:7" customHeight="1" ht="12.8"/>
    <row r="1047266" spans="1:7" customHeight="1" ht="12.8"/>
    <row r="1047267" spans="1:7" customHeight="1" ht="12.8"/>
    <row r="1047268" spans="1:7" customHeight="1" ht="12.8"/>
    <row r="1047269" spans="1:7" customHeight="1" ht="12.8"/>
    <row r="1047270" spans="1:7" customHeight="1" ht="12.8"/>
    <row r="1047271" spans="1:7" customHeight="1" ht="12.8"/>
    <row r="1047272" spans="1:7" customHeight="1" ht="12.8"/>
    <row r="1047273" spans="1:7" customHeight="1" ht="12.8"/>
    <row r="1047274" spans="1:7" customHeight="1" ht="12.8"/>
    <row r="1047275" spans="1:7" customHeight="1" ht="12.8"/>
    <row r="1047276" spans="1:7" customHeight="1" ht="12.8"/>
    <row r="1047277" spans="1:7" customHeight="1" ht="12.8"/>
    <row r="1047278" spans="1:7" customHeight="1" ht="12.8"/>
    <row r="1047279" spans="1:7" customHeight="1" ht="12.8"/>
    <row r="1047280" spans="1:7" customHeight="1" ht="12.8"/>
    <row r="1047281" spans="1:7" customHeight="1" ht="12.8"/>
    <row r="1047282" spans="1:7" customHeight="1" ht="12.8"/>
    <row r="1047283" spans="1:7" customHeight="1" ht="12.8"/>
    <row r="1047284" spans="1:7" customHeight="1" ht="12.8"/>
    <row r="1047285" spans="1:7" customHeight="1" ht="12.8"/>
    <row r="1047286" spans="1:7" customHeight="1" ht="12.8"/>
    <row r="1047287" spans="1:7" customHeight="1" ht="12.8"/>
    <row r="1047288" spans="1:7" customHeight="1" ht="12.8"/>
    <row r="1047289" spans="1:7" customHeight="1" ht="12.8"/>
    <row r="1047290" spans="1:7" customHeight="1" ht="12.8"/>
    <row r="1047291" spans="1:7" customHeight="1" ht="12.8"/>
    <row r="1047292" spans="1:7" customHeight="1" ht="12.8"/>
    <row r="1047293" spans="1:7" customHeight="1" ht="12.8"/>
    <row r="1047294" spans="1:7" customHeight="1" ht="12.8"/>
    <row r="1047295" spans="1:7" customHeight="1" ht="12.8"/>
    <row r="1047296" spans="1:7" customHeight="1" ht="12.8"/>
    <row r="1047297" spans="1:7" customHeight="1" ht="12.8"/>
    <row r="1047298" spans="1:7" customHeight="1" ht="12.8"/>
    <row r="1047299" spans="1:7" customHeight="1" ht="12.8"/>
    <row r="1047300" spans="1:7" customHeight="1" ht="12.8"/>
    <row r="1047301" spans="1:7" customHeight="1" ht="12.8"/>
    <row r="1047302" spans="1:7" customHeight="1" ht="12.8"/>
    <row r="1047303" spans="1:7" customHeight="1" ht="12.8"/>
    <row r="1047304" spans="1:7" customHeight="1" ht="12.8"/>
    <row r="1047305" spans="1:7" customHeight="1" ht="12.8"/>
    <row r="1047306" spans="1:7" customHeight="1" ht="12.8"/>
    <row r="1047307" spans="1:7" customHeight="1" ht="12.8"/>
    <row r="1047308" spans="1:7" customHeight="1" ht="12.8"/>
    <row r="1047309" spans="1:7" customHeight="1" ht="12.8"/>
    <row r="1047310" spans="1:7" customHeight="1" ht="12.8"/>
    <row r="1047311" spans="1:7" customHeight="1" ht="12.8"/>
    <row r="1047312" spans="1:7" customHeight="1" ht="12.8"/>
    <row r="1047313" spans="1:7" customHeight="1" ht="12.8"/>
    <row r="1047314" spans="1:7" customHeight="1" ht="12.8"/>
    <row r="1047315" spans="1:7" customHeight="1" ht="12.8"/>
    <row r="1047316" spans="1:7" customHeight="1" ht="12.8"/>
    <row r="1047317" spans="1:7" customHeight="1" ht="12.8"/>
    <row r="1047318" spans="1:7" customHeight="1" ht="12.8"/>
    <row r="1047319" spans="1:7" customHeight="1" ht="12.8"/>
    <row r="1047320" spans="1:7" customHeight="1" ht="12.8"/>
    <row r="1047321" spans="1:7" customHeight="1" ht="12.8"/>
    <row r="1047322" spans="1:7" customHeight="1" ht="12.8"/>
    <row r="1047323" spans="1:7" customHeight="1" ht="12.8"/>
    <row r="1047324" spans="1:7" customHeight="1" ht="12.8"/>
    <row r="1047325" spans="1:7" customHeight="1" ht="12.8"/>
    <row r="1047326" spans="1:7" customHeight="1" ht="12.8"/>
    <row r="1047327" spans="1:7" customHeight="1" ht="12.8"/>
    <row r="1047328" spans="1:7" customHeight="1" ht="12.8"/>
    <row r="1047329" spans="1:7" customHeight="1" ht="12.8"/>
    <row r="1047330" spans="1:7" customHeight="1" ht="12.8"/>
    <row r="1047331" spans="1:7" customHeight="1" ht="12.8"/>
    <row r="1047332" spans="1:7" customHeight="1" ht="12.8"/>
    <row r="1047333" spans="1:7" customHeight="1" ht="12.8"/>
    <row r="1047334" spans="1:7" customHeight="1" ht="12.8"/>
    <row r="1047335" spans="1:7" customHeight="1" ht="12.8"/>
    <row r="1047336" spans="1:7" customHeight="1" ht="12.8"/>
    <row r="1047337" spans="1:7" customHeight="1" ht="12.8"/>
    <row r="1047338" spans="1:7" customHeight="1" ht="12.8"/>
    <row r="1047339" spans="1:7" customHeight="1" ht="12.8"/>
    <row r="1047340" spans="1:7" customHeight="1" ht="12.8"/>
    <row r="1047341" spans="1:7" customHeight="1" ht="12.8"/>
    <row r="1047342" spans="1:7" customHeight="1" ht="12.8"/>
    <row r="1047343" spans="1:7" customHeight="1" ht="12.8"/>
    <row r="1047344" spans="1:7" customHeight="1" ht="12.8"/>
    <row r="1047345" spans="1:7" customHeight="1" ht="12.8"/>
    <row r="1047346" spans="1:7" customHeight="1" ht="12.8"/>
    <row r="1047347" spans="1:7" customHeight="1" ht="12.8"/>
    <row r="1047348" spans="1:7" customHeight="1" ht="12.8"/>
    <row r="1047349" spans="1:7" customHeight="1" ht="12.8"/>
    <row r="1047350" spans="1:7" customHeight="1" ht="12.8"/>
    <row r="1047351" spans="1:7" customHeight="1" ht="12.8"/>
    <row r="1047352" spans="1:7" customHeight="1" ht="12.8"/>
    <row r="1047353" spans="1:7" customHeight="1" ht="12.8"/>
    <row r="1047354" spans="1:7" customHeight="1" ht="12.8"/>
    <row r="1047355" spans="1:7" customHeight="1" ht="12.8"/>
    <row r="1047356" spans="1:7" customHeight="1" ht="12.8"/>
    <row r="1047357" spans="1:7" customHeight="1" ht="12.8"/>
    <row r="1047358" spans="1:7" customHeight="1" ht="12.8"/>
    <row r="1047359" spans="1:7" customHeight="1" ht="12.8"/>
    <row r="1047360" spans="1:7" customHeight="1" ht="12.8"/>
    <row r="1047361" spans="1:7" customHeight="1" ht="12.8"/>
    <row r="1047362" spans="1:7" customHeight="1" ht="12.8"/>
    <row r="1047363" spans="1:7" customHeight="1" ht="12.8"/>
    <row r="1047364" spans="1:7" customHeight="1" ht="12.8"/>
    <row r="1047365" spans="1:7" customHeight="1" ht="12.8"/>
    <row r="1047366" spans="1:7" customHeight="1" ht="12.8"/>
    <row r="1047367" spans="1:7" customHeight="1" ht="12.8"/>
    <row r="1047368" spans="1:7" customHeight="1" ht="12.8"/>
    <row r="1047369" spans="1:7" customHeight="1" ht="12.8"/>
    <row r="1047370" spans="1:7" customHeight="1" ht="12.8"/>
    <row r="1047371" spans="1:7" customHeight="1" ht="12.8"/>
    <row r="1047372" spans="1:7" customHeight="1" ht="12.8"/>
    <row r="1047373" spans="1:7" customHeight="1" ht="12.8"/>
    <row r="1047374" spans="1:7" customHeight="1" ht="12.8"/>
    <row r="1047375" spans="1:7" customHeight="1" ht="12.8"/>
    <row r="1047376" spans="1:7" customHeight="1" ht="12.8"/>
    <row r="1047377" spans="1:7" customHeight="1" ht="12.8"/>
    <row r="1047378" spans="1:7" customHeight="1" ht="12.8"/>
    <row r="1047379" spans="1:7" customHeight="1" ht="12.8"/>
    <row r="1047380" spans="1:7" customHeight="1" ht="12.8"/>
    <row r="1047381" spans="1:7" customHeight="1" ht="12.8"/>
    <row r="1047382" spans="1:7" customHeight="1" ht="12.8"/>
    <row r="1047383" spans="1:7" customHeight="1" ht="12.8"/>
    <row r="1047384" spans="1:7" customHeight="1" ht="12.8"/>
    <row r="1047385" spans="1:7" customHeight="1" ht="12.8"/>
    <row r="1047386" spans="1:7" customHeight="1" ht="12.8"/>
    <row r="1047387" spans="1:7" customHeight="1" ht="12.8"/>
    <row r="1047388" spans="1:7" customHeight="1" ht="12.8"/>
    <row r="1047389" spans="1:7" customHeight="1" ht="12.8"/>
    <row r="1047390" spans="1:7" customHeight="1" ht="12.8"/>
    <row r="1047391" spans="1:7" customHeight="1" ht="12.8"/>
    <row r="1047392" spans="1:7" customHeight="1" ht="12.8"/>
    <row r="1047393" spans="1:7" customHeight="1" ht="12.8"/>
    <row r="1047394" spans="1:7" customHeight="1" ht="12.8"/>
    <row r="1047395" spans="1:7" customHeight="1" ht="12.8"/>
    <row r="1047396" spans="1:7" customHeight="1" ht="12.8"/>
    <row r="1047397" spans="1:7" customHeight="1" ht="12.8"/>
    <row r="1047398" spans="1:7" customHeight="1" ht="12.8"/>
    <row r="1047399" spans="1:7" customHeight="1" ht="12.8"/>
    <row r="1047400" spans="1:7" customHeight="1" ht="12.8"/>
    <row r="1047401" spans="1:7" customHeight="1" ht="12.8"/>
    <row r="1047402" spans="1:7" customHeight="1" ht="12.8"/>
    <row r="1047403" spans="1:7" customHeight="1" ht="12.8"/>
    <row r="1047404" spans="1:7" customHeight="1" ht="12.8"/>
    <row r="1047405" spans="1:7" customHeight="1" ht="12.8"/>
    <row r="1047406" spans="1:7" customHeight="1" ht="12.8"/>
    <row r="1047407" spans="1:7" customHeight="1" ht="12.8"/>
    <row r="1047408" spans="1:7" customHeight="1" ht="12.8"/>
    <row r="1047409" spans="1:7" customHeight="1" ht="12.8"/>
    <row r="1047410" spans="1:7" customHeight="1" ht="12.8"/>
    <row r="1047411" spans="1:7" customHeight="1" ht="12.8"/>
    <row r="1047412" spans="1:7" customHeight="1" ht="12.8"/>
    <row r="1047413" spans="1:7" customHeight="1" ht="12.8"/>
    <row r="1047414" spans="1:7" customHeight="1" ht="12.8"/>
    <row r="1047415" spans="1:7" customHeight="1" ht="12.8"/>
    <row r="1047416" spans="1:7" customHeight="1" ht="12.8"/>
    <row r="1047417" spans="1:7" customHeight="1" ht="12.8"/>
    <row r="1047418" spans="1:7" customHeight="1" ht="12.8"/>
    <row r="1047419" spans="1:7" customHeight="1" ht="12.8"/>
    <row r="1047420" spans="1:7" customHeight="1" ht="12.8"/>
    <row r="1047421" spans="1:7" customHeight="1" ht="12.8"/>
    <row r="1047422" spans="1:7" customHeight="1" ht="12.8"/>
    <row r="1047423" spans="1:7" customHeight="1" ht="12.8"/>
    <row r="1047424" spans="1:7" customHeight="1" ht="12.8"/>
    <row r="1047425" spans="1:7" customHeight="1" ht="12.8"/>
    <row r="1047426" spans="1:7" customHeight="1" ht="12.8"/>
    <row r="1047427" spans="1:7" customHeight="1" ht="12.8"/>
    <row r="1047428" spans="1:7" customHeight="1" ht="12.8"/>
    <row r="1047429" spans="1:7" customHeight="1" ht="12.8"/>
    <row r="1047430" spans="1:7" customHeight="1" ht="12.8"/>
    <row r="1047431" spans="1:7" customHeight="1" ht="12.8"/>
    <row r="1047432" spans="1:7" customHeight="1" ht="12.8"/>
    <row r="1047433" spans="1:7" customHeight="1" ht="12.8"/>
    <row r="1047434" spans="1:7" customHeight="1" ht="12.8"/>
    <row r="1047435" spans="1:7" customHeight="1" ht="12.8"/>
    <row r="1047436" spans="1:7" customHeight="1" ht="12.8"/>
    <row r="1047437" spans="1:7" customHeight="1" ht="12.8"/>
    <row r="1047438" spans="1:7" customHeight="1" ht="12.8"/>
    <row r="1047439" spans="1:7" customHeight="1" ht="12.8"/>
    <row r="1047440" spans="1:7" customHeight="1" ht="12.8"/>
    <row r="1047441" spans="1:7" customHeight="1" ht="12.8"/>
    <row r="1047442" spans="1:7" customHeight="1" ht="12.8"/>
    <row r="1047443" spans="1:7" customHeight="1" ht="12.8"/>
    <row r="1047444" spans="1:7" customHeight="1" ht="12.8"/>
    <row r="1047445" spans="1:7" customHeight="1" ht="12.8"/>
    <row r="1047446" spans="1:7" customHeight="1" ht="12.8"/>
    <row r="1047447" spans="1:7" customHeight="1" ht="12.8"/>
    <row r="1047448" spans="1:7" customHeight="1" ht="12.8"/>
    <row r="1047449" spans="1:7" customHeight="1" ht="12.8"/>
    <row r="1047450" spans="1:7" customHeight="1" ht="12.8"/>
    <row r="1047451" spans="1:7" customHeight="1" ht="12.8"/>
    <row r="1047452" spans="1:7" customHeight="1" ht="12.8"/>
    <row r="1047453" spans="1:7" customHeight="1" ht="12.8"/>
    <row r="1047454" spans="1:7" customHeight="1" ht="12.8"/>
    <row r="1047455" spans="1:7" customHeight="1" ht="12.8"/>
    <row r="1047456" spans="1:7" customHeight="1" ht="12.8"/>
    <row r="1047457" spans="1:7" customHeight="1" ht="12.8"/>
    <row r="1047458" spans="1:7" customHeight="1" ht="12.8"/>
    <row r="1047459" spans="1:7" customHeight="1" ht="12.8"/>
    <row r="1047460" spans="1:7" customHeight="1" ht="12.8"/>
    <row r="1047461" spans="1:7" customHeight="1" ht="12.8"/>
    <row r="1047462" spans="1:7" customHeight="1" ht="12.8"/>
    <row r="1047463" spans="1:7" customHeight="1" ht="12.8"/>
    <row r="1047464" spans="1:7" customHeight="1" ht="12.8"/>
    <row r="1047465" spans="1:7" customHeight="1" ht="12.8"/>
    <row r="1047466" spans="1:7" customHeight="1" ht="12.8"/>
    <row r="1047467" spans="1:7" customHeight="1" ht="12.8"/>
    <row r="1047468" spans="1:7" customHeight="1" ht="12.8"/>
    <row r="1047469" spans="1:7" customHeight="1" ht="12.8"/>
    <row r="1047470" spans="1:7" customHeight="1" ht="12.8"/>
    <row r="1047471" spans="1:7" customHeight="1" ht="12.8"/>
    <row r="1047472" spans="1:7" customHeight="1" ht="12.8"/>
    <row r="1047473" spans="1:7" customHeight="1" ht="12.8"/>
    <row r="1047474" spans="1:7" customHeight="1" ht="12.8"/>
    <row r="1047475" spans="1:7" customHeight="1" ht="12.8"/>
    <row r="1047476" spans="1:7" customHeight="1" ht="12.8"/>
    <row r="1047477" spans="1:7" customHeight="1" ht="12.8"/>
    <row r="1047478" spans="1:7" customHeight="1" ht="12.8"/>
    <row r="1047479" spans="1:7" customHeight="1" ht="12.8"/>
    <row r="1047480" spans="1:7" customHeight="1" ht="12.8"/>
    <row r="1047481" spans="1:7" customHeight="1" ht="12.8"/>
    <row r="1047482" spans="1:7" customHeight="1" ht="12.8"/>
    <row r="1047483" spans="1:7" customHeight="1" ht="12.8"/>
    <row r="1047484" spans="1:7" customHeight="1" ht="12.8"/>
    <row r="1047485" spans="1:7" customHeight="1" ht="12.8"/>
    <row r="1047486" spans="1:7" customHeight="1" ht="12.8"/>
    <row r="1047487" spans="1:7" customHeight="1" ht="12.8"/>
    <row r="1047488" spans="1:7" customHeight="1" ht="12.8"/>
    <row r="1047489" spans="1:7" customHeight="1" ht="12.8"/>
    <row r="1047490" spans="1:7" customHeight="1" ht="12.8"/>
    <row r="1047491" spans="1:7" customHeight="1" ht="12.8"/>
    <row r="1047492" spans="1:7" customHeight="1" ht="12.8"/>
    <row r="1047493" spans="1:7" customHeight="1" ht="12.8"/>
    <row r="1047494" spans="1:7" customHeight="1" ht="12.8"/>
    <row r="1047495" spans="1:7" customHeight="1" ht="12.8"/>
    <row r="1047496" spans="1:7" customHeight="1" ht="12.8"/>
    <row r="1047497" spans="1:7" customHeight="1" ht="12.8"/>
    <row r="1047498" spans="1:7" customHeight="1" ht="12.8"/>
    <row r="1047499" spans="1:7" customHeight="1" ht="12.8"/>
    <row r="1047500" spans="1:7" customHeight="1" ht="12.8"/>
    <row r="1047501" spans="1:7" customHeight="1" ht="12.8"/>
    <row r="1047502" spans="1:7" customHeight="1" ht="12.8"/>
    <row r="1047503" spans="1:7" customHeight="1" ht="12.8"/>
    <row r="1047504" spans="1:7" customHeight="1" ht="12.8"/>
    <row r="1047505" spans="1:7" customHeight="1" ht="12.8"/>
    <row r="1047506" spans="1:7" customHeight="1" ht="12.8"/>
    <row r="1047507" spans="1:7" customHeight="1" ht="12.8"/>
    <row r="1047508" spans="1:7" customHeight="1" ht="12.8"/>
    <row r="1047509" spans="1:7" customHeight="1" ht="12.8"/>
    <row r="1047510" spans="1:7" customHeight="1" ht="12.8"/>
    <row r="1047511" spans="1:7" customHeight="1" ht="12.8"/>
    <row r="1047512" spans="1:7" customHeight="1" ht="12.8"/>
    <row r="1047513" spans="1:7" customHeight="1" ht="12.8"/>
    <row r="1047514" spans="1:7" customHeight="1" ht="12.8"/>
    <row r="1047515" spans="1:7" customHeight="1" ht="12.8"/>
    <row r="1047516" spans="1:7" customHeight="1" ht="12.8"/>
    <row r="1047517" spans="1:7" customHeight="1" ht="12.8"/>
    <row r="1047518" spans="1:7" customHeight="1" ht="12.8"/>
    <row r="1047519" spans="1:7" customHeight="1" ht="12.8"/>
    <row r="1047520" spans="1:7" customHeight="1" ht="12.8"/>
    <row r="1047521" spans="1:7" customHeight="1" ht="12.8"/>
    <row r="1047522" spans="1:7" customHeight="1" ht="12.8"/>
    <row r="1047523" spans="1:7" customHeight="1" ht="12.8"/>
    <row r="1047524" spans="1:7" customHeight="1" ht="12.8"/>
    <row r="1047525" spans="1:7" customHeight="1" ht="12.8"/>
    <row r="1047526" spans="1:7" customHeight="1" ht="12.8"/>
    <row r="1047527" spans="1:7" customHeight="1" ht="12.8"/>
    <row r="1047528" spans="1:7" customHeight="1" ht="12.8"/>
    <row r="1047529" spans="1:7" customHeight="1" ht="12.8"/>
    <row r="1047530" spans="1:7" customHeight="1" ht="12.8"/>
    <row r="1047531" spans="1:7" customHeight="1" ht="12.8"/>
    <row r="1047532" spans="1:7" customHeight="1" ht="12.8"/>
    <row r="1047533" spans="1:7" customHeight="1" ht="12.8"/>
    <row r="1047534" spans="1:7" customHeight="1" ht="12.8"/>
    <row r="1047535" spans="1:7" customHeight="1" ht="12.8"/>
    <row r="1047536" spans="1:7" customHeight="1" ht="12.8"/>
    <row r="1047537" spans="1:7" customHeight="1" ht="12.8"/>
    <row r="1047538" spans="1:7" customHeight="1" ht="12.8"/>
    <row r="1047539" spans="1:7" customHeight="1" ht="12.8"/>
    <row r="1047540" spans="1:7" customHeight="1" ht="12.8"/>
    <row r="1047541" spans="1:7" customHeight="1" ht="12.8"/>
    <row r="1047542" spans="1:7" customHeight="1" ht="12.8"/>
    <row r="1047543" spans="1:7" customHeight="1" ht="12.8"/>
    <row r="1047544" spans="1:7" customHeight="1" ht="12.8"/>
    <row r="1047545" spans="1:7" customHeight="1" ht="12.8"/>
    <row r="1047546" spans="1:7" customHeight="1" ht="12.8"/>
    <row r="1047547" spans="1:7" customHeight="1" ht="12.8"/>
    <row r="1047548" spans="1:7" customHeight="1" ht="12.8"/>
    <row r="1047549" spans="1:7" customHeight="1" ht="12.8"/>
    <row r="1047550" spans="1:7" customHeight="1" ht="12.8"/>
    <row r="1047551" spans="1:7" customHeight="1" ht="12.8"/>
    <row r="1047552" spans="1:7" customHeight="1" ht="12.8"/>
    <row r="1047553" spans="1:7" customHeight="1" ht="12.8"/>
    <row r="1047554" spans="1:7" customHeight="1" ht="12.8"/>
    <row r="1047555" spans="1:7" customHeight="1" ht="12.8"/>
    <row r="1047556" spans="1:7" customHeight="1" ht="12.8"/>
    <row r="1047557" spans="1:7" customHeight="1" ht="12.8"/>
    <row r="1047558" spans="1:7" customHeight="1" ht="12.8"/>
    <row r="1047559" spans="1:7" customHeight="1" ht="12.8"/>
    <row r="1047560" spans="1:7" customHeight="1" ht="12.8"/>
    <row r="1047561" spans="1:7" customHeight="1" ht="12.8"/>
    <row r="1047562" spans="1:7" customHeight="1" ht="12.8"/>
    <row r="1047563" spans="1:7" customHeight="1" ht="12.8"/>
    <row r="1047564" spans="1:7" customHeight="1" ht="12.8"/>
    <row r="1047565" spans="1:7" customHeight="1" ht="12.8"/>
    <row r="1047566" spans="1:7" customHeight="1" ht="12.8"/>
    <row r="1047567" spans="1:7" customHeight="1" ht="12.8"/>
    <row r="1047568" spans="1:7" customHeight="1" ht="12.8"/>
    <row r="1047569" spans="1:7" customHeight="1" ht="12.8"/>
    <row r="1047570" spans="1:7" customHeight="1" ht="12.8"/>
    <row r="1047571" spans="1:7" customHeight="1" ht="12.8"/>
    <row r="1047572" spans="1:7" customHeight="1" ht="12.8"/>
    <row r="1047573" spans="1:7" customHeight="1" ht="12.8"/>
    <row r="1047574" spans="1:7" customHeight="1" ht="12.8"/>
    <row r="1047575" spans="1:7" customHeight="1" ht="12.8"/>
    <row r="1047576" spans="1:7" customHeight="1" ht="12.8"/>
    <row r="1047577" spans="1:7" customHeight="1" ht="12.8"/>
    <row r="1047578" spans="1:7" customHeight="1" ht="12.8"/>
    <row r="1047579" spans="1:7" customHeight="1" ht="12.8"/>
    <row r="1047580" spans="1:7" customHeight="1" ht="12.8"/>
    <row r="1047581" spans="1:7" customHeight="1" ht="12.8"/>
    <row r="1047582" spans="1:7" customHeight="1" ht="12.8"/>
    <row r="1047583" spans="1:7" customHeight="1" ht="12.8"/>
    <row r="1047584" spans="1:7" customHeight="1" ht="12.8"/>
    <row r="1047585" spans="1:7" customHeight="1" ht="12.8"/>
    <row r="1047586" spans="1:7" customHeight="1" ht="12.8"/>
    <row r="1047587" spans="1:7" customHeight="1" ht="12.8"/>
    <row r="1047588" spans="1:7" customHeight="1" ht="12.8"/>
    <row r="1047589" spans="1:7" customHeight="1" ht="12.8"/>
    <row r="1047590" spans="1:7" customHeight="1" ht="12.8"/>
    <row r="1047591" spans="1:7" customHeight="1" ht="12.8"/>
    <row r="1047592" spans="1:7" customHeight="1" ht="12.8"/>
    <row r="1047593" spans="1:7" customHeight="1" ht="12.8"/>
    <row r="1047594" spans="1:7" customHeight="1" ht="12.8"/>
    <row r="1047595" spans="1:7" customHeight="1" ht="12.8"/>
    <row r="1047596" spans="1:7" customHeight="1" ht="12.8"/>
    <row r="1047597" spans="1:7" customHeight="1" ht="12.8"/>
    <row r="1047598" spans="1:7" customHeight="1" ht="12.8"/>
    <row r="1047599" spans="1:7" customHeight="1" ht="12.8"/>
    <row r="1047600" spans="1:7" customHeight="1" ht="12.8"/>
    <row r="1047601" spans="1:7" customHeight="1" ht="12.8"/>
    <row r="1047602" spans="1:7" customHeight="1" ht="12.8"/>
    <row r="1047603" spans="1:7" customHeight="1" ht="12.8"/>
    <row r="1047604" spans="1:7" customHeight="1" ht="12.8"/>
    <row r="1047605" spans="1:7" customHeight="1" ht="12.8"/>
    <row r="1047606" spans="1:7" customHeight="1" ht="12.8"/>
    <row r="1047607" spans="1:7" customHeight="1" ht="12.8"/>
    <row r="1047608" spans="1:7" customHeight="1" ht="12.8"/>
    <row r="1047609" spans="1:7" customHeight="1" ht="12.8"/>
    <row r="1047610" spans="1:7" customHeight="1" ht="12.8"/>
    <row r="1047611" spans="1:7" customHeight="1" ht="12.8"/>
    <row r="1047612" spans="1:7" customHeight="1" ht="12.8"/>
    <row r="1047613" spans="1:7" customHeight="1" ht="12.8"/>
    <row r="1047614" spans="1:7" customHeight="1" ht="12.8"/>
    <row r="1047615" spans="1:7" customHeight="1" ht="12.8"/>
    <row r="1047616" spans="1:7" customHeight="1" ht="12.8"/>
    <row r="1047617" spans="1:7" customHeight="1" ht="12.8"/>
    <row r="1047618" spans="1:7" customHeight="1" ht="12.8"/>
    <row r="1047619" spans="1:7" customHeight="1" ht="12.8"/>
    <row r="1047620" spans="1:7" customHeight="1" ht="12.8"/>
    <row r="1047621" spans="1:7" customHeight="1" ht="12.8"/>
    <row r="1047622" spans="1:7" customHeight="1" ht="12.8"/>
    <row r="1047623" spans="1:7" customHeight="1" ht="12.8"/>
    <row r="1047624" spans="1:7" customHeight="1" ht="12.8"/>
    <row r="1047625" spans="1:7" customHeight="1" ht="12.8"/>
    <row r="1047626" spans="1:7" customHeight="1" ht="12.8"/>
    <row r="1047627" spans="1:7" customHeight="1" ht="12.8"/>
    <row r="1047628" spans="1:7" customHeight="1" ht="12.8"/>
    <row r="1047629" spans="1:7" customHeight="1" ht="12.8"/>
    <row r="1047630" spans="1:7" customHeight="1" ht="12.8"/>
    <row r="1047631" spans="1:7" customHeight="1" ht="12.8"/>
    <row r="1047632" spans="1:7" customHeight="1" ht="12.8"/>
    <row r="1047633" spans="1:7" customHeight="1" ht="12.8"/>
    <row r="1047634" spans="1:7" customHeight="1" ht="12.8"/>
    <row r="1047635" spans="1:7" customHeight="1" ht="12.8"/>
    <row r="1047636" spans="1:7" customHeight="1" ht="12.8"/>
    <row r="1047637" spans="1:7" customHeight="1" ht="12.8"/>
    <row r="1047638" spans="1:7" customHeight="1" ht="12.8"/>
    <row r="1047639" spans="1:7" customHeight="1" ht="12.8"/>
    <row r="1047640" spans="1:7" customHeight="1" ht="12.8"/>
    <row r="1047641" spans="1:7" customHeight="1" ht="12.8"/>
    <row r="1047642" spans="1:7" customHeight="1" ht="12.8"/>
    <row r="1047643" spans="1:7" customHeight="1" ht="12.8"/>
    <row r="1047644" spans="1:7" customHeight="1" ht="12.8"/>
    <row r="1047645" spans="1:7" customHeight="1" ht="12.8"/>
    <row r="1047646" spans="1:7" customHeight="1" ht="12.8"/>
    <row r="1047647" spans="1:7" customHeight="1" ht="12.8"/>
    <row r="1047648" spans="1:7" customHeight="1" ht="12.8"/>
    <row r="1047649" spans="1:7" customHeight="1" ht="12.8"/>
    <row r="1047650" spans="1:7" customHeight="1" ht="12.8"/>
    <row r="1047651" spans="1:7" customHeight="1" ht="12.8"/>
    <row r="1047652" spans="1:7" customHeight="1" ht="12.8"/>
    <row r="1047653" spans="1:7" customHeight="1" ht="12.8"/>
    <row r="1047654" spans="1:7" customHeight="1" ht="12.8"/>
    <row r="1047655" spans="1:7" customHeight="1" ht="12.8"/>
    <row r="1047656" spans="1:7" customHeight="1" ht="12.8"/>
    <row r="1047657" spans="1:7" customHeight="1" ht="12.8"/>
    <row r="1047658" spans="1:7" customHeight="1" ht="12.8"/>
    <row r="1047659" spans="1:7" customHeight="1" ht="12.8"/>
    <row r="1047660" spans="1:7" customHeight="1" ht="12.8"/>
    <row r="1047661" spans="1:7" customHeight="1" ht="12.8"/>
    <row r="1047662" spans="1:7" customHeight="1" ht="12.8"/>
    <row r="1047663" spans="1:7" customHeight="1" ht="12.8"/>
    <row r="1047664" spans="1:7" customHeight="1" ht="12.8"/>
    <row r="1047665" spans="1:7" customHeight="1" ht="12.8"/>
    <row r="1047666" spans="1:7" customHeight="1" ht="12.8"/>
    <row r="1047667" spans="1:7" customHeight="1" ht="12.8"/>
    <row r="1047668" spans="1:7" customHeight="1" ht="12.8"/>
    <row r="1047669" spans="1:7" customHeight="1" ht="12.8"/>
    <row r="1047670" spans="1:7" customHeight="1" ht="12.8"/>
    <row r="1047671" spans="1:7" customHeight="1" ht="12.8"/>
    <row r="1047672" spans="1:7" customHeight="1" ht="12.8"/>
    <row r="1047673" spans="1:7" customHeight="1" ht="12.8"/>
    <row r="1047674" spans="1:7" customHeight="1" ht="12.8"/>
    <row r="1047675" spans="1:7" customHeight="1" ht="12.8"/>
    <row r="1047676" spans="1:7" customHeight="1" ht="12.8"/>
    <row r="1047677" spans="1:7" customHeight="1" ht="12.8"/>
    <row r="1047678" spans="1:7" customHeight="1" ht="12.8"/>
    <row r="1047679" spans="1:7" customHeight="1" ht="12.8"/>
    <row r="1047680" spans="1:7" customHeight="1" ht="12.8"/>
    <row r="1047681" spans="1:7" customHeight="1" ht="12.8"/>
    <row r="1047682" spans="1:7" customHeight="1" ht="12.8"/>
    <row r="1047683" spans="1:7" customHeight="1" ht="12.8"/>
    <row r="1047684" spans="1:7" customHeight="1" ht="12.8"/>
    <row r="1047685" spans="1:7" customHeight="1" ht="12.8"/>
    <row r="1047686" spans="1:7" customHeight="1" ht="12.8"/>
    <row r="1047687" spans="1:7" customHeight="1" ht="12.8"/>
    <row r="1047688" spans="1:7" customHeight="1" ht="12.8"/>
    <row r="1047689" spans="1:7" customHeight="1" ht="12.8"/>
    <row r="1047690" spans="1:7" customHeight="1" ht="12.8"/>
    <row r="1047691" spans="1:7" customHeight="1" ht="12.8"/>
    <row r="1047692" spans="1:7" customHeight="1" ht="12.8"/>
    <row r="1047693" spans="1:7" customHeight="1" ht="12.8"/>
    <row r="1047694" spans="1:7" customHeight="1" ht="12.8"/>
    <row r="1047695" spans="1:7" customHeight="1" ht="12.8"/>
    <row r="1047696" spans="1:7" customHeight="1" ht="12.8"/>
    <row r="1047697" spans="1:7" customHeight="1" ht="12.8"/>
    <row r="1047698" spans="1:7" customHeight="1" ht="12.8"/>
    <row r="1047699" spans="1:7" customHeight="1" ht="12.8"/>
    <row r="1047700" spans="1:7" customHeight="1" ht="12.8"/>
    <row r="1047701" spans="1:7" customHeight="1" ht="12.8"/>
    <row r="1047702" spans="1:7" customHeight="1" ht="12.8"/>
    <row r="1047703" spans="1:7" customHeight="1" ht="12.8"/>
    <row r="1047704" spans="1:7" customHeight="1" ht="12.8"/>
    <row r="1047705" spans="1:7" customHeight="1" ht="12.8"/>
    <row r="1047706" spans="1:7" customHeight="1" ht="12.8"/>
    <row r="1047707" spans="1:7" customHeight="1" ht="12.8"/>
    <row r="1047708" spans="1:7" customHeight="1" ht="12.8"/>
    <row r="1047709" spans="1:7" customHeight="1" ht="12.8"/>
    <row r="1047710" spans="1:7" customHeight="1" ht="12.8"/>
    <row r="1047711" spans="1:7" customHeight="1" ht="12.8"/>
    <row r="1047712" spans="1:7" customHeight="1" ht="12.8"/>
    <row r="1047713" spans="1:7" customHeight="1" ht="12.8"/>
    <row r="1047714" spans="1:7" customHeight="1" ht="12.8"/>
    <row r="1047715" spans="1:7" customHeight="1" ht="12.8"/>
    <row r="1047716" spans="1:7" customHeight="1" ht="12.8"/>
    <row r="1047717" spans="1:7" customHeight="1" ht="12.8"/>
    <row r="1047718" spans="1:7" customHeight="1" ht="12.8"/>
    <row r="1047719" spans="1:7" customHeight="1" ht="12.8"/>
    <row r="1047720" spans="1:7" customHeight="1" ht="12.8"/>
    <row r="1047721" spans="1:7" customHeight="1" ht="12.8"/>
    <row r="1047722" spans="1:7" customHeight="1" ht="12.8"/>
    <row r="1047723" spans="1:7" customHeight="1" ht="12.8"/>
    <row r="1047724" spans="1:7" customHeight="1" ht="12.8"/>
    <row r="1047725" spans="1:7" customHeight="1" ht="12.8"/>
    <row r="1047726" spans="1:7" customHeight="1" ht="12.8"/>
    <row r="1047727" spans="1:7" customHeight="1" ht="12.8"/>
    <row r="1047728" spans="1:7" customHeight="1" ht="12.8"/>
    <row r="1047729" spans="1:7" customHeight="1" ht="12.8"/>
    <row r="1047730" spans="1:7" customHeight="1" ht="12.8"/>
    <row r="1047731" spans="1:7" customHeight="1" ht="12.8"/>
    <row r="1047732" spans="1:7" customHeight="1" ht="12.8"/>
    <row r="1047733" spans="1:7" customHeight="1" ht="12.8"/>
    <row r="1047734" spans="1:7" customHeight="1" ht="12.8"/>
    <row r="1047735" spans="1:7" customHeight="1" ht="12.8"/>
    <row r="1047736" spans="1:7" customHeight="1" ht="12.8"/>
    <row r="1047737" spans="1:7" customHeight="1" ht="12.8"/>
    <row r="1047738" spans="1:7" customHeight="1" ht="12.8"/>
    <row r="1047739" spans="1:7" customHeight="1" ht="12.8"/>
    <row r="1047740" spans="1:7" customHeight="1" ht="12.8"/>
    <row r="1047741" spans="1:7" customHeight="1" ht="12.8"/>
    <row r="1047742" spans="1:7" customHeight="1" ht="12.8"/>
    <row r="1047743" spans="1:7" customHeight="1" ht="12.8"/>
    <row r="1047744" spans="1:7" customHeight="1" ht="12.8"/>
    <row r="1047745" spans="1:7" customHeight="1" ht="12.8"/>
    <row r="1047746" spans="1:7" customHeight="1" ht="12.8"/>
    <row r="1047747" spans="1:7" customHeight="1" ht="12.8"/>
    <row r="1047748" spans="1:7" customHeight="1" ht="12.8"/>
    <row r="1047749" spans="1:7" customHeight="1" ht="12.8"/>
    <row r="1047750" spans="1:7" customHeight="1" ht="12.8"/>
    <row r="1047751" spans="1:7" customHeight="1" ht="12.8"/>
    <row r="1047752" spans="1:7" customHeight="1" ht="12.8"/>
    <row r="1047753" spans="1:7" customHeight="1" ht="12.8"/>
    <row r="1047754" spans="1:7" customHeight="1" ht="12.8"/>
    <row r="1047755" spans="1:7" customHeight="1" ht="12.8"/>
    <row r="1047756" spans="1:7" customHeight="1" ht="12.8"/>
    <row r="1047757" spans="1:7" customHeight="1" ht="12.8"/>
    <row r="1047758" spans="1:7" customHeight="1" ht="12.8"/>
    <row r="1047759" spans="1:7" customHeight="1" ht="12.8"/>
    <row r="1047760" spans="1:7" customHeight="1" ht="12.8"/>
    <row r="1047761" spans="1:7" customHeight="1" ht="12.8"/>
    <row r="1047762" spans="1:7" customHeight="1" ht="12.8"/>
    <row r="1047763" spans="1:7" customHeight="1" ht="12.8"/>
    <row r="1047764" spans="1:7" customHeight="1" ht="12.8"/>
    <row r="1047765" spans="1:7" customHeight="1" ht="12.8"/>
    <row r="1047766" spans="1:7" customHeight="1" ht="12.8"/>
    <row r="1047767" spans="1:7" customHeight="1" ht="12.8"/>
    <row r="1047768" spans="1:7" customHeight="1" ht="12.8"/>
    <row r="1047769" spans="1:7" customHeight="1" ht="12.8"/>
    <row r="1047770" spans="1:7" customHeight="1" ht="12.8"/>
    <row r="1047771" spans="1:7" customHeight="1" ht="12.8"/>
    <row r="1047772" spans="1:7" customHeight="1" ht="12.8"/>
    <row r="1047773" spans="1:7" customHeight="1" ht="12.8"/>
    <row r="1047774" spans="1:7" customHeight="1" ht="12.8"/>
    <row r="1047775" spans="1:7" customHeight="1" ht="12.8"/>
    <row r="1047776" spans="1:7" customHeight="1" ht="12.8"/>
    <row r="1047777" spans="1:7" customHeight="1" ht="12.8"/>
    <row r="1047778" spans="1:7" customHeight="1" ht="12.8"/>
    <row r="1047779" spans="1:7" customHeight="1" ht="12.8"/>
    <row r="1047780" spans="1:7" customHeight="1" ht="12.8"/>
    <row r="1047781" spans="1:7" customHeight="1" ht="12.8"/>
    <row r="1047782" spans="1:7" customHeight="1" ht="12.8"/>
    <row r="1047783" spans="1:7" customHeight="1" ht="12.8"/>
    <row r="1047784" spans="1:7" customHeight="1" ht="12.8"/>
    <row r="1047785" spans="1:7" customHeight="1" ht="12.8"/>
    <row r="1047786" spans="1:7" customHeight="1" ht="12.8"/>
    <row r="1047787" spans="1:7" customHeight="1" ht="12.8"/>
    <row r="1047788" spans="1:7" customHeight="1" ht="12.8"/>
    <row r="1047789" spans="1:7" customHeight="1" ht="12.8"/>
    <row r="1047790" spans="1:7" customHeight="1" ht="12.8"/>
    <row r="1047791" spans="1:7" customHeight="1" ht="12.8"/>
    <row r="1047792" spans="1:7" customHeight="1" ht="12.8"/>
    <row r="1047793" spans="1:7" customHeight="1" ht="12.8"/>
    <row r="1047794" spans="1:7" customHeight="1" ht="12.8"/>
    <row r="1047795" spans="1:7" customHeight="1" ht="12.8"/>
    <row r="1047796" spans="1:7" customHeight="1" ht="12.8"/>
    <row r="1047797" spans="1:7" customHeight="1" ht="12.8"/>
    <row r="1047798" spans="1:7" customHeight="1" ht="12.8"/>
    <row r="1047799" spans="1:7" customHeight="1" ht="12.8"/>
    <row r="1047800" spans="1:7" customHeight="1" ht="12.8"/>
    <row r="1047801" spans="1:7" customHeight="1" ht="12.8"/>
    <row r="1047802" spans="1:7" customHeight="1" ht="12.8"/>
    <row r="1047803" spans="1:7" customHeight="1" ht="12.8"/>
    <row r="1047804" spans="1:7" customHeight="1" ht="12.8"/>
    <row r="1047805" spans="1:7" customHeight="1" ht="12.8"/>
    <row r="1047806" spans="1:7" customHeight="1" ht="12.8"/>
    <row r="1047807" spans="1:7" customHeight="1" ht="12.8"/>
    <row r="1047808" spans="1:7" customHeight="1" ht="12.8"/>
    <row r="1047809" spans="1:7" customHeight="1" ht="12.8"/>
    <row r="1047810" spans="1:7" customHeight="1" ht="12.8"/>
    <row r="1047811" spans="1:7" customHeight="1" ht="12.8"/>
    <row r="1047812" spans="1:7" customHeight="1" ht="12.8"/>
    <row r="1047813" spans="1:7" customHeight="1" ht="12.8"/>
    <row r="1047814" spans="1:7" customHeight="1" ht="12.8"/>
    <row r="1047815" spans="1:7" customHeight="1" ht="12.8"/>
    <row r="1047816" spans="1:7" customHeight="1" ht="12.8"/>
    <row r="1047817" spans="1:7" customHeight="1" ht="12.8"/>
    <row r="1047818" spans="1:7" customHeight="1" ht="12.8"/>
    <row r="1047819" spans="1:7" customHeight="1" ht="12.8"/>
    <row r="1047820" spans="1:7" customHeight="1" ht="12.8"/>
    <row r="1047821" spans="1:7" customHeight="1" ht="12.8"/>
    <row r="1047822" spans="1:7" customHeight="1" ht="12.8"/>
    <row r="1047823" spans="1:7" customHeight="1" ht="12.8"/>
    <row r="1047824" spans="1:7" customHeight="1" ht="12.8"/>
    <row r="1047825" spans="1:7" customHeight="1" ht="12.8"/>
    <row r="1047826" spans="1:7" customHeight="1" ht="12.8"/>
    <row r="1047827" spans="1:7" customHeight="1" ht="12.8"/>
    <row r="1047828" spans="1:7" customHeight="1" ht="12.8"/>
    <row r="1047829" spans="1:7" customHeight="1" ht="12.8"/>
    <row r="1047830" spans="1:7" customHeight="1" ht="12.8"/>
    <row r="1047831" spans="1:7" customHeight="1" ht="12.8"/>
    <row r="1047832" spans="1:7" customHeight="1" ht="12.8"/>
    <row r="1047833" spans="1:7" customHeight="1" ht="12.8"/>
    <row r="1047834" spans="1:7" customHeight="1" ht="12.8"/>
    <row r="1047835" spans="1:7" customHeight="1" ht="12.8"/>
    <row r="1047836" spans="1:7" customHeight="1" ht="12.8"/>
    <row r="1047837" spans="1:7" customHeight="1" ht="12.8"/>
    <row r="1047838" spans="1:7" customHeight="1" ht="12.8"/>
    <row r="1047839" spans="1:7" customHeight="1" ht="12.8"/>
    <row r="1047840" spans="1:7" customHeight="1" ht="12.8"/>
    <row r="1047841" spans="1:7" customHeight="1" ht="12.8"/>
    <row r="1047842" spans="1:7" customHeight="1" ht="12.8"/>
    <row r="1047843" spans="1:7" customHeight="1" ht="12.8"/>
    <row r="1047844" spans="1:7" customHeight="1" ht="12.8"/>
    <row r="1047845" spans="1:7" customHeight="1" ht="12.8"/>
    <row r="1047846" spans="1:7" customHeight="1" ht="12.8"/>
    <row r="1047847" spans="1:7" customHeight="1" ht="12.8"/>
    <row r="1047848" spans="1:7" customHeight="1" ht="12.8"/>
    <row r="1047849" spans="1:7" customHeight="1" ht="12.8"/>
    <row r="1047850" spans="1:7" customHeight="1" ht="12.8"/>
    <row r="1047851" spans="1:7" customHeight="1" ht="12.8"/>
    <row r="1047852" spans="1:7" customHeight="1" ht="12.8"/>
    <row r="1047853" spans="1:7" customHeight="1" ht="12.8"/>
    <row r="1047854" spans="1:7" customHeight="1" ht="12.8"/>
    <row r="1047855" spans="1:7" customHeight="1" ht="12.8"/>
    <row r="1047856" spans="1:7" customHeight="1" ht="12.8"/>
    <row r="1047857" spans="1:7" customHeight="1" ht="12.8"/>
    <row r="1047858" spans="1:7" customHeight="1" ht="12.8"/>
    <row r="1047859" spans="1:7" customHeight="1" ht="12.8"/>
    <row r="1047860" spans="1:7" customHeight="1" ht="12.8"/>
    <row r="1047861" spans="1:7" customHeight="1" ht="12.8"/>
    <row r="1047862" spans="1:7" customHeight="1" ht="12.8"/>
    <row r="1047863" spans="1:7" customHeight="1" ht="12.8"/>
    <row r="1047864" spans="1:7" customHeight="1" ht="12.8"/>
    <row r="1047865" spans="1:7" customHeight="1" ht="12.8"/>
    <row r="1047866" spans="1:7" customHeight="1" ht="12.8"/>
    <row r="1047867" spans="1:7" customHeight="1" ht="12.8"/>
    <row r="1047868" spans="1:7" customHeight="1" ht="12.8"/>
    <row r="1047869" spans="1:7" customHeight="1" ht="12.8"/>
    <row r="1047870" spans="1:7" customHeight="1" ht="12.8"/>
    <row r="1047871" spans="1:7" customHeight="1" ht="12.8"/>
    <row r="1047872" spans="1:7" customHeight="1" ht="12.8"/>
    <row r="1047873" spans="1:7" customHeight="1" ht="12.8"/>
    <row r="1047874" spans="1:7" customHeight="1" ht="12.8"/>
    <row r="1047875" spans="1:7" customHeight="1" ht="12.8"/>
    <row r="1047876" spans="1:7" customHeight="1" ht="12.8"/>
    <row r="1047877" spans="1:7" customHeight="1" ht="12.8"/>
    <row r="1047878" spans="1:7" customHeight="1" ht="12.8"/>
    <row r="1047879" spans="1:7" customHeight="1" ht="12.8"/>
    <row r="1047880" spans="1:7" customHeight="1" ht="12.8"/>
    <row r="1047881" spans="1:7" customHeight="1" ht="12.8"/>
    <row r="1047882" spans="1:7" customHeight="1" ht="12.8"/>
    <row r="1047883" spans="1:7" customHeight="1" ht="12.8"/>
    <row r="1047884" spans="1:7" customHeight="1" ht="12.8"/>
    <row r="1047885" spans="1:7" customHeight="1" ht="12.8"/>
    <row r="1047886" spans="1:7" customHeight="1" ht="12.8"/>
    <row r="1047887" spans="1:7" customHeight="1" ht="12.8"/>
    <row r="1047888" spans="1:7" customHeight="1" ht="12.8"/>
    <row r="1047889" spans="1:7" customHeight="1" ht="12.8"/>
    <row r="1047890" spans="1:7" customHeight="1" ht="12.8"/>
    <row r="1047891" spans="1:7" customHeight="1" ht="12.8"/>
    <row r="1047892" spans="1:7" customHeight="1" ht="12.8"/>
    <row r="1047893" spans="1:7" customHeight="1" ht="12.8"/>
    <row r="1047894" spans="1:7" customHeight="1" ht="12.8"/>
    <row r="1047895" spans="1:7" customHeight="1" ht="12.8"/>
    <row r="1047896" spans="1:7" customHeight="1" ht="12.8"/>
    <row r="1047897" spans="1:7" customHeight="1" ht="12.8"/>
    <row r="1047898" spans="1:7" customHeight="1" ht="12.8"/>
    <row r="1047899" spans="1:7" customHeight="1" ht="12.8"/>
    <row r="1047900" spans="1:7" customHeight="1" ht="12.8"/>
    <row r="1047901" spans="1:7" customHeight="1" ht="12.8"/>
    <row r="1047902" spans="1:7" customHeight="1" ht="12.8"/>
    <row r="1047903" spans="1:7" customHeight="1" ht="12.8"/>
    <row r="1047904" spans="1:7" customHeight="1" ht="12.8"/>
    <row r="1047905" spans="1:7" customHeight="1" ht="12.8"/>
    <row r="1047906" spans="1:7" customHeight="1" ht="12.8"/>
    <row r="1047907" spans="1:7" customHeight="1" ht="12.8"/>
    <row r="1047908" spans="1:7" customHeight="1" ht="12.8"/>
    <row r="1047909" spans="1:7" customHeight="1" ht="12.8"/>
    <row r="1047910" spans="1:7" customHeight="1" ht="12.8"/>
    <row r="1047911" spans="1:7" customHeight="1" ht="12.8"/>
    <row r="1047912" spans="1:7" customHeight="1" ht="12.8"/>
    <row r="1047913" spans="1:7" customHeight="1" ht="12.8"/>
    <row r="1047914" spans="1:7" customHeight="1" ht="12.8"/>
    <row r="1047915" spans="1:7" customHeight="1" ht="12.8"/>
    <row r="1047916" spans="1:7" customHeight="1" ht="12.8"/>
    <row r="1047917" spans="1:7" customHeight="1" ht="12.8"/>
    <row r="1047918" spans="1:7" customHeight="1" ht="12.8"/>
    <row r="1047919" spans="1:7" customHeight="1" ht="12.8"/>
    <row r="1047920" spans="1:7" customHeight="1" ht="12.8"/>
    <row r="1047921" spans="1:7" customHeight="1" ht="12.8"/>
    <row r="1047922" spans="1:7" customHeight="1" ht="12.8"/>
    <row r="1047923" spans="1:7" customHeight="1" ht="12.8"/>
    <row r="1047924" spans="1:7" customHeight="1" ht="12.8"/>
    <row r="1047925" spans="1:7" customHeight="1" ht="12.8"/>
    <row r="1047926" spans="1:7" customHeight="1" ht="12.8"/>
    <row r="1047927" spans="1:7" customHeight="1" ht="12.8"/>
    <row r="1047928" spans="1:7" customHeight="1" ht="12.8"/>
    <row r="1047929" spans="1:7" customHeight="1" ht="12.8"/>
    <row r="1047930" spans="1:7" customHeight="1" ht="12.8"/>
    <row r="1047931" spans="1:7" customHeight="1" ht="12.8"/>
    <row r="1047932" spans="1:7" customHeight="1" ht="12.8"/>
    <row r="1047933" spans="1:7" customHeight="1" ht="12.8"/>
    <row r="1047934" spans="1:7" customHeight="1" ht="12.8"/>
    <row r="1047935" spans="1:7" customHeight="1" ht="12.8"/>
    <row r="1047936" spans="1:7" customHeight="1" ht="12.8"/>
    <row r="1047937" spans="1:7" customHeight="1" ht="12.8"/>
    <row r="1047938" spans="1:7" customHeight="1" ht="12.8"/>
    <row r="1047939" spans="1:7" customHeight="1" ht="12.8"/>
    <row r="1047940" spans="1:7" customHeight="1" ht="12.8"/>
    <row r="1047941" spans="1:7" customHeight="1" ht="12.8"/>
    <row r="1047942" spans="1:7" customHeight="1" ht="12.8"/>
    <row r="1047943" spans="1:7" customHeight="1" ht="12.8"/>
    <row r="1047944" spans="1:7" customHeight="1" ht="12.8"/>
    <row r="1047945" spans="1:7" customHeight="1" ht="12.8"/>
    <row r="1047946" spans="1:7" customHeight="1" ht="12.8"/>
    <row r="1047947" spans="1:7" customHeight="1" ht="12.8"/>
    <row r="1047948" spans="1:7" customHeight="1" ht="12.8"/>
    <row r="1047949" spans="1:7" customHeight="1" ht="12.8"/>
    <row r="1047950" spans="1:7" customHeight="1" ht="12.8"/>
    <row r="1047951" spans="1:7" customHeight="1" ht="12.8"/>
    <row r="1047952" spans="1:7" customHeight="1" ht="12.8"/>
    <row r="1047953" spans="1:7" customHeight="1" ht="12.8"/>
    <row r="1047954" spans="1:7" customHeight="1" ht="12.8"/>
    <row r="1047955" spans="1:7" customHeight="1" ht="12.8"/>
    <row r="1047956" spans="1:7" customHeight="1" ht="12.8"/>
    <row r="1047957" spans="1:7" customHeight="1" ht="12.8"/>
    <row r="1047958" spans="1:7" customHeight="1" ht="12.8"/>
    <row r="1047959" spans="1:7" customHeight="1" ht="12.8"/>
    <row r="1047960" spans="1:7" customHeight="1" ht="12.8"/>
    <row r="1047961" spans="1:7" customHeight="1" ht="12.8"/>
    <row r="1047962" spans="1:7" customHeight="1" ht="12.8"/>
    <row r="1047963" spans="1:7" customHeight="1" ht="12.8"/>
    <row r="1047964" spans="1:7" customHeight="1" ht="12.8"/>
    <row r="1047965" spans="1:7" customHeight="1" ht="12.8"/>
    <row r="1047966" spans="1:7" customHeight="1" ht="12.8"/>
    <row r="1047967" spans="1:7" customHeight="1" ht="12.8"/>
    <row r="1047968" spans="1:7" customHeight="1" ht="12.8"/>
    <row r="1047969" spans="1:7" customHeight="1" ht="12.8"/>
    <row r="1047970" spans="1:7" customHeight="1" ht="12.8"/>
    <row r="1047971" spans="1:7" customHeight="1" ht="12.8"/>
    <row r="1047972" spans="1:7" customHeight="1" ht="12.8"/>
    <row r="1047973" spans="1:7" customHeight="1" ht="12.8"/>
    <row r="1047974" spans="1:7" customHeight="1" ht="12.8"/>
    <row r="1047975" spans="1:7" customHeight="1" ht="12.8"/>
    <row r="1047976" spans="1:7" customHeight="1" ht="12.8"/>
    <row r="1047977" spans="1:7" customHeight="1" ht="12.8"/>
    <row r="1047978" spans="1:7" customHeight="1" ht="12.8"/>
    <row r="1047979" spans="1:7" customHeight="1" ht="12.8"/>
    <row r="1047980" spans="1:7" customHeight="1" ht="12.8"/>
    <row r="1047981" spans="1:7" customHeight="1" ht="12.8"/>
    <row r="1047982" spans="1:7" customHeight="1" ht="12.8"/>
    <row r="1047983" spans="1:7" customHeight="1" ht="12.8"/>
    <row r="1047984" spans="1:7" customHeight="1" ht="12.8"/>
    <row r="1047985" spans="1:7" customHeight="1" ht="12.8"/>
    <row r="1047986" spans="1:7" customHeight="1" ht="12.8"/>
    <row r="1047987" spans="1:7" customHeight="1" ht="12.8"/>
    <row r="1047988" spans="1:7" customHeight="1" ht="12.8"/>
    <row r="1047989" spans="1:7" customHeight="1" ht="12.8"/>
    <row r="1047990" spans="1:7" customHeight="1" ht="12.8"/>
    <row r="1047991" spans="1:7" customHeight="1" ht="12.8"/>
    <row r="1047992" spans="1:7" customHeight="1" ht="12.8"/>
    <row r="1047993" spans="1:7" customHeight="1" ht="12.8"/>
    <row r="1047994" spans="1:7" customHeight="1" ht="12.8"/>
    <row r="1047995" spans="1:7" customHeight="1" ht="12.8"/>
    <row r="1047996" spans="1:7" customHeight="1" ht="12.8"/>
    <row r="1047997" spans="1:7" customHeight="1" ht="12.8"/>
    <row r="1047998" spans="1:7" customHeight="1" ht="12.8"/>
    <row r="1047999" spans="1:7" customHeight="1" ht="12.8"/>
    <row r="1048000" spans="1:7" customHeight="1" ht="12.8"/>
    <row r="1048001" spans="1:7" customHeight="1" ht="12.8"/>
    <row r="1048002" spans="1:7" customHeight="1" ht="12.8"/>
    <row r="1048003" spans="1:7" customHeight="1" ht="12.8"/>
    <row r="1048004" spans="1:7" customHeight="1" ht="12.8"/>
    <row r="1048005" spans="1:7" customHeight="1" ht="12.8"/>
    <row r="1048006" spans="1:7" customHeight="1" ht="12.8"/>
    <row r="1048007" spans="1:7" customHeight="1" ht="12.8"/>
    <row r="1048008" spans="1:7" customHeight="1" ht="12.8"/>
    <row r="1048009" spans="1:7" customHeight="1" ht="12.8"/>
    <row r="1048010" spans="1:7" customHeight="1" ht="12.8"/>
    <row r="1048011" spans="1:7" customHeight="1" ht="12.8"/>
    <row r="1048012" spans="1:7" customHeight="1" ht="12.8"/>
    <row r="1048013" spans="1:7" customHeight="1" ht="12.8"/>
    <row r="1048014" spans="1:7" customHeight="1" ht="12.8"/>
    <row r="1048015" spans="1:7" customHeight="1" ht="12.8"/>
    <row r="1048016" spans="1:7" customHeight="1" ht="12.8"/>
    <row r="1048017" spans="1:7" customHeight="1" ht="12.8"/>
    <row r="1048018" spans="1:7" customHeight="1" ht="12.8"/>
    <row r="1048019" spans="1:7" customHeight="1" ht="12.8"/>
    <row r="1048020" spans="1:7" customHeight="1" ht="12.8"/>
    <row r="1048021" spans="1:7" customHeight="1" ht="12.8"/>
    <row r="1048022" spans="1:7" customHeight="1" ht="12.8"/>
    <row r="1048023" spans="1:7" customHeight="1" ht="12.8"/>
    <row r="1048024" spans="1:7" customHeight="1" ht="12.8"/>
    <row r="1048025" spans="1:7" customHeight="1" ht="12.8"/>
    <row r="1048026" spans="1:7" customHeight="1" ht="12.8"/>
    <row r="1048027" spans="1:7" customHeight="1" ht="12.8"/>
    <row r="1048028" spans="1:7" customHeight="1" ht="12.8"/>
    <row r="1048029" spans="1:7" customHeight="1" ht="12.8"/>
    <row r="1048030" spans="1:7" customHeight="1" ht="12.8"/>
    <row r="1048031" spans="1:7" customHeight="1" ht="12.8"/>
    <row r="1048032" spans="1:7" customHeight="1" ht="12.8"/>
    <row r="1048033" spans="1:7" customHeight="1" ht="12.8"/>
    <row r="1048034" spans="1:7" customHeight="1" ht="12.8"/>
    <row r="1048035" spans="1:7" customHeight="1" ht="12.8"/>
    <row r="1048036" spans="1:7" customHeight="1" ht="12.8"/>
    <row r="1048037" spans="1:7" customHeight="1" ht="12.8"/>
    <row r="1048038" spans="1:7" customHeight="1" ht="12.8"/>
    <row r="1048039" spans="1:7" customHeight="1" ht="12.8"/>
    <row r="1048040" spans="1:7" customHeight="1" ht="12.8"/>
    <row r="1048041" spans="1:7" customHeight="1" ht="12.8"/>
    <row r="1048042" spans="1:7" customHeight="1" ht="12.8"/>
    <row r="1048043" spans="1:7" customHeight="1" ht="12.8"/>
    <row r="1048044" spans="1:7" customHeight="1" ht="12.8"/>
    <row r="1048045" spans="1:7" customHeight="1" ht="12.8"/>
    <row r="1048046" spans="1:7" customHeight="1" ht="12.8"/>
    <row r="1048047" spans="1:7" customHeight="1" ht="12.8"/>
    <row r="1048048" spans="1:7" customHeight="1" ht="12.8"/>
    <row r="1048049" spans="1:7" customHeight="1" ht="12.8"/>
    <row r="1048050" spans="1:7" customHeight="1" ht="12.8"/>
    <row r="1048051" spans="1:7" customHeight="1" ht="12.8"/>
    <row r="1048052" spans="1:7" customHeight="1" ht="12.8"/>
    <row r="1048053" spans="1:7" customHeight="1" ht="12.8"/>
    <row r="1048054" spans="1:7" customHeight="1" ht="12.8"/>
    <row r="1048055" spans="1:7" customHeight="1" ht="12.8"/>
    <row r="1048056" spans="1:7" customHeight="1" ht="12.8"/>
    <row r="1048057" spans="1:7" customHeight="1" ht="12.8"/>
    <row r="1048058" spans="1:7" customHeight="1" ht="12.8"/>
    <row r="1048059" spans="1:7" customHeight="1" ht="12.8"/>
    <row r="1048060" spans="1:7" customHeight="1" ht="12.8"/>
    <row r="1048061" spans="1:7" customHeight="1" ht="12.8"/>
    <row r="1048062" spans="1:7" customHeight="1" ht="12.8"/>
    <row r="1048063" spans="1:7" customHeight="1" ht="12.8"/>
    <row r="1048064" spans="1:7" customHeight="1" ht="12.8"/>
    <row r="1048065" spans="1:7" customHeight="1" ht="12.8"/>
    <row r="1048066" spans="1:7" customHeight="1" ht="12.8"/>
    <row r="1048067" spans="1:7" customHeight="1" ht="12.8"/>
    <row r="1048068" spans="1:7" customHeight="1" ht="12.8"/>
    <row r="1048069" spans="1:7" customHeight="1" ht="12.8"/>
    <row r="1048070" spans="1:7" customHeight="1" ht="12.8"/>
    <row r="1048071" spans="1:7" customHeight="1" ht="12.8"/>
    <row r="1048072" spans="1:7" customHeight="1" ht="12.8"/>
    <row r="1048073" spans="1:7" customHeight="1" ht="12.8"/>
    <row r="1048074" spans="1:7" customHeight="1" ht="12.8"/>
    <row r="1048075" spans="1:7" customHeight="1" ht="12.8"/>
    <row r="1048076" spans="1:7" customHeight="1" ht="12.8"/>
    <row r="1048077" spans="1:7" customHeight="1" ht="12.8"/>
    <row r="1048078" spans="1:7" customHeight="1" ht="12.8"/>
    <row r="1048079" spans="1:7" customHeight="1" ht="12.8"/>
    <row r="1048080" spans="1:7" customHeight="1" ht="12.8"/>
    <row r="1048081" spans="1:7" customHeight="1" ht="12.8"/>
    <row r="1048082" spans="1:7" customHeight="1" ht="12.8"/>
    <row r="1048083" spans="1:7" customHeight="1" ht="12.8"/>
    <row r="1048084" spans="1:7" customHeight="1" ht="12.8"/>
    <row r="1048085" spans="1:7" customHeight="1" ht="12.8"/>
    <row r="1048086" spans="1:7" customHeight="1" ht="12.8"/>
    <row r="1048087" spans="1:7" customHeight="1" ht="12.8"/>
    <row r="1048088" spans="1:7" customHeight="1" ht="12.8"/>
    <row r="1048089" spans="1:7" customHeight="1" ht="12.8"/>
    <row r="1048090" spans="1:7" customHeight="1" ht="12.8"/>
    <row r="1048091" spans="1:7" customHeight="1" ht="12.8"/>
    <row r="1048092" spans="1:7" customHeight="1" ht="12.8"/>
    <row r="1048093" spans="1:7" customHeight="1" ht="12.8"/>
    <row r="1048094" spans="1:7" customHeight="1" ht="12.8"/>
    <row r="1048095" spans="1:7" customHeight="1" ht="12.8"/>
    <row r="1048096" spans="1:7" customHeight="1" ht="12.8"/>
    <row r="1048097" spans="1:7" customHeight="1" ht="12.8"/>
    <row r="1048098" spans="1:7" customHeight="1" ht="12.8"/>
    <row r="1048099" spans="1:7" customHeight="1" ht="12.8"/>
    <row r="1048100" spans="1:7" customHeight="1" ht="12.8"/>
    <row r="1048101" spans="1:7" customHeight="1" ht="12.8"/>
    <row r="1048102" spans="1:7" customHeight="1" ht="12.8"/>
    <row r="1048103" spans="1:7" customHeight="1" ht="12.8"/>
    <row r="1048104" spans="1:7" customHeight="1" ht="12.8"/>
    <row r="1048105" spans="1:7" customHeight="1" ht="12.8"/>
    <row r="1048106" spans="1:7" customHeight="1" ht="12.8"/>
    <row r="1048107" spans="1:7" customHeight="1" ht="12.8"/>
    <row r="1048108" spans="1:7" customHeight="1" ht="12.8"/>
    <row r="1048109" spans="1:7" customHeight="1" ht="12.8"/>
    <row r="1048110" spans="1:7" customHeight="1" ht="12.8"/>
    <row r="1048111" spans="1:7" customHeight="1" ht="12.8"/>
    <row r="1048112" spans="1:7" customHeight="1" ht="12.8"/>
    <row r="1048113" spans="1:7" customHeight="1" ht="12.8"/>
    <row r="1048114" spans="1:7" customHeight="1" ht="12.8"/>
    <row r="1048115" spans="1:7" customHeight="1" ht="12.8"/>
    <row r="1048116" spans="1:7" customHeight="1" ht="12.8"/>
    <row r="1048117" spans="1:7" customHeight="1" ht="12.8"/>
    <row r="1048118" spans="1:7" customHeight="1" ht="12.8"/>
    <row r="1048119" spans="1:7" customHeight="1" ht="12.8"/>
    <row r="1048120" spans="1:7" customHeight="1" ht="12.8"/>
    <row r="1048121" spans="1:7" customHeight="1" ht="12.8"/>
    <row r="1048122" spans="1:7" customHeight="1" ht="12.8"/>
    <row r="1048123" spans="1:7" customHeight="1" ht="12.8"/>
    <row r="1048124" spans="1:7" customHeight="1" ht="12.8"/>
    <row r="1048125" spans="1:7" customHeight="1" ht="12.8"/>
    <row r="1048126" spans="1:7" customHeight="1" ht="12.8"/>
    <row r="1048127" spans="1:7" customHeight="1" ht="12.8"/>
    <row r="1048128" spans="1:7" customHeight="1" ht="12.8"/>
    <row r="1048129" spans="1:7" customHeight="1" ht="12.8"/>
    <row r="1048130" spans="1:7" customHeight="1" ht="12.8"/>
    <row r="1048131" spans="1:7" customHeight="1" ht="12.8"/>
    <row r="1048132" spans="1:7" customHeight="1" ht="12.8"/>
    <row r="1048133" spans="1:7" customHeight="1" ht="12.8"/>
    <row r="1048134" spans="1:7" customHeight="1" ht="12.8"/>
    <row r="1048135" spans="1:7" customHeight="1" ht="12.8"/>
    <row r="1048136" spans="1:7" customHeight="1" ht="12.8"/>
    <row r="1048137" spans="1:7" customHeight="1" ht="12.8"/>
    <row r="1048138" spans="1:7" customHeight="1" ht="12.8"/>
    <row r="1048139" spans="1:7" customHeight="1" ht="12.8"/>
    <row r="1048140" spans="1:7" customHeight="1" ht="12.8"/>
    <row r="1048141" spans="1:7" customHeight="1" ht="12.8"/>
    <row r="1048142" spans="1:7" customHeight="1" ht="12.8"/>
    <row r="1048143" spans="1:7" customHeight="1" ht="12.8"/>
    <row r="1048144" spans="1:7" customHeight="1" ht="12.8"/>
    <row r="1048145" spans="1:7" customHeight="1" ht="12.8"/>
    <row r="1048146" spans="1:7" customHeight="1" ht="12.8"/>
    <row r="1048147" spans="1:7" customHeight="1" ht="12.8"/>
    <row r="1048148" spans="1:7" customHeight="1" ht="12.8"/>
    <row r="1048149" spans="1:7" customHeight="1" ht="12.8"/>
    <row r="1048150" spans="1:7" customHeight="1" ht="12.8"/>
    <row r="1048151" spans="1:7" customHeight="1" ht="12.8"/>
    <row r="1048152" spans="1:7" customHeight="1" ht="12.8"/>
    <row r="1048153" spans="1:7" customHeight="1" ht="12.8"/>
    <row r="1048154" spans="1:7" customHeight="1" ht="12.8"/>
    <row r="1048155" spans="1:7" customHeight="1" ht="12.8"/>
    <row r="1048156" spans="1:7" customHeight="1" ht="12.8"/>
    <row r="1048157" spans="1:7" customHeight="1" ht="12.8"/>
    <row r="1048158" spans="1:7" customHeight="1" ht="12.8"/>
    <row r="1048159" spans="1:7" customHeight="1" ht="12.8"/>
    <row r="1048160" spans="1:7" customHeight="1" ht="12.8"/>
    <row r="1048161" spans="1:7" customHeight="1" ht="12.8"/>
    <row r="1048162" spans="1:7" customHeight="1" ht="12.8"/>
    <row r="1048163" spans="1:7" customHeight="1" ht="12.8"/>
    <row r="1048164" spans="1:7" customHeight="1" ht="12.8"/>
    <row r="1048165" spans="1:7" customHeight="1" ht="12.8"/>
    <row r="1048166" spans="1:7" customHeight="1" ht="12.8"/>
    <row r="1048167" spans="1:7" customHeight="1" ht="12.8"/>
    <row r="1048168" spans="1:7" customHeight="1" ht="12.8"/>
    <row r="1048169" spans="1:7" customHeight="1" ht="12.8"/>
    <row r="1048170" spans="1:7" customHeight="1" ht="12.8"/>
    <row r="1048171" spans="1:7" customHeight="1" ht="12.8"/>
    <row r="1048172" spans="1:7" customHeight="1" ht="12.8"/>
    <row r="1048173" spans="1:7" customHeight="1" ht="12.8"/>
    <row r="1048174" spans="1:7" customHeight="1" ht="12.8"/>
    <row r="1048175" spans="1:7" customHeight="1" ht="12.8"/>
    <row r="1048176" spans="1:7" customHeight="1" ht="12.8"/>
    <row r="1048177" spans="1:7" customHeight="1" ht="12.8"/>
    <row r="1048178" spans="1:7" customHeight="1" ht="12.8"/>
    <row r="1048179" spans="1:7" customHeight="1" ht="12.8"/>
    <row r="1048180" spans="1:7" customHeight="1" ht="12.8"/>
    <row r="1048181" spans="1:7" customHeight="1" ht="12.8"/>
    <row r="1048182" spans="1:7" customHeight="1" ht="12.8"/>
    <row r="1048183" spans="1:7" customHeight="1" ht="12.8"/>
    <row r="1048184" spans="1:7" customHeight="1" ht="12.8"/>
    <row r="1048185" spans="1:7" customHeight="1" ht="12.8"/>
    <row r="1048186" spans="1:7" customHeight="1" ht="12.8"/>
    <row r="1048187" spans="1:7" customHeight="1" ht="12.8"/>
    <row r="1048188" spans="1:7" customHeight="1" ht="12.8"/>
    <row r="1048189" spans="1:7" customHeight="1" ht="12.8"/>
    <row r="1048190" spans="1:7" customHeight="1" ht="12.8"/>
    <row r="1048191" spans="1:7" customHeight="1" ht="12.8"/>
    <row r="1048192" spans="1:7" customHeight="1" ht="12.8"/>
    <row r="1048193" spans="1:7" customHeight="1" ht="12.8"/>
    <row r="1048194" spans="1:7" customHeight="1" ht="12.8"/>
    <row r="1048195" spans="1:7" customHeight="1" ht="12.8"/>
    <row r="1048196" spans="1:7" customHeight="1" ht="12.8"/>
    <row r="1048197" spans="1:7" customHeight="1" ht="12.8"/>
    <row r="1048198" spans="1:7" customHeight="1" ht="12.8"/>
    <row r="1048199" spans="1:7" customHeight="1" ht="12.8"/>
    <row r="1048200" spans="1:7" customHeight="1" ht="12.8"/>
    <row r="1048201" spans="1:7" customHeight="1" ht="12.8"/>
    <row r="1048202" spans="1:7" customHeight="1" ht="12.8"/>
    <row r="1048203" spans="1:7" customHeight="1" ht="12.8"/>
    <row r="1048204" spans="1:7" customHeight="1" ht="12.8"/>
    <row r="1048205" spans="1:7" customHeight="1" ht="12.8"/>
    <row r="1048206" spans="1:7" customHeight="1" ht="12.8"/>
    <row r="1048207" spans="1:7" customHeight="1" ht="12.8"/>
    <row r="1048208" spans="1:7" customHeight="1" ht="12.8"/>
    <row r="1048209" spans="1:7" customHeight="1" ht="12.8"/>
    <row r="1048210" spans="1:7" customHeight="1" ht="12.8"/>
    <row r="1048211" spans="1:7" customHeight="1" ht="12.8"/>
    <row r="1048212" spans="1:7" customHeight="1" ht="12.8"/>
    <row r="1048213" spans="1:7" customHeight="1" ht="12.8"/>
    <row r="1048214" spans="1:7" customHeight="1" ht="12.8"/>
    <row r="1048215" spans="1:7" customHeight="1" ht="12.8"/>
    <row r="1048216" spans="1:7" customHeight="1" ht="12.8"/>
    <row r="1048217" spans="1:7" customHeight="1" ht="12.8"/>
    <row r="1048218" spans="1:7" customHeight="1" ht="12.8"/>
    <row r="1048219" spans="1:7" customHeight="1" ht="12.8"/>
    <row r="1048220" spans="1:7" customHeight="1" ht="12.8"/>
    <row r="1048221" spans="1:7" customHeight="1" ht="12.8"/>
    <row r="1048222" spans="1:7" customHeight="1" ht="12.8"/>
    <row r="1048223" spans="1:7" customHeight="1" ht="12.8"/>
    <row r="1048224" spans="1:7" customHeight="1" ht="12.8"/>
    <row r="1048225" spans="1:7" customHeight="1" ht="12.8"/>
    <row r="1048226" spans="1:7" customHeight="1" ht="12.8"/>
    <row r="1048227" spans="1:7" customHeight="1" ht="12.8"/>
    <row r="1048228" spans="1:7" customHeight="1" ht="12.8"/>
    <row r="1048229" spans="1:7" customHeight="1" ht="12.8"/>
    <row r="1048230" spans="1:7" customHeight="1" ht="12.8"/>
    <row r="1048231" spans="1:7" customHeight="1" ht="12.8"/>
    <row r="1048232" spans="1:7" customHeight="1" ht="12.8"/>
    <row r="1048233" spans="1:7" customHeight="1" ht="12.8"/>
    <row r="1048234" spans="1:7" customHeight="1" ht="12.8"/>
    <row r="1048235" spans="1:7" customHeight="1" ht="12.8"/>
    <row r="1048236" spans="1:7" customHeight="1" ht="12.8"/>
    <row r="1048237" spans="1:7" customHeight="1" ht="12.8"/>
    <row r="1048238" spans="1:7" customHeight="1" ht="12.8"/>
    <row r="1048239" spans="1:7" customHeight="1" ht="12.8"/>
    <row r="1048240" spans="1:7" customHeight="1" ht="12.8"/>
    <row r="1048241" spans="1:7" customHeight="1" ht="12.8"/>
    <row r="1048242" spans="1:7" customHeight="1" ht="12.8"/>
    <row r="1048243" spans="1:7" customHeight="1" ht="12.8"/>
    <row r="1048244" spans="1:7" customHeight="1" ht="12.8"/>
    <row r="1048245" spans="1:7" customHeight="1" ht="12.8"/>
    <row r="1048246" spans="1:7" customHeight="1" ht="12.8"/>
    <row r="1048247" spans="1:7" customHeight="1" ht="12.8"/>
    <row r="1048248" spans="1:7" customHeight="1" ht="12.8"/>
    <row r="1048249" spans="1:7" customHeight="1" ht="12.8"/>
    <row r="1048250" spans="1:7" customHeight="1" ht="12.8"/>
    <row r="1048251" spans="1:7" customHeight="1" ht="12.8"/>
    <row r="1048252" spans="1:7" customHeight="1" ht="12.8"/>
    <row r="1048253" spans="1:7" customHeight="1" ht="12.8"/>
    <row r="1048254" spans="1:7" customHeight="1" ht="12.8"/>
    <row r="1048255" spans="1:7" customHeight="1" ht="12.8"/>
    <row r="1048256" spans="1:7" customHeight="1" ht="12.8"/>
    <row r="1048257" spans="1:7" customHeight="1" ht="12.8"/>
    <row r="1048258" spans="1:7" customHeight="1" ht="12.8"/>
    <row r="1048259" spans="1:7" customHeight="1" ht="12.8"/>
    <row r="1048260" spans="1:7" customHeight="1" ht="12.8"/>
    <row r="1048261" spans="1:7" customHeight="1" ht="12.8"/>
    <row r="1048262" spans="1:7" customHeight="1" ht="12.8"/>
    <row r="1048263" spans="1:7" customHeight="1" ht="12.8"/>
    <row r="1048264" spans="1:7" customHeight="1" ht="12.8"/>
    <row r="1048265" spans="1:7" customHeight="1" ht="12.8"/>
    <row r="1048266" spans="1:7" customHeight="1" ht="12.8"/>
    <row r="1048267" spans="1:7" customHeight="1" ht="12.8"/>
    <row r="1048268" spans="1:7" customHeight="1" ht="12.8"/>
    <row r="1048269" spans="1:7" customHeight="1" ht="12.8"/>
    <row r="1048270" spans="1:7" customHeight="1" ht="12.8"/>
    <row r="1048271" spans="1:7" customHeight="1" ht="12.8"/>
    <row r="1048272" spans="1:7" customHeight="1" ht="12.8"/>
    <row r="1048273" spans="1:7" customHeight="1" ht="12.8"/>
    <row r="1048274" spans="1:7" customHeight="1" ht="12.8"/>
    <row r="1048275" spans="1:7" customHeight="1" ht="12.8"/>
    <row r="1048276" spans="1:7" customHeight="1" ht="12.8"/>
    <row r="1048277" spans="1:7" customHeight="1" ht="12.8"/>
    <row r="1048278" spans="1:7" customHeight="1" ht="12.8"/>
    <row r="1048279" spans="1:7" customHeight="1" ht="12.8"/>
    <row r="1048280" spans="1:7" customHeight="1" ht="12.8"/>
    <row r="1048281" spans="1:7" customHeight="1" ht="12.8"/>
    <row r="1048282" spans="1:7" customHeight="1" ht="12.8"/>
    <row r="1048283" spans="1:7" customHeight="1" ht="12.8"/>
    <row r="1048284" spans="1:7" customHeight="1" ht="12.8"/>
    <row r="1048285" spans="1:7" customHeight="1" ht="12.8"/>
    <row r="1048286" spans="1:7" customHeight="1" ht="12.8"/>
    <row r="1048287" spans="1:7" customHeight="1" ht="12.8"/>
    <row r="1048288" spans="1:7" customHeight="1" ht="12.8"/>
    <row r="1048289" spans="1:7" customHeight="1" ht="12.8"/>
    <row r="1048290" spans="1:7" customHeight="1" ht="12.8"/>
    <row r="1048291" spans="1:7" customHeight="1" ht="12.8"/>
    <row r="1048292" spans="1:7" customHeight="1" ht="12.8"/>
    <row r="1048293" spans="1:7" customHeight="1" ht="12.8"/>
    <row r="1048294" spans="1:7" customHeight="1" ht="12.8"/>
    <row r="1048295" spans="1:7" customHeight="1" ht="12.8"/>
    <row r="1048296" spans="1:7" customHeight="1" ht="12.8"/>
    <row r="1048297" spans="1:7" customHeight="1" ht="12.8"/>
    <row r="1048298" spans="1:7" customHeight="1" ht="12.8"/>
    <row r="1048299" spans="1:7" customHeight="1" ht="12.8"/>
    <row r="1048300" spans="1:7" customHeight="1" ht="12.8"/>
    <row r="1048301" spans="1:7" customHeight="1" ht="12.8"/>
    <row r="1048302" spans="1:7" customHeight="1" ht="12.8"/>
    <row r="1048303" spans="1:7" customHeight="1" ht="12.8"/>
    <row r="1048304" spans="1:7" customHeight="1" ht="12.8"/>
    <row r="1048305" spans="1:7" customHeight="1" ht="12.8"/>
    <row r="1048306" spans="1:7" customHeight="1" ht="12.8"/>
    <row r="1048307" spans="1:7" customHeight="1" ht="12.8"/>
    <row r="1048308" spans="1:7" customHeight="1" ht="12.8"/>
    <row r="1048309" spans="1:7" customHeight="1" ht="12.8"/>
    <row r="1048310" spans="1:7" customHeight="1" ht="12.8"/>
    <row r="1048311" spans="1:7" customHeight="1" ht="12.8"/>
    <row r="1048312" spans="1:7" customHeight="1" ht="12.8"/>
    <row r="1048313" spans="1:7" customHeight="1" ht="12.8"/>
    <row r="1048314" spans="1:7" customHeight="1" ht="12.8"/>
    <row r="1048315" spans="1:7" customHeight="1" ht="12.8"/>
    <row r="1048316" spans="1:7" customHeight="1" ht="12.8"/>
    <row r="1048317" spans="1:7" customHeight="1" ht="12.8"/>
    <row r="1048318" spans="1:7" customHeight="1" ht="12.8"/>
    <row r="1048319" spans="1:7" customHeight="1" ht="12.8"/>
    <row r="1048320" spans="1:7" customHeight="1" ht="12.8"/>
    <row r="1048321" spans="1:7" customHeight="1" ht="12.8"/>
    <row r="1048322" spans="1:7" customHeight="1" ht="12.8"/>
    <row r="1048323" spans="1:7" customHeight="1" ht="12.8"/>
    <row r="1048324" spans="1:7" customHeight="1" ht="12.8"/>
    <row r="1048325" spans="1:7" customHeight="1" ht="12.8"/>
    <row r="1048326" spans="1:7" customHeight="1" ht="12.8"/>
    <row r="1048327" spans="1:7" customHeight="1" ht="12.8"/>
    <row r="1048328" spans="1:7" customHeight="1" ht="12.8"/>
    <row r="1048329" spans="1:7" customHeight="1" ht="12.8"/>
    <row r="1048330" spans="1:7" customHeight="1" ht="12.8"/>
    <row r="1048331" spans="1:7" customHeight="1" ht="12.8"/>
    <row r="1048332" spans="1:7" customHeight="1" ht="12.8"/>
    <row r="1048333" spans="1:7" customHeight="1" ht="12.8"/>
    <row r="1048334" spans="1:7" customHeight="1" ht="12.8"/>
    <row r="1048335" spans="1:7" customHeight="1" ht="12.8"/>
    <row r="1048336" spans="1:7" customHeight="1" ht="12.8"/>
    <row r="1048337" spans="1:7" customHeight="1" ht="12.8"/>
    <row r="1048338" spans="1:7" customHeight="1" ht="12.8"/>
    <row r="1048339" spans="1:7" customHeight="1" ht="12.8"/>
    <row r="1048340" spans="1:7" customHeight="1" ht="12.8"/>
    <row r="1048341" spans="1:7" customHeight="1" ht="12.8"/>
    <row r="1048342" spans="1:7" customHeight="1" ht="12.8"/>
    <row r="1048343" spans="1:7" customHeight="1" ht="12.8"/>
    <row r="1048344" spans="1:7" customHeight="1" ht="12.8"/>
    <row r="1048345" spans="1:7" customHeight="1" ht="12.8"/>
    <row r="1048346" spans="1:7" customHeight="1" ht="12.8"/>
    <row r="1048347" spans="1:7" customHeight="1" ht="12.8"/>
    <row r="1048348" spans="1:7" customHeight="1" ht="12.8"/>
    <row r="1048349" spans="1:7" customHeight="1" ht="12.8"/>
    <row r="1048350" spans="1:7" customHeight="1" ht="12.8"/>
    <row r="1048351" spans="1:7" customHeight="1" ht="12.8"/>
    <row r="1048352" spans="1:7" customHeight="1" ht="12.8"/>
    <row r="1048353" spans="1:7" customHeight="1" ht="12.8"/>
    <row r="1048354" spans="1:7" customHeight="1" ht="12.8"/>
    <row r="1048355" spans="1:7" customHeight="1" ht="12.8"/>
    <row r="1048356" spans="1:7" customHeight="1" ht="12.8"/>
    <row r="1048357" spans="1:7" customHeight="1" ht="12.8"/>
    <row r="1048358" spans="1:7" customHeight="1" ht="12.8"/>
    <row r="1048359" spans="1:7" customHeight="1" ht="12.8"/>
    <row r="1048360" spans="1:7" customHeight="1" ht="12.8"/>
    <row r="1048361" spans="1:7" customHeight="1" ht="12.8"/>
    <row r="1048362" spans="1:7" customHeight="1" ht="12.8"/>
    <row r="1048363" spans="1:7" customHeight="1" ht="12.8"/>
    <row r="1048364" spans="1:7" customHeight="1" ht="12.8"/>
    <row r="1048365" spans="1:7" customHeight="1" ht="12.8"/>
    <row r="1048366" spans="1:7" customHeight="1" ht="12.8"/>
    <row r="1048367" spans="1:7" customHeight="1" ht="12.8"/>
    <row r="1048368" spans="1:7" customHeight="1" ht="12.8"/>
    <row r="1048369" spans="1:7" customHeight="1" ht="12.8"/>
    <row r="1048370" spans="1:7" customHeight="1" ht="12.8"/>
    <row r="1048371" spans="1:7" customHeight="1" ht="12.8"/>
    <row r="1048372" spans="1:7" customHeight="1" ht="12.8"/>
    <row r="1048373" spans="1:7" customHeight="1" ht="12.8"/>
    <row r="1048374" spans="1:7" customHeight="1" ht="12.8"/>
    <row r="1048375" spans="1:7" customHeight="1" ht="12.8"/>
    <row r="1048376" spans="1:7" customHeight="1" ht="12.8"/>
    <row r="1048377" spans="1:7" customHeight="1" ht="12.8"/>
    <row r="1048378" spans="1:7" customHeight="1" ht="12.8"/>
    <row r="1048379" spans="1:7" customHeight="1" ht="12.8"/>
    <row r="1048380" spans="1:7" customHeight="1" ht="12.8"/>
    <row r="1048381" spans="1:7" customHeight="1" ht="12.8"/>
    <row r="1048382" spans="1:7" customHeight="1" ht="12.8"/>
    <row r="1048383" spans="1:7" customHeight="1" ht="12.8"/>
    <row r="1048384" spans="1:7" customHeight="1" ht="12.8"/>
    <row r="1048385" spans="1:7" customHeight="1" ht="12.8"/>
    <row r="1048386" spans="1:7" customHeight="1" ht="12.8"/>
    <row r="1048387" spans="1:7" customHeight="1" ht="12.8"/>
    <row r="1048388" spans="1:7" customHeight="1" ht="12.8"/>
    <row r="1048389" spans="1:7" customHeight="1" ht="12.8"/>
    <row r="1048390" spans="1:7" customHeight="1" ht="12.8"/>
    <row r="1048391" spans="1:7" customHeight="1" ht="12.8"/>
    <row r="1048392" spans="1:7" customHeight="1" ht="12.8"/>
    <row r="1048393" spans="1:7" customHeight="1" ht="12.8"/>
    <row r="1048394" spans="1:7" customHeight="1" ht="12.8"/>
    <row r="1048395" spans="1:7" customHeight="1" ht="12.8"/>
    <row r="1048396" spans="1:7" customHeight="1" ht="12.8"/>
    <row r="1048397" spans="1:7" customHeight="1" ht="12.8"/>
    <row r="1048398" spans="1:7" customHeight="1" ht="12.8"/>
    <row r="1048399" spans="1:7" customHeight="1" ht="12.8"/>
    <row r="1048400" spans="1:7" customHeight="1" ht="12.8"/>
    <row r="1048401" spans="1:7" customHeight="1" ht="12.8"/>
    <row r="1048402" spans="1:7" customHeight="1" ht="12.8"/>
    <row r="1048403" spans="1:7" customHeight="1" ht="12.8"/>
    <row r="1048404" spans="1:7" customHeight="1" ht="12.8"/>
    <row r="1048405" spans="1:7" customHeight="1" ht="12.8"/>
    <row r="1048406" spans="1:7" customHeight="1" ht="12.8"/>
    <row r="1048407" spans="1:7" customHeight="1" ht="12.8"/>
    <row r="1048408" spans="1:7" customHeight="1" ht="12.8"/>
    <row r="1048409" spans="1:7" customHeight="1" ht="12.8"/>
    <row r="1048410" spans="1:7" customHeight="1" ht="12.8"/>
    <row r="1048411" spans="1:7" customHeight="1" ht="12.8"/>
    <row r="1048412" spans="1:7" customHeight="1" ht="12.8"/>
    <row r="1048413" spans="1:7" customHeight="1" ht="12.8"/>
    <row r="1048414" spans="1:7" customHeight="1" ht="12.8"/>
    <row r="1048415" spans="1:7" customHeight="1" ht="12.8"/>
    <row r="1048416" spans="1:7" customHeight="1" ht="12.8"/>
    <row r="1048417" spans="1:7" customHeight="1" ht="12.8"/>
    <row r="1048418" spans="1:7" customHeight="1" ht="12.8"/>
    <row r="1048419" spans="1:7" customHeight="1" ht="12.8"/>
    <row r="1048420" spans="1:7" customHeight="1" ht="12.8"/>
    <row r="1048421" spans="1:7" customHeight="1" ht="12.8"/>
    <row r="1048422" spans="1:7" customHeight="1" ht="12.8"/>
    <row r="1048423" spans="1:7" customHeight="1" ht="12.8"/>
    <row r="1048424" spans="1:7" customHeight="1" ht="12.8"/>
    <row r="1048425" spans="1:7" customHeight="1" ht="12.8"/>
    <row r="1048426" spans="1:7" customHeight="1" ht="12.8"/>
    <row r="1048427" spans="1:7" customHeight="1" ht="12.8"/>
    <row r="1048428" spans="1:7" customHeight="1" ht="12.8"/>
    <row r="1048429" spans="1:7" customHeight="1" ht="12.8"/>
    <row r="1048430" spans="1:7" customHeight="1" ht="12.8"/>
    <row r="1048431" spans="1:7" customHeight="1" ht="12.8"/>
    <row r="1048432" spans="1:7" customHeight="1" ht="12.8"/>
    <row r="1048433" spans="1:7" customHeight="1" ht="12.8"/>
    <row r="1048434" spans="1:7" customHeight="1" ht="12.8"/>
    <row r="1048435" spans="1:7" customHeight="1" ht="12.8"/>
    <row r="1048436" spans="1:7" customHeight="1" ht="12.8"/>
    <row r="1048437" spans="1:7" customHeight="1" ht="12.8"/>
    <row r="1048438" spans="1:7" customHeight="1" ht="12.8"/>
    <row r="1048439" spans="1:7" customHeight="1" ht="12.8"/>
    <row r="1048440" spans="1:7" customHeight="1" ht="12.8"/>
    <row r="1048441" spans="1:7" customHeight="1" ht="12.8"/>
    <row r="1048442" spans="1:7" customHeight="1" ht="12.8"/>
    <row r="1048443" spans="1:7" customHeight="1" ht="12.8"/>
    <row r="1048444" spans="1:7" customHeight="1" ht="12.8"/>
    <row r="1048445" spans="1:7" customHeight="1" ht="12.8"/>
    <row r="1048446" spans="1:7" customHeight="1" ht="12.8"/>
    <row r="1048447" spans="1:7" customHeight="1" ht="12.8"/>
    <row r="1048448" spans="1:7" customHeight="1" ht="12.8"/>
    <row r="1048449" spans="1:7" customHeight="1" ht="12.8"/>
    <row r="1048450" spans="1:7" customHeight="1" ht="12.8"/>
    <row r="1048451" spans="1:7" customHeight="1" ht="12.8"/>
    <row r="1048452" spans="1:7" customHeight="1" ht="12.8"/>
    <row r="1048453" spans="1:7" customHeight="1" ht="12.8"/>
    <row r="1048454" spans="1:7" customHeight="1" ht="12.8"/>
    <row r="1048455" spans="1:7" customHeight="1" ht="12.8"/>
    <row r="1048456" spans="1:7" customHeight="1" ht="12.8"/>
    <row r="1048457" spans="1:7" customHeight="1" ht="12.8"/>
    <row r="1048458" spans="1:7" customHeight="1" ht="12.8"/>
    <row r="1048459" spans="1:7" customHeight="1" ht="12.8"/>
    <row r="1048460" spans="1:7" customHeight="1" ht="12.8"/>
    <row r="1048461" spans="1:7" customHeight="1" ht="12.8"/>
    <row r="1048462" spans="1:7" customHeight="1" ht="12.8"/>
    <row r="1048463" spans="1:7" customHeight="1" ht="12.8"/>
    <row r="1048464" spans="1:7" customHeight="1" ht="12.8"/>
    <row r="1048465" spans="1:7" customHeight="1" ht="12.8"/>
    <row r="1048466" spans="1:7" customHeight="1" ht="12.8"/>
    <row r="1048467" spans="1:7" customHeight="1" ht="12.8"/>
    <row r="1048468" spans="1:7" customHeight="1" ht="12.8"/>
    <row r="1048469" spans="1:7" customHeight="1" ht="12.8"/>
    <row r="1048470" spans="1:7" customHeight="1" ht="12.8"/>
    <row r="1048471" spans="1:7" customHeight="1" ht="12.8"/>
    <row r="1048472" spans="1:7" customHeight="1" ht="12.8"/>
    <row r="1048473" spans="1:7" customHeight="1" ht="12.8"/>
    <row r="1048474" spans="1:7" customHeight="1" ht="12.8"/>
    <row r="1048475" spans="1:7" customHeight="1" ht="12.8"/>
    <row r="1048476" spans="1:7" customHeight="1" ht="12.8"/>
    <row r="1048477" spans="1:7" customHeight="1" ht="12.8"/>
    <row r="1048478" spans="1:7" customHeight="1" ht="12.8"/>
    <row r="1048479" spans="1:7" customHeight="1" ht="12.8"/>
    <row r="1048480" spans="1:7" customHeight="1" ht="12.8"/>
    <row r="1048481" spans="1:7" customHeight="1" ht="12.8"/>
    <row r="1048482" spans="1:7" customHeight="1" ht="12.8"/>
    <row r="1048483" spans="1:7" customHeight="1" ht="12.8"/>
    <row r="1048484" spans="1:7" customHeight="1" ht="12.8"/>
    <row r="1048485" spans="1:7" customHeight="1" ht="12.8"/>
    <row r="1048486" spans="1:7" customHeight="1" ht="12.8"/>
    <row r="1048487" spans="1:7" customHeight="1" ht="12.8"/>
    <row r="1048488" spans="1:7" customHeight="1" ht="12.8"/>
    <row r="1048489" spans="1:7" customHeight="1" ht="12.8"/>
    <row r="1048490" spans="1:7" customHeight="1" ht="12.8"/>
    <row r="1048491" spans="1:7" customHeight="1" ht="12.8"/>
    <row r="1048492" spans="1:7" customHeight="1" ht="12.8"/>
    <row r="1048493" spans="1:7" customHeight="1" ht="12.8"/>
    <row r="1048494" spans="1:7" customHeight="1" ht="12.8"/>
    <row r="1048495" spans="1:7" customHeight="1" ht="12.8"/>
    <row r="1048496" spans="1:7" customHeight="1" ht="12.8"/>
    <row r="1048497" spans="1:7" customHeight="1" ht="12.8"/>
    <row r="1048498" spans="1:7" customHeight="1" ht="12.8"/>
    <row r="1048499" spans="1:7" customHeight="1" ht="12.8"/>
    <row r="1048500" spans="1:7" customHeight="1" ht="12.8"/>
    <row r="1048501" spans="1:7" customHeight="1" ht="12.8"/>
    <row r="1048502" spans="1:7" customHeight="1" ht="12.8"/>
    <row r="1048503" spans="1:7" customHeight="1" ht="12.8"/>
    <row r="1048504" spans="1:7" customHeight="1" ht="12.8"/>
    <row r="1048505" spans="1:7" customHeight="1" ht="12.8"/>
    <row r="1048506" spans="1:7" customHeight="1" ht="12.8"/>
    <row r="1048507" spans="1:7" customHeight="1" ht="12.8"/>
    <row r="1048508" spans="1:7" customHeight="1" ht="12.8"/>
    <row r="1048509" spans="1:7" customHeight="1" ht="12.8"/>
    <row r="1048510" spans="1:7" customHeight="1" ht="12.8"/>
    <row r="1048511" spans="1:7" customHeight="1" ht="12.8"/>
    <row r="1048512" spans="1:7" customHeight="1" ht="12.8"/>
    <row r="1048513" spans="1:7" customHeight="1" ht="12.8"/>
    <row r="1048514" spans="1:7" customHeight="1" ht="12.8"/>
    <row r="1048515" spans="1:7" customHeight="1" ht="12.8"/>
    <row r="1048516" spans="1:7" customHeight="1" ht="12.8"/>
    <row r="1048517" spans="1:7" customHeight="1" ht="12.8"/>
    <row r="1048518" spans="1:7" customHeight="1" ht="12.8"/>
    <row r="1048519" spans="1:7" customHeight="1" ht="12.8"/>
    <row r="1048520" spans="1:7" customHeight="1" ht="12.8"/>
    <row r="1048521" spans="1:7" customHeight="1" ht="12.8"/>
    <row r="1048522" spans="1:7" customHeight="1" ht="12.8"/>
    <row r="1048523" spans="1:7" customHeight="1" ht="12.8"/>
    <row r="1048524" spans="1:7" customHeight="1" ht="12.8"/>
    <row r="1048525" spans="1:7" customHeight="1" ht="12.8"/>
    <row r="1048526" spans="1:7" customHeight="1" ht="12.8"/>
    <row r="1048527" spans="1:7" customHeight="1" ht="12.8"/>
    <row r="1048528" spans="1:7" customHeight="1" ht="12.8"/>
    <row r="1048529" spans="1:7" customHeight="1" ht="12.8"/>
    <row r="1048530" spans="1:7" customHeight="1" ht="12.8"/>
    <row r="1048531" spans="1:7" customHeight="1" ht="12.8"/>
    <row r="1048532" spans="1:7" customHeight="1" ht="12.8"/>
    <row r="1048533" spans="1:7" customHeight="1" ht="12.8"/>
    <row r="1048534" spans="1:7" customHeight="1" ht="12.8"/>
    <row r="1048535" spans="1:7" customHeight="1" ht="12.8"/>
    <row r="1048536" spans="1:7" customHeight="1" ht="12.8"/>
    <row r="1048537" spans="1:7" customHeight="1" ht="12.8"/>
    <row r="1048538" spans="1:7" customHeight="1" ht="12.8"/>
    <row r="1048539" spans="1:7" customHeight="1" ht="12.8"/>
    <row r="1048540" spans="1:7" customHeight="1" ht="12.8"/>
    <row r="1048541" spans="1:7" customHeight="1" ht="12.8"/>
    <row r="1048542" spans="1:7" customHeight="1" ht="12.8"/>
    <row r="1048543" spans="1:7" customHeight="1" ht="12.8"/>
    <row r="1048544" spans="1:7" customHeight="1" ht="12.8"/>
    <row r="1048545" spans="1:7" customHeight="1" ht="12.8"/>
    <row r="1048546" spans="1:7" customHeight="1" ht="12.8"/>
    <row r="1048547" spans="1:7" customHeight="1" ht="12.8"/>
    <row r="1048548" spans="1:7" customHeight="1" ht="12.8"/>
    <row r="1048549" spans="1:7" customHeight="1" ht="12.8"/>
    <row r="1048550" spans="1:7" customHeight="1" ht="12.8"/>
    <row r="1048551" spans="1:7" customHeight="1" ht="12.8"/>
    <row r="1048552" spans="1:7" customHeight="1" ht="12.8"/>
    <row r="1048553" spans="1:7" customHeight="1" ht="12.8"/>
    <row r="1048554" spans="1:7" customHeight="1" ht="12.8"/>
    <row r="1048555" spans="1:7" customHeight="1" ht="12.8"/>
    <row r="1048556" spans="1:7" customHeight="1" ht="12.8"/>
    <row r="1048557" spans="1:7" customHeight="1" ht="12.8"/>
    <row r="1048558" spans="1:7" customHeight="1" ht="12.8"/>
    <row r="1048559" spans="1:7" customHeight="1" ht="12.8"/>
    <row r="1048560" spans="1:7" customHeight="1" ht="12.8"/>
    <row r="1048561" spans="1:7" customHeight="1" ht="12.8"/>
    <row r="1048562" spans="1:7" customHeight="1" ht="12.8"/>
    <row r="1048563" spans="1:7" customHeight="1" ht="12.8"/>
    <row r="1048564" spans="1:7" customHeight="1" ht="12.8"/>
    <row r="1048565" spans="1:7" customHeight="1" ht="12.8"/>
    <row r="1048566" spans="1:7" customHeight="1" ht="12.8"/>
    <row r="1048567" spans="1:7" customHeight="1" ht="12.8"/>
    <row r="1048568" spans="1:7" customHeight="1" ht="12.8"/>
    <row r="1048569" spans="1:7" customHeight="1" ht="12.8"/>
    <row r="1048570" spans="1:7" customHeight="1" ht="12.8"/>
    <row r="1048571" spans="1:7" customHeight="1" ht="12.8"/>
    <row r="1048572" spans="1:7" customHeight="1" ht="12.8"/>
    <row r="1048573" spans="1:7" customHeight="1" ht="12.8"/>
    <row r="1048574" spans="1:7" customHeight="1" ht="12.8"/>
    <row r="1048575" spans="1:7" customHeight="1" ht="12.8"/>
    <row r="1048576" spans="1:7" customHeight="1" ht="12.8"/>
  </sheetData>
  <autoFilter ref="A8:F8"/>
  <mergeCells>
    <mergeCell ref="A1:F1"/>
    <mergeCell ref="A2:F2"/>
    <mergeCell ref="A3:F3"/>
    <mergeCell ref="A4:F4"/>
    <mergeCell ref="A5:F5"/>
  </mergeCells>
  <dataValidations count="1">
    <dataValidation type="list" errorStyle="stop" operator="between" allowBlank="0" showDropDown="0" showInputMessage="0" showErrorMessage="0" sqref="B7">
      <formula1>"0,1,2,3,4,5,6,7,8,9,10,11,12,13,14,15"</formula1>
      <formula2>0</formula2>
    </dataValidation>
  </dataValidations>
  <hyperlinks>
    <hyperlink ref="A2" r:id="rId_hyperlink_1"/>
    <hyperlink ref="A4" r:id="rId_hyperlink_2"/>
    <hyperlink ref="F10" r:id="rId_hyperlink_3"/>
    <hyperlink ref="F12" r:id="rId_hyperlink_4"/>
    <hyperlink ref="F13" r:id="rId_hyperlink_5"/>
    <hyperlink ref="F14" r:id="rId_hyperlink_6"/>
    <hyperlink ref="F15" r:id="rId_hyperlink_7"/>
    <hyperlink ref="F16" r:id="rId_hyperlink_8"/>
    <hyperlink ref="F17" r:id="rId_hyperlink_9"/>
    <hyperlink ref="F18" r:id="rId_hyperlink_10"/>
    <hyperlink ref="F19" r:id="rId_hyperlink_11"/>
    <hyperlink ref="F20" r:id="rId_hyperlink_12"/>
    <hyperlink ref="F21" r:id="rId_hyperlink_13"/>
    <hyperlink ref="F23" r:id="rId_hyperlink_14"/>
    <hyperlink ref="F27" r:id="rId_hyperlink_15"/>
    <hyperlink ref="F28" r:id="rId_hyperlink_16"/>
    <hyperlink ref="F29" r:id="rId_hyperlink_17"/>
    <hyperlink ref="F30" r:id="rId_hyperlink_18"/>
    <hyperlink ref="F32" r:id="rId_hyperlink_19"/>
    <hyperlink ref="F33" r:id="rId_hyperlink_20"/>
    <hyperlink ref="F34" r:id="rId_hyperlink_21"/>
    <hyperlink ref="F35" r:id="rId_hyperlink_22"/>
    <hyperlink ref="F36" r:id="rId_hyperlink_23"/>
    <hyperlink ref="F37" r:id="rId_hyperlink_24"/>
    <hyperlink ref="F38" r:id="rId_hyperlink_25"/>
    <hyperlink ref="F39" r:id="rId_hyperlink_26"/>
    <hyperlink ref="F40" r:id="rId_hyperlink_27"/>
    <hyperlink ref="F41" r:id="rId_hyperlink_28"/>
    <hyperlink ref="F42" r:id="rId_hyperlink_29"/>
    <hyperlink ref="F43" r:id="rId_hyperlink_30"/>
    <hyperlink ref="F44" r:id="rId_hyperlink_31"/>
    <hyperlink ref="F45" r:id="rId_hyperlink_32"/>
    <hyperlink ref="F46" r:id="rId_hyperlink_33"/>
    <hyperlink ref="F47" r:id="rId_hyperlink_34"/>
    <hyperlink ref="F48" r:id="rId_hyperlink_35"/>
    <hyperlink ref="F49" r:id="rId_hyperlink_36"/>
    <hyperlink ref="F50" r:id="rId_hyperlink_37"/>
    <hyperlink ref="F51" r:id="rId_hyperlink_38"/>
    <hyperlink ref="F52" r:id="rId_hyperlink_39"/>
    <hyperlink ref="F53" r:id="rId_hyperlink_40"/>
    <hyperlink ref="F54" r:id="rId_hyperlink_41"/>
    <hyperlink ref="F55" r:id="rId_hyperlink_42"/>
    <hyperlink ref="F56" r:id="rId_hyperlink_43"/>
    <hyperlink ref="F57" r:id="rId_hyperlink_44"/>
    <hyperlink ref="F58" r:id="rId_hyperlink_45"/>
    <hyperlink ref="F59" r:id="rId_hyperlink_46"/>
    <hyperlink ref="F60" r:id="rId_hyperlink_47"/>
    <hyperlink ref="F61" r:id="rId_hyperlink_48"/>
    <hyperlink ref="F62" r:id="rId_hyperlink_49"/>
    <hyperlink ref="F63" r:id="rId_hyperlink_50"/>
    <hyperlink ref="F64" r:id="rId_hyperlink_51"/>
    <hyperlink ref="F65" r:id="rId_hyperlink_52"/>
    <hyperlink ref="F66" r:id="rId_hyperlink_53"/>
    <hyperlink ref="F67" r:id="rId_hyperlink_54"/>
    <hyperlink ref="F68" r:id="rId_hyperlink_55"/>
    <hyperlink ref="F69" r:id="rId_hyperlink_56"/>
    <hyperlink ref="F70" r:id="rId_hyperlink_57"/>
    <hyperlink ref="F73" r:id="rId_hyperlink_58"/>
    <hyperlink ref="F74" r:id="rId_hyperlink_59"/>
    <hyperlink ref="F75" r:id="rId_hyperlink_60"/>
    <hyperlink ref="F76" r:id="rId_hyperlink_61"/>
    <hyperlink ref="F77" r:id="rId_hyperlink_62"/>
    <hyperlink ref="F78" r:id="rId_hyperlink_63"/>
    <hyperlink ref="F79" r:id="rId_hyperlink_64"/>
    <hyperlink ref="F80" r:id="rId_hyperlink_65"/>
    <hyperlink ref="F82" r:id="rId_hyperlink_66"/>
    <hyperlink ref="F83" r:id="rId_hyperlink_67"/>
    <hyperlink ref="F84" r:id="rId_hyperlink_68"/>
    <hyperlink ref="F85" r:id="rId_hyperlink_69"/>
    <hyperlink ref="F86" r:id="rId_hyperlink_70"/>
    <hyperlink ref="F87" r:id="rId_hyperlink_71"/>
    <hyperlink ref="F88" r:id="rId_hyperlink_72"/>
    <hyperlink ref="F89" r:id="rId_hyperlink_73"/>
    <hyperlink ref="F90" r:id="rId_hyperlink_74"/>
    <hyperlink ref="F91" r:id="rId_hyperlink_75"/>
    <hyperlink ref="F92" r:id="rId_hyperlink_76"/>
    <hyperlink ref="F93" r:id="rId_hyperlink_77"/>
    <hyperlink ref="F94" r:id="rId_hyperlink_78"/>
    <hyperlink ref="F95" r:id="rId_hyperlink_79"/>
    <hyperlink ref="F96" r:id="rId_hyperlink_80"/>
    <hyperlink ref="F97" r:id="rId_hyperlink_81"/>
    <hyperlink ref="F98" r:id="rId_hyperlink_82"/>
    <hyperlink ref="F104" r:id="rId_hyperlink_83"/>
    <hyperlink ref="F105" r:id="rId_hyperlink_84"/>
    <hyperlink ref="F106" r:id="rId_hyperlink_85"/>
    <hyperlink ref="F107" r:id="rId_hyperlink_86"/>
    <hyperlink ref="F108" r:id="rId_hyperlink_87"/>
    <hyperlink ref="F109" r:id="rId_hyperlink_88"/>
    <hyperlink ref="F110" r:id="rId_hyperlink_89"/>
    <hyperlink ref="F111" r:id="rId_hyperlink_90"/>
    <hyperlink ref="F112" r:id="rId_hyperlink_91"/>
    <hyperlink ref="F113" r:id="rId_hyperlink_92"/>
    <hyperlink ref="F114" r:id="rId_hyperlink_93"/>
    <hyperlink ref="F115" r:id="rId_hyperlink_94"/>
    <hyperlink ref="F116" r:id="rId_hyperlink_95"/>
    <hyperlink ref="F124" r:id="rId_hyperlink_96"/>
    <hyperlink ref="F125" r:id="rId_hyperlink_97"/>
    <hyperlink ref="F126" r:id="rId_hyperlink_98"/>
    <hyperlink ref="F127" r:id="rId_hyperlink_99"/>
    <hyperlink ref="F128" r:id="rId_hyperlink_100"/>
    <hyperlink ref="F129" r:id="rId_hyperlink_101"/>
    <hyperlink ref="F130" r:id="rId_hyperlink_102"/>
    <hyperlink ref="F131" r:id="rId_hyperlink_103"/>
    <hyperlink ref="F132" r:id="rId_hyperlink_104"/>
    <hyperlink ref="F133" r:id="rId_hyperlink_105"/>
    <hyperlink ref="F134" r:id="rId_hyperlink_106"/>
    <hyperlink ref="F135" r:id="rId_hyperlink_107"/>
    <hyperlink ref="F136" r:id="rId_hyperlink_108"/>
    <hyperlink ref="F137" r:id="rId_hyperlink_109"/>
    <hyperlink ref="F138" r:id="rId_hyperlink_110"/>
    <hyperlink ref="F139" r:id="rId_hyperlink_111"/>
    <hyperlink ref="F140" r:id="rId_hyperlink_112"/>
    <hyperlink ref="F141" r:id="rId_hyperlink_113"/>
    <hyperlink ref="F142" r:id="rId_hyperlink_114"/>
    <hyperlink ref="F145" r:id="rId_hyperlink_115"/>
    <hyperlink ref="F148" r:id="rId_hyperlink_116"/>
    <hyperlink ref="F149" r:id="rId_hyperlink_117"/>
    <hyperlink ref="F150" r:id="rId_hyperlink_118"/>
    <hyperlink ref="F151" r:id="rId_hyperlink_119"/>
    <hyperlink ref="F152" r:id="rId_hyperlink_120"/>
    <hyperlink ref="F153" r:id="rId_hyperlink_121"/>
    <hyperlink ref="F154" r:id="rId_hyperlink_122"/>
    <hyperlink ref="F155" r:id="rId_hyperlink_123"/>
    <hyperlink ref="F156" r:id="rId_hyperlink_124"/>
    <hyperlink ref="F157" r:id="rId_hyperlink_125"/>
    <hyperlink ref="F158" r:id="rId_hyperlink_126"/>
    <hyperlink ref="F159" r:id="rId_hyperlink_127"/>
    <hyperlink ref="F160" r:id="rId_hyperlink_128"/>
    <hyperlink ref="F161" r:id="rId_hyperlink_129"/>
    <hyperlink ref="F162" r:id="rId_hyperlink_130"/>
    <hyperlink ref="F164" r:id="rId_hyperlink_131"/>
    <hyperlink ref="F166" r:id="rId_hyperlink_132"/>
    <hyperlink ref="F168" r:id="rId_hyperlink_133"/>
    <hyperlink ref="F170" r:id="rId_hyperlink_134"/>
    <hyperlink ref="F171" r:id="rId_hyperlink_135"/>
    <hyperlink ref="F172" r:id="rId_hyperlink_136"/>
    <hyperlink ref="F173" r:id="rId_hyperlink_137"/>
    <hyperlink ref="F174" r:id="rId_hyperlink_138"/>
    <hyperlink ref="F175" r:id="rId_hyperlink_139"/>
    <hyperlink ref="F176" r:id="rId_hyperlink_140"/>
    <hyperlink ref="F177" r:id="rId_hyperlink_141"/>
    <hyperlink ref="F178" r:id="rId_hyperlink_142"/>
    <hyperlink ref="F179" r:id="rId_hyperlink_143"/>
    <hyperlink ref="F181" r:id="rId_hyperlink_144"/>
    <hyperlink ref="F182" r:id="rId_hyperlink_145"/>
    <hyperlink ref="F183" r:id="rId_hyperlink_146"/>
    <hyperlink ref="F184" r:id="rId_hyperlink_147"/>
    <hyperlink ref="F185" r:id="rId_hyperlink_148"/>
    <hyperlink ref="F186" r:id="rId_hyperlink_149"/>
    <hyperlink ref="F187" r:id="rId_hyperlink_150"/>
    <hyperlink ref="F188" r:id="rId_hyperlink_151"/>
    <hyperlink ref="F189" r:id="rId_hyperlink_152"/>
    <hyperlink ref="F190" r:id="rId_hyperlink_153"/>
    <hyperlink ref="F191" r:id="rId_hyperlink_154"/>
    <hyperlink ref="F192" r:id="rId_hyperlink_155"/>
    <hyperlink ref="F193" r:id="rId_hyperlink_156"/>
    <hyperlink ref="F194" r:id="rId_hyperlink_157"/>
    <hyperlink ref="F195" r:id="rId_hyperlink_158"/>
    <hyperlink ref="F196" r:id="rId_hyperlink_159"/>
    <hyperlink ref="F197" r:id="rId_hyperlink_160"/>
    <hyperlink ref="F198" r:id="rId_hyperlink_161"/>
    <hyperlink ref="F199" r:id="rId_hyperlink_162"/>
    <hyperlink ref="F200" r:id="rId_hyperlink_163"/>
    <hyperlink ref="F201" r:id="rId_hyperlink_164"/>
    <hyperlink ref="F202" r:id="rId_hyperlink_165"/>
    <hyperlink ref="F203" r:id="rId_hyperlink_166"/>
    <hyperlink ref="F204" r:id="rId_hyperlink_167"/>
    <hyperlink ref="F205" r:id="rId_hyperlink_168"/>
    <hyperlink ref="F206" r:id="rId_hyperlink_169"/>
    <hyperlink ref="F207" r:id="rId_hyperlink_170"/>
    <hyperlink ref="F208" r:id="rId_hyperlink_171"/>
    <hyperlink ref="F209" r:id="rId_hyperlink_172"/>
    <hyperlink ref="F210" r:id="rId_hyperlink_173"/>
    <hyperlink ref="F211" r:id="rId_hyperlink_174"/>
    <hyperlink ref="F212" r:id="rId_hyperlink_175"/>
    <hyperlink ref="F213" r:id="rId_hyperlink_176"/>
    <hyperlink ref="F214" r:id="rId_hyperlink_177"/>
    <hyperlink ref="F215" r:id="rId_hyperlink_178"/>
    <hyperlink ref="F216" r:id="rId_hyperlink_179"/>
    <hyperlink ref="F217" r:id="rId_hyperlink_180"/>
    <hyperlink ref="F218" r:id="rId_hyperlink_181"/>
    <hyperlink ref="F219" r:id="rId_hyperlink_182"/>
    <hyperlink ref="F220" r:id="rId_hyperlink_183"/>
    <hyperlink ref="F221" r:id="rId_hyperlink_184"/>
    <hyperlink ref="F222" r:id="rId_hyperlink_185"/>
    <hyperlink ref="F223" r:id="rId_hyperlink_186"/>
    <hyperlink ref="F224" r:id="rId_hyperlink_187"/>
    <hyperlink ref="F225" r:id="rId_hyperlink_188"/>
    <hyperlink ref="F226" r:id="rId_hyperlink_189"/>
    <hyperlink ref="F227" r:id="rId_hyperlink_190"/>
    <hyperlink ref="F228" r:id="rId_hyperlink_191"/>
    <hyperlink ref="F229" r:id="rId_hyperlink_192"/>
    <hyperlink ref="F230" r:id="rId_hyperlink_193"/>
    <hyperlink ref="F231" r:id="rId_hyperlink_194"/>
    <hyperlink ref="F232" r:id="rId_hyperlink_195"/>
    <hyperlink ref="F233" r:id="rId_hyperlink_196"/>
    <hyperlink ref="F234" r:id="rId_hyperlink_197"/>
    <hyperlink ref="F235" r:id="rId_hyperlink_198"/>
    <hyperlink ref="F236" r:id="rId_hyperlink_199"/>
    <hyperlink ref="F237" r:id="rId_hyperlink_200"/>
    <hyperlink ref="F238" r:id="rId_hyperlink_201"/>
    <hyperlink ref="F239" r:id="rId_hyperlink_202"/>
    <hyperlink ref="F240" r:id="rId_hyperlink_203"/>
    <hyperlink ref="F241" r:id="rId_hyperlink_204"/>
    <hyperlink ref="F242" r:id="rId_hyperlink_205"/>
    <hyperlink ref="F243" r:id="rId_hyperlink_206"/>
    <hyperlink ref="F244" r:id="rId_hyperlink_207"/>
    <hyperlink ref="F245" r:id="rId_hyperlink_208"/>
    <hyperlink ref="F246" r:id="rId_hyperlink_209"/>
    <hyperlink ref="F247" r:id="rId_hyperlink_210"/>
    <hyperlink ref="F248" r:id="rId_hyperlink_211"/>
    <hyperlink ref="F249" r:id="rId_hyperlink_212"/>
    <hyperlink ref="F250" r:id="rId_hyperlink_213"/>
    <hyperlink ref="F251" r:id="rId_hyperlink_214"/>
    <hyperlink ref="F252" r:id="rId_hyperlink_215"/>
    <hyperlink ref="F253" r:id="rId_hyperlink_216"/>
    <hyperlink ref="F254" r:id="rId_hyperlink_217"/>
    <hyperlink ref="F255" r:id="rId_hyperlink_218"/>
    <hyperlink ref="F256" r:id="rId_hyperlink_219"/>
    <hyperlink ref="F257" r:id="rId_hyperlink_220"/>
    <hyperlink ref="F258" r:id="rId_hyperlink_221"/>
    <hyperlink ref="F259" r:id="rId_hyperlink_222"/>
    <hyperlink ref="F260" r:id="rId_hyperlink_223"/>
    <hyperlink ref="F261" r:id="rId_hyperlink_224"/>
    <hyperlink ref="F262" r:id="rId_hyperlink_225"/>
    <hyperlink ref="F263" r:id="rId_hyperlink_226"/>
    <hyperlink ref="F264" r:id="rId_hyperlink_227"/>
    <hyperlink ref="F265" r:id="rId_hyperlink_228"/>
    <hyperlink ref="F266" r:id="rId_hyperlink_229"/>
    <hyperlink ref="F267" r:id="rId_hyperlink_230"/>
    <hyperlink ref="F268" r:id="rId_hyperlink_231"/>
    <hyperlink ref="F269" r:id="rId_hyperlink_232"/>
    <hyperlink ref="F270" r:id="rId_hyperlink_233"/>
    <hyperlink ref="F271" r:id="rId_hyperlink_234"/>
    <hyperlink ref="F272" r:id="rId_hyperlink_235"/>
    <hyperlink ref="F273" r:id="rId_hyperlink_236"/>
    <hyperlink ref="F274" r:id="rId_hyperlink_237"/>
    <hyperlink ref="F275" r:id="rId_hyperlink_238"/>
    <hyperlink ref="F276" r:id="rId_hyperlink_239"/>
    <hyperlink ref="F277" r:id="rId_hyperlink_240"/>
    <hyperlink ref="F278" r:id="rId_hyperlink_241"/>
    <hyperlink ref="F279" r:id="rId_hyperlink_242"/>
    <hyperlink ref="F280" r:id="rId_hyperlink_243"/>
    <hyperlink ref="F281" r:id="rId_hyperlink_244"/>
    <hyperlink ref="F282" r:id="rId_hyperlink_245"/>
    <hyperlink ref="F283" r:id="rId_hyperlink_246"/>
    <hyperlink ref="F284" r:id="rId_hyperlink_247"/>
    <hyperlink ref="F285" r:id="rId_hyperlink_248"/>
    <hyperlink ref="F286" r:id="rId_hyperlink_249"/>
    <hyperlink ref="F287" r:id="rId_hyperlink_250"/>
    <hyperlink ref="F288" r:id="rId_hyperlink_251"/>
    <hyperlink ref="F289" r:id="rId_hyperlink_252"/>
    <hyperlink ref="F290" r:id="rId_hyperlink_253"/>
    <hyperlink ref="F291" r:id="rId_hyperlink_254"/>
    <hyperlink ref="F292" r:id="rId_hyperlink_255"/>
    <hyperlink ref="F293" r:id="rId_hyperlink_256"/>
    <hyperlink ref="F294" r:id="rId_hyperlink_257"/>
    <hyperlink ref="F295" r:id="rId_hyperlink_258"/>
    <hyperlink ref="F296" r:id="rId_hyperlink_259"/>
    <hyperlink ref="F297" r:id="rId_hyperlink_260"/>
    <hyperlink ref="F298" r:id="rId_hyperlink_261"/>
    <hyperlink ref="F299" r:id="rId_hyperlink_262"/>
    <hyperlink ref="F300" r:id="rId_hyperlink_263"/>
    <hyperlink ref="F301" r:id="rId_hyperlink_264"/>
    <hyperlink ref="F302" r:id="rId_hyperlink_265"/>
    <hyperlink ref="F303" r:id="rId_hyperlink_266"/>
    <hyperlink ref="F304" r:id="rId_hyperlink_267"/>
    <hyperlink ref="F305" r:id="rId_hyperlink_268"/>
    <hyperlink ref="F306" r:id="rId_hyperlink_269"/>
    <hyperlink ref="F307" r:id="rId_hyperlink_270"/>
    <hyperlink ref="F308" r:id="rId_hyperlink_271"/>
    <hyperlink ref="F309" r:id="rId_hyperlink_272"/>
    <hyperlink ref="F310" r:id="rId_hyperlink_273"/>
    <hyperlink ref="F311" r:id="rId_hyperlink_274"/>
    <hyperlink ref="F312" r:id="rId_hyperlink_275"/>
    <hyperlink ref="F313" r:id="rId_hyperlink_276"/>
    <hyperlink ref="F314" r:id="rId_hyperlink_277"/>
    <hyperlink ref="F315" r:id="rId_hyperlink_278"/>
    <hyperlink ref="F316" r:id="rId_hyperlink_279"/>
    <hyperlink ref="F317" r:id="rId_hyperlink_280"/>
    <hyperlink ref="F318" r:id="rId_hyperlink_281"/>
    <hyperlink ref="F319" r:id="rId_hyperlink_282"/>
    <hyperlink ref="F320" r:id="rId_hyperlink_283"/>
    <hyperlink ref="F321" r:id="rId_hyperlink_284"/>
    <hyperlink ref="F322" r:id="rId_hyperlink_285"/>
    <hyperlink ref="F323" r:id="rId_hyperlink_286"/>
    <hyperlink ref="F324" r:id="rId_hyperlink_287"/>
    <hyperlink ref="F325" r:id="rId_hyperlink_288"/>
    <hyperlink ref="F326" r:id="rId_hyperlink_289"/>
    <hyperlink ref="F327" r:id="rId_hyperlink_290"/>
    <hyperlink ref="F328" r:id="rId_hyperlink_291"/>
    <hyperlink ref="F329" r:id="rId_hyperlink_292"/>
    <hyperlink ref="F330" r:id="rId_hyperlink_293"/>
    <hyperlink ref="F331" r:id="rId_hyperlink_294"/>
    <hyperlink ref="F332" r:id="rId_hyperlink_295"/>
    <hyperlink ref="F333" r:id="rId_hyperlink_296"/>
    <hyperlink ref="F334" r:id="rId_hyperlink_297"/>
    <hyperlink ref="F335" r:id="rId_hyperlink_298"/>
    <hyperlink ref="F336" r:id="rId_hyperlink_299"/>
    <hyperlink ref="F337" r:id="rId_hyperlink_300"/>
    <hyperlink ref="F338" r:id="rId_hyperlink_301"/>
    <hyperlink ref="F339" r:id="rId_hyperlink_302"/>
    <hyperlink ref="F340" r:id="rId_hyperlink_303"/>
    <hyperlink ref="F341" r:id="rId_hyperlink_304"/>
    <hyperlink ref="F342" r:id="rId_hyperlink_305"/>
    <hyperlink ref="F343" r:id="rId_hyperlink_306"/>
    <hyperlink ref="F344" r:id="rId_hyperlink_307"/>
    <hyperlink ref="F345" r:id="rId_hyperlink_308"/>
    <hyperlink ref="F346" r:id="rId_hyperlink_309"/>
    <hyperlink ref="F347" r:id="rId_hyperlink_310"/>
    <hyperlink ref="F348" r:id="rId_hyperlink_311"/>
    <hyperlink ref="F349" r:id="rId_hyperlink_312"/>
    <hyperlink ref="F350" r:id="rId_hyperlink_313"/>
    <hyperlink ref="F351" r:id="rId_hyperlink_314"/>
    <hyperlink ref="F352" r:id="rId_hyperlink_315"/>
    <hyperlink ref="F353" r:id="rId_hyperlink_316"/>
    <hyperlink ref="F354" r:id="rId_hyperlink_317"/>
    <hyperlink ref="F355" r:id="rId_hyperlink_318"/>
    <hyperlink ref="F356" r:id="rId_hyperlink_319"/>
    <hyperlink ref="F357" r:id="rId_hyperlink_320"/>
    <hyperlink ref="F358" r:id="rId_hyperlink_321"/>
    <hyperlink ref="F359" r:id="rId_hyperlink_322"/>
    <hyperlink ref="F360" r:id="rId_hyperlink_323"/>
    <hyperlink ref="F361" r:id="rId_hyperlink_324"/>
    <hyperlink ref="F362" r:id="rId_hyperlink_325"/>
    <hyperlink ref="F363" r:id="rId_hyperlink_326"/>
    <hyperlink ref="F364" r:id="rId_hyperlink_327"/>
    <hyperlink ref="F365" r:id="rId_hyperlink_328"/>
    <hyperlink ref="F366" r:id="rId_hyperlink_329"/>
    <hyperlink ref="F367" r:id="rId_hyperlink_330"/>
    <hyperlink ref="F368" r:id="rId_hyperlink_331"/>
    <hyperlink ref="F369" r:id="rId_hyperlink_332"/>
    <hyperlink ref="F370" r:id="rId_hyperlink_333"/>
    <hyperlink ref="F371" r:id="rId_hyperlink_334"/>
    <hyperlink ref="F372" r:id="rId_hyperlink_335"/>
    <hyperlink ref="F373" r:id="rId_hyperlink_336"/>
    <hyperlink ref="F374" r:id="rId_hyperlink_337"/>
    <hyperlink ref="F375" r:id="rId_hyperlink_338"/>
    <hyperlink ref="F376" r:id="rId_hyperlink_339"/>
    <hyperlink ref="F377" r:id="rId_hyperlink_340"/>
    <hyperlink ref="F378" r:id="rId_hyperlink_341"/>
    <hyperlink ref="F379" r:id="rId_hyperlink_342"/>
    <hyperlink ref="F380" r:id="rId_hyperlink_343"/>
    <hyperlink ref="F381" r:id="rId_hyperlink_344"/>
    <hyperlink ref="F382" r:id="rId_hyperlink_345"/>
    <hyperlink ref="F383" r:id="rId_hyperlink_346"/>
    <hyperlink ref="F384" r:id="rId_hyperlink_347"/>
    <hyperlink ref="F385" r:id="rId_hyperlink_348"/>
    <hyperlink ref="F386" r:id="rId_hyperlink_349"/>
    <hyperlink ref="F387" r:id="rId_hyperlink_350"/>
    <hyperlink ref="F388" r:id="rId_hyperlink_351"/>
    <hyperlink ref="F389" r:id="rId_hyperlink_352"/>
    <hyperlink ref="F390" r:id="rId_hyperlink_353"/>
    <hyperlink ref="F391" r:id="rId_hyperlink_354"/>
    <hyperlink ref="F392" r:id="rId_hyperlink_355"/>
    <hyperlink ref="F393" r:id="rId_hyperlink_356"/>
    <hyperlink ref="F394" r:id="rId_hyperlink_357"/>
    <hyperlink ref="F395" r:id="rId_hyperlink_358"/>
    <hyperlink ref="F396" r:id="rId_hyperlink_359"/>
    <hyperlink ref="F397" r:id="rId_hyperlink_360"/>
    <hyperlink ref="F398" r:id="rId_hyperlink_361"/>
    <hyperlink ref="F399" r:id="rId_hyperlink_362"/>
    <hyperlink ref="F400" r:id="rId_hyperlink_363"/>
    <hyperlink ref="F401" r:id="rId_hyperlink_364"/>
    <hyperlink ref="F402" r:id="rId_hyperlink_365"/>
    <hyperlink ref="F403" r:id="rId_hyperlink_366"/>
    <hyperlink ref="F404" r:id="rId_hyperlink_367"/>
    <hyperlink ref="F405" r:id="rId_hyperlink_368"/>
    <hyperlink ref="F406" r:id="rId_hyperlink_369"/>
    <hyperlink ref="F407" r:id="rId_hyperlink_370"/>
    <hyperlink ref="F408" r:id="rId_hyperlink_371"/>
    <hyperlink ref="F409" r:id="rId_hyperlink_372"/>
    <hyperlink ref="F410" r:id="rId_hyperlink_373"/>
    <hyperlink ref="F411" r:id="rId_hyperlink_374"/>
    <hyperlink ref="F412" r:id="rId_hyperlink_375"/>
    <hyperlink ref="F413" r:id="rId_hyperlink_376"/>
    <hyperlink ref="F414" r:id="rId_hyperlink_377"/>
    <hyperlink ref="F415" r:id="rId_hyperlink_378"/>
    <hyperlink ref="F416" r:id="rId_hyperlink_379"/>
    <hyperlink ref="F417" r:id="rId_hyperlink_380"/>
    <hyperlink ref="F418" r:id="rId_hyperlink_381"/>
    <hyperlink ref="F419" r:id="rId_hyperlink_382"/>
    <hyperlink ref="F420" r:id="rId_hyperlink_383"/>
    <hyperlink ref="F421" r:id="rId_hyperlink_384"/>
    <hyperlink ref="F422" r:id="rId_hyperlink_385"/>
    <hyperlink ref="F423" r:id="rId_hyperlink_386"/>
    <hyperlink ref="F424" r:id="rId_hyperlink_387"/>
    <hyperlink ref="F425" r:id="rId_hyperlink_388"/>
    <hyperlink ref="F426" r:id="rId_hyperlink_389"/>
    <hyperlink ref="F427" r:id="rId_hyperlink_390"/>
    <hyperlink ref="F428" r:id="rId_hyperlink_391"/>
    <hyperlink ref="F429" r:id="rId_hyperlink_392"/>
    <hyperlink ref="F430" r:id="rId_hyperlink_393"/>
    <hyperlink ref="F431" r:id="rId_hyperlink_394"/>
    <hyperlink ref="F432" r:id="rId_hyperlink_395"/>
    <hyperlink ref="F433" r:id="rId_hyperlink_396"/>
    <hyperlink ref="F434" r:id="rId_hyperlink_397"/>
    <hyperlink ref="F435" r:id="rId_hyperlink_398"/>
    <hyperlink ref="F436" r:id="rId_hyperlink_399"/>
    <hyperlink ref="F437" r:id="rId_hyperlink_400"/>
    <hyperlink ref="F438" r:id="rId_hyperlink_401"/>
    <hyperlink ref="F439" r:id="rId_hyperlink_402"/>
    <hyperlink ref="F440" r:id="rId_hyperlink_403"/>
    <hyperlink ref="F441" r:id="rId_hyperlink_404"/>
    <hyperlink ref="F442" r:id="rId_hyperlink_405"/>
    <hyperlink ref="F443" r:id="rId_hyperlink_406"/>
    <hyperlink ref="F444" r:id="rId_hyperlink_407"/>
    <hyperlink ref="F445" r:id="rId_hyperlink_408"/>
    <hyperlink ref="F446" r:id="rId_hyperlink_409"/>
    <hyperlink ref="F447" r:id="rId_hyperlink_410"/>
    <hyperlink ref="F448" r:id="rId_hyperlink_411"/>
    <hyperlink ref="F449" r:id="rId_hyperlink_412"/>
    <hyperlink ref="F450" r:id="rId_hyperlink_413"/>
    <hyperlink ref="F451" r:id="rId_hyperlink_414"/>
    <hyperlink ref="F452" r:id="rId_hyperlink_415"/>
    <hyperlink ref="F453" r:id="rId_hyperlink_416"/>
    <hyperlink ref="F454" r:id="rId_hyperlink_417"/>
    <hyperlink ref="F455" r:id="rId_hyperlink_418"/>
    <hyperlink ref="F456" r:id="rId_hyperlink_419"/>
    <hyperlink ref="F457" r:id="rId_hyperlink_420"/>
    <hyperlink ref="F458" r:id="rId_hyperlink_421"/>
    <hyperlink ref="F459" r:id="rId_hyperlink_422"/>
    <hyperlink ref="F460" r:id="rId_hyperlink_423"/>
    <hyperlink ref="F461" r:id="rId_hyperlink_424"/>
    <hyperlink ref="F462" r:id="rId_hyperlink_425"/>
    <hyperlink ref="F463" r:id="rId_hyperlink_426"/>
    <hyperlink ref="F464" r:id="rId_hyperlink_427"/>
    <hyperlink ref="F465" r:id="rId_hyperlink_428"/>
    <hyperlink ref="F466" r:id="rId_hyperlink_429"/>
    <hyperlink ref="F467" r:id="rId_hyperlink_430"/>
    <hyperlink ref="F468" r:id="rId_hyperlink_431"/>
    <hyperlink ref="F469" r:id="rId_hyperlink_432"/>
    <hyperlink ref="F470" r:id="rId_hyperlink_433"/>
    <hyperlink ref="F471" r:id="rId_hyperlink_434"/>
    <hyperlink ref="F472" r:id="rId_hyperlink_435"/>
    <hyperlink ref="F473" r:id="rId_hyperlink_436"/>
    <hyperlink ref="F474" r:id="rId_hyperlink_437"/>
    <hyperlink ref="F475" r:id="rId_hyperlink_438"/>
    <hyperlink ref="F476" r:id="rId_hyperlink_439"/>
    <hyperlink ref="F477" r:id="rId_hyperlink_440"/>
    <hyperlink ref="F478" r:id="rId_hyperlink_441"/>
    <hyperlink ref="F479" r:id="rId_hyperlink_442"/>
    <hyperlink ref="F480" r:id="rId_hyperlink_443"/>
    <hyperlink ref="F481" r:id="rId_hyperlink_444"/>
    <hyperlink ref="F482" r:id="rId_hyperlink_445"/>
    <hyperlink ref="F483" r:id="rId_hyperlink_446"/>
    <hyperlink ref="F484" r:id="rId_hyperlink_447"/>
    <hyperlink ref="F485" r:id="rId_hyperlink_448"/>
    <hyperlink ref="F486" r:id="rId_hyperlink_449"/>
    <hyperlink ref="F487" r:id="rId_hyperlink_450"/>
    <hyperlink ref="F488" r:id="rId_hyperlink_451"/>
    <hyperlink ref="F489" r:id="rId_hyperlink_452"/>
    <hyperlink ref="F490" r:id="rId_hyperlink_453"/>
    <hyperlink ref="F491" r:id="rId_hyperlink_454"/>
    <hyperlink ref="F492" r:id="rId_hyperlink_455"/>
    <hyperlink ref="F493" r:id="rId_hyperlink_456"/>
    <hyperlink ref="F494" r:id="rId_hyperlink_457"/>
    <hyperlink ref="F495" r:id="rId_hyperlink_458"/>
    <hyperlink ref="F496" r:id="rId_hyperlink_459"/>
    <hyperlink ref="F497" r:id="rId_hyperlink_460"/>
    <hyperlink ref="F498" r:id="rId_hyperlink_461"/>
    <hyperlink ref="F499" r:id="rId_hyperlink_462"/>
    <hyperlink ref="F500" r:id="rId_hyperlink_463"/>
    <hyperlink ref="F501" r:id="rId_hyperlink_464"/>
    <hyperlink ref="F502" r:id="rId_hyperlink_465"/>
    <hyperlink ref="F503" r:id="rId_hyperlink_466"/>
    <hyperlink ref="F504" r:id="rId_hyperlink_467"/>
    <hyperlink ref="F505" r:id="rId_hyperlink_468"/>
    <hyperlink ref="F506" r:id="rId_hyperlink_469"/>
    <hyperlink ref="F507" r:id="rId_hyperlink_470"/>
    <hyperlink ref="F508" r:id="rId_hyperlink_471"/>
    <hyperlink ref="F509" r:id="rId_hyperlink_472"/>
    <hyperlink ref="F510" r:id="rId_hyperlink_473"/>
    <hyperlink ref="F511" r:id="rId_hyperlink_474"/>
    <hyperlink ref="F512" r:id="rId_hyperlink_475"/>
    <hyperlink ref="F513" r:id="rId_hyperlink_476"/>
    <hyperlink ref="F514" r:id="rId_hyperlink_477"/>
    <hyperlink ref="F515" r:id="rId_hyperlink_478"/>
    <hyperlink ref="F516" r:id="rId_hyperlink_479"/>
    <hyperlink ref="F517" r:id="rId_hyperlink_480"/>
    <hyperlink ref="F518" r:id="rId_hyperlink_481"/>
    <hyperlink ref="F519" r:id="rId_hyperlink_482"/>
    <hyperlink ref="F520" r:id="rId_hyperlink_483"/>
    <hyperlink ref="F521" r:id="rId_hyperlink_484"/>
    <hyperlink ref="F522" r:id="rId_hyperlink_485"/>
    <hyperlink ref="F523" r:id="rId_hyperlink_486"/>
    <hyperlink ref="F524" r:id="rId_hyperlink_487"/>
    <hyperlink ref="F525" r:id="rId_hyperlink_488"/>
    <hyperlink ref="F526" r:id="rId_hyperlink_489"/>
    <hyperlink ref="F527" r:id="rId_hyperlink_490"/>
    <hyperlink ref="F528" r:id="rId_hyperlink_491"/>
    <hyperlink ref="F529" r:id="rId_hyperlink_492"/>
    <hyperlink ref="F530" r:id="rId_hyperlink_493"/>
    <hyperlink ref="F531" r:id="rId_hyperlink_494"/>
    <hyperlink ref="F532" r:id="rId_hyperlink_495"/>
    <hyperlink ref="F533" r:id="rId_hyperlink_496"/>
    <hyperlink ref="F534" r:id="rId_hyperlink_497"/>
    <hyperlink ref="F535" r:id="rId_hyperlink_498"/>
    <hyperlink ref="F536" r:id="rId_hyperlink_499"/>
    <hyperlink ref="F537" r:id="rId_hyperlink_500"/>
    <hyperlink ref="F538" r:id="rId_hyperlink_501"/>
    <hyperlink ref="F539" r:id="rId_hyperlink_502"/>
    <hyperlink ref="F540" r:id="rId_hyperlink_503"/>
    <hyperlink ref="F541" r:id="rId_hyperlink_504"/>
    <hyperlink ref="F542" r:id="rId_hyperlink_505"/>
    <hyperlink ref="F543" r:id="rId_hyperlink_506"/>
    <hyperlink ref="F544" r:id="rId_hyperlink_507"/>
    <hyperlink ref="F545" r:id="rId_hyperlink_508"/>
    <hyperlink ref="F546" r:id="rId_hyperlink_509"/>
    <hyperlink ref="F547" r:id="rId_hyperlink_510"/>
    <hyperlink ref="F548" r:id="rId_hyperlink_511"/>
    <hyperlink ref="F549" r:id="rId_hyperlink_512"/>
    <hyperlink ref="F550" r:id="rId_hyperlink_513"/>
    <hyperlink ref="F551" r:id="rId_hyperlink_514"/>
    <hyperlink ref="F552" r:id="rId_hyperlink_515"/>
    <hyperlink ref="F553" r:id="rId_hyperlink_516"/>
    <hyperlink ref="F554" r:id="rId_hyperlink_517"/>
    <hyperlink ref="F555" r:id="rId_hyperlink_518"/>
    <hyperlink ref="F556" r:id="rId_hyperlink_519"/>
    <hyperlink ref="F557" r:id="rId_hyperlink_520"/>
    <hyperlink ref="F558" r:id="rId_hyperlink_521"/>
    <hyperlink ref="F559" r:id="rId_hyperlink_522"/>
    <hyperlink ref="F560" r:id="rId_hyperlink_523"/>
    <hyperlink ref="F561" r:id="rId_hyperlink_524"/>
    <hyperlink ref="F562" r:id="rId_hyperlink_525"/>
    <hyperlink ref="F563" r:id="rId_hyperlink_526"/>
    <hyperlink ref="F564" r:id="rId_hyperlink_527"/>
    <hyperlink ref="F565" r:id="rId_hyperlink_528"/>
    <hyperlink ref="F566" r:id="rId_hyperlink_529"/>
    <hyperlink ref="F567" r:id="rId_hyperlink_530"/>
    <hyperlink ref="F568" r:id="rId_hyperlink_531"/>
    <hyperlink ref="F569" r:id="rId_hyperlink_532"/>
    <hyperlink ref="F570" r:id="rId_hyperlink_533"/>
    <hyperlink ref="F571" r:id="rId_hyperlink_534"/>
    <hyperlink ref="F572" r:id="rId_hyperlink_535"/>
    <hyperlink ref="F573" r:id="rId_hyperlink_536"/>
    <hyperlink ref="F574" r:id="rId_hyperlink_537"/>
    <hyperlink ref="F575" r:id="rId_hyperlink_538"/>
    <hyperlink ref="F576" r:id="rId_hyperlink_539"/>
    <hyperlink ref="F577" r:id="rId_hyperlink_540"/>
    <hyperlink ref="F578" r:id="rId_hyperlink_541"/>
    <hyperlink ref="F579" r:id="rId_hyperlink_542"/>
    <hyperlink ref="F580" r:id="rId_hyperlink_543"/>
    <hyperlink ref="F581" r:id="rId_hyperlink_544"/>
    <hyperlink ref="F582" r:id="rId_hyperlink_545"/>
    <hyperlink ref="F583" r:id="rId_hyperlink_546"/>
    <hyperlink ref="F584" r:id="rId_hyperlink_547"/>
    <hyperlink ref="F585" r:id="rId_hyperlink_548"/>
    <hyperlink ref="F586" r:id="rId_hyperlink_549"/>
    <hyperlink ref="F587" r:id="rId_hyperlink_550"/>
    <hyperlink ref="F588" r:id="rId_hyperlink_551"/>
    <hyperlink ref="F589" r:id="rId_hyperlink_552"/>
    <hyperlink ref="F590" r:id="rId_hyperlink_553"/>
    <hyperlink ref="F591" r:id="rId_hyperlink_554"/>
    <hyperlink ref="F592" r:id="rId_hyperlink_555"/>
    <hyperlink ref="F593" r:id="rId_hyperlink_556"/>
    <hyperlink ref="F594" r:id="rId_hyperlink_557"/>
    <hyperlink ref="F595" r:id="rId_hyperlink_558"/>
    <hyperlink ref="F596" r:id="rId_hyperlink_559"/>
    <hyperlink ref="F597" r:id="rId_hyperlink_560"/>
    <hyperlink ref="F598" r:id="rId_hyperlink_561"/>
    <hyperlink ref="F599" r:id="rId_hyperlink_562"/>
    <hyperlink ref="F600" r:id="rId_hyperlink_563"/>
    <hyperlink ref="F601" r:id="rId_hyperlink_564"/>
    <hyperlink ref="F602" r:id="rId_hyperlink_565"/>
    <hyperlink ref="F603" r:id="rId_hyperlink_566"/>
    <hyperlink ref="F604" r:id="rId_hyperlink_567"/>
    <hyperlink ref="F605" r:id="rId_hyperlink_568"/>
    <hyperlink ref="F606" r:id="rId_hyperlink_569"/>
    <hyperlink ref="F607" r:id="rId_hyperlink_570"/>
    <hyperlink ref="F608" r:id="rId_hyperlink_571"/>
    <hyperlink ref="F609" r:id="rId_hyperlink_572"/>
    <hyperlink ref="F610" r:id="rId_hyperlink_573"/>
    <hyperlink ref="F611" r:id="rId_hyperlink_574"/>
    <hyperlink ref="F612" r:id="rId_hyperlink_575"/>
    <hyperlink ref="F613" r:id="rId_hyperlink_576"/>
    <hyperlink ref="F614" r:id="rId_hyperlink_577"/>
    <hyperlink ref="F615" r:id="rId_hyperlink_578"/>
    <hyperlink ref="F616" r:id="rId_hyperlink_579"/>
    <hyperlink ref="F617" r:id="rId_hyperlink_580"/>
    <hyperlink ref="F618" r:id="rId_hyperlink_581"/>
    <hyperlink ref="F619" r:id="rId_hyperlink_582"/>
    <hyperlink ref="F620" r:id="rId_hyperlink_583"/>
    <hyperlink ref="F621" r:id="rId_hyperlink_584"/>
    <hyperlink ref="F622" r:id="rId_hyperlink_585"/>
    <hyperlink ref="F623" r:id="rId_hyperlink_586"/>
    <hyperlink ref="F624" r:id="rId_hyperlink_587"/>
    <hyperlink ref="F625" r:id="rId_hyperlink_588"/>
    <hyperlink ref="F626" r:id="rId_hyperlink_589"/>
    <hyperlink ref="F627" r:id="rId_hyperlink_590"/>
    <hyperlink ref="F628" r:id="rId_hyperlink_591"/>
    <hyperlink ref="F629" r:id="rId_hyperlink_592"/>
    <hyperlink ref="F630" r:id="rId_hyperlink_593"/>
    <hyperlink ref="F631" r:id="rId_hyperlink_594"/>
    <hyperlink ref="F632" r:id="rId_hyperlink_595"/>
    <hyperlink ref="F633" r:id="rId_hyperlink_596"/>
    <hyperlink ref="F634" r:id="rId_hyperlink_597"/>
    <hyperlink ref="F635" r:id="rId_hyperlink_598"/>
    <hyperlink ref="F636" r:id="rId_hyperlink_599"/>
    <hyperlink ref="F637" r:id="rId_hyperlink_600"/>
    <hyperlink ref="F638" r:id="rId_hyperlink_601"/>
    <hyperlink ref="F639" r:id="rId_hyperlink_602"/>
    <hyperlink ref="F640" r:id="rId_hyperlink_603"/>
    <hyperlink ref="F641" r:id="rId_hyperlink_604"/>
    <hyperlink ref="F642" r:id="rId_hyperlink_605"/>
    <hyperlink ref="F643" r:id="rId_hyperlink_606"/>
    <hyperlink ref="F644" r:id="rId_hyperlink_607"/>
    <hyperlink ref="F645" r:id="rId_hyperlink_608"/>
    <hyperlink ref="F646" r:id="rId_hyperlink_609"/>
    <hyperlink ref="F647" r:id="rId_hyperlink_610"/>
    <hyperlink ref="F648" r:id="rId_hyperlink_611"/>
    <hyperlink ref="F649" r:id="rId_hyperlink_612"/>
    <hyperlink ref="F650" r:id="rId_hyperlink_613"/>
    <hyperlink ref="F651" r:id="rId_hyperlink_614"/>
    <hyperlink ref="F652" r:id="rId_hyperlink_615"/>
    <hyperlink ref="F653" r:id="rId_hyperlink_616"/>
    <hyperlink ref="F654" r:id="rId_hyperlink_617"/>
    <hyperlink ref="F655" r:id="rId_hyperlink_618"/>
    <hyperlink ref="F656" r:id="rId_hyperlink_619"/>
    <hyperlink ref="F657" r:id="rId_hyperlink_620"/>
    <hyperlink ref="F658" r:id="rId_hyperlink_621"/>
    <hyperlink ref="F659" r:id="rId_hyperlink_622"/>
    <hyperlink ref="F660" r:id="rId_hyperlink_623"/>
    <hyperlink ref="F661" r:id="rId_hyperlink_624"/>
    <hyperlink ref="F662" r:id="rId_hyperlink_625"/>
    <hyperlink ref="F663" r:id="rId_hyperlink_626"/>
    <hyperlink ref="F664" r:id="rId_hyperlink_627"/>
    <hyperlink ref="F665" r:id="rId_hyperlink_628"/>
    <hyperlink ref="F666" r:id="rId_hyperlink_629"/>
    <hyperlink ref="F667" r:id="rId_hyperlink_630"/>
    <hyperlink ref="F668" r:id="rId_hyperlink_631"/>
    <hyperlink ref="F669" r:id="rId_hyperlink_632"/>
    <hyperlink ref="F670" r:id="rId_hyperlink_633"/>
    <hyperlink ref="F671" r:id="rId_hyperlink_634"/>
    <hyperlink ref="F672" r:id="rId_hyperlink_635"/>
    <hyperlink ref="F673" r:id="rId_hyperlink_636"/>
    <hyperlink ref="F674" r:id="rId_hyperlink_637"/>
    <hyperlink ref="F675" r:id="rId_hyperlink_638"/>
    <hyperlink ref="F676" r:id="rId_hyperlink_639"/>
    <hyperlink ref="F677" r:id="rId_hyperlink_640"/>
    <hyperlink ref="F678" r:id="rId_hyperlink_641"/>
    <hyperlink ref="F679" r:id="rId_hyperlink_642"/>
    <hyperlink ref="F680" r:id="rId_hyperlink_643"/>
    <hyperlink ref="F681" r:id="rId_hyperlink_644"/>
    <hyperlink ref="F682" r:id="rId_hyperlink_645"/>
    <hyperlink ref="F683" r:id="rId_hyperlink_646"/>
    <hyperlink ref="F684" r:id="rId_hyperlink_647"/>
    <hyperlink ref="F685" r:id="rId_hyperlink_648"/>
    <hyperlink ref="F686" r:id="rId_hyperlink_649"/>
    <hyperlink ref="F687" r:id="rId_hyperlink_650"/>
    <hyperlink ref="F688" r:id="rId_hyperlink_651"/>
    <hyperlink ref="F689" r:id="rId_hyperlink_652"/>
    <hyperlink ref="F690" r:id="rId_hyperlink_653"/>
    <hyperlink ref="F691" r:id="rId_hyperlink_654"/>
    <hyperlink ref="F692" r:id="rId_hyperlink_655"/>
    <hyperlink ref="F693" r:id="rId_hyperlink_656"/>
    <hyperlink ref="F694" r:id="rId_hyperlink_657"/>
    <hyperlink ref="F695" r:id="rId_hyperlink_658"/>
    <hyperlink ref="F696" r:id="rId_hyperlink_659"/>
    <hyperlink ref="F697" r:id="rId_hyperlink_660"/>
    <hyperlink ref="F698" r:id="rId_hyperlink_661"/>
    <hyperlink ref="F699" r:id="rId_hyperlink_662"/>
    <hyperlink ref="F700" r:id="rId_hyperlink_663"/>
    <hyperlink ref="F701" r:id="rId_hyperlink_664"/>
    <hyperlink ref="F702" r:id="rId_hyperlink_665"/>
    <hyperlink ref="F703" r:id="rId_hyperlink_666"/>
    <hyperlink ref="F704" r:id="rId_hyperlink_667"/>
    <hyperlink ref="F705" r:id="rId_hyperlink_668"/>
    <hyperlink ref="F706" r:id="rId_hyperlink_669"/>
    <hyperlink ref="F707" r:id="rId_hyperlink_670"/>
    <hyperlink ref="F708" r:id="rId_hyperlink_671"/>
    <hyperlink ref="F709" r:id="rId_hyperlink_672"/>
    <hyperlink ref="F710" r:id="rId_hyperlink_673"/>
    <hyperlink ref="F711" r:id="rId_hyperlink_674"/>
    <hyperlink ref="F712" r:id="rId_hyperlink_675"/>
    <hyperlink ref="F713" r:id="rId_hyperlink_676"/>
    <hyperlink ref="F714" r:id="rId_hyperlink_677"/>
    <hyperlink ref="F715" r:id="rId_hyperlink_678"/>
    <hyperlink ref="F716" r:id="rId_hyperlink_679"/>
    <hyperlink ref="F717" r:id="rId_hyperlink_680"/>
    <hyperlink ref="F718" r:id="rId_hyperlink_681"/>
    <hyperlink ref="F719" r:id="rId_hyperlink_682"/>
    <hyperlink ref="F720" r:id="rId_hyperlink_683"/>
    <hyperlink ref="F721" r:id="rId_hyperlink_684"/>
    <hyperlink ref="F722" r:id="rId_hyperlink_685"/>
    <hyperlink ref="F723" r:id="rId_hyperlink_686"/>
    <hyperlink ref="F724" r:id="rId_hyperlink_687"/>
    <hyperlink ref="F725" r:id="rId_hyperlink_688"/>
    <hyperlink ref="F726" r:id="rId_hyperlink_689"/>
    <hyperlink ref="F727" r:id="rId_hyperlink_690"/>
    <hyperlink ref="F728" r:id="rId_hyperlink_691"/>
    <hyperlink ref="F729" r:id="rId_hyperlink_692"/>
    <hyperlink ref="F730" r:id="rId_hyperlink_693"/>
    <hyperlink ref="F731" r:id="rId_hyperlink_694"/>
    <hyperlink ref="F732" r:id="rId_hyperlink_695"/>
    <hyperlink ref="F733" r:id="rId_hyperlink_696"/>
    <hyperlink ref="F734" r:id="rId_hyperlink_697"/>
    <hyperlink ref="F735" r:id="rId_hyperlink_698"/>
    <hyperlink ref="F736" r:id="rId_hyperlink_699"/>
    <hyperlink ref="F737" r:id="rId_hyperlink_700"/>
    <hyperlink ref="F738" r:id="rId_hyperlink_701"/>
    <hyperlink ref="F739" r:id="rId_hyperlink_702"/>
    <hyperlink ref="F740" r:id="rId_hyperlink_703"/>
    <hyperlink ref="F741" r:id="rId_hyperlink_704"/>
    <hyperlink ref="F742" r:id="rId_hyperlink_705"/>
    <hyperlink ref="F743" r:id="rId_hyperlink_706"/>
    <hyperlink ref="F744" r:id="rId_hyperlink_707"/>
    <hyperlink ref="F745" r:id="rId_hyperlink_708"/>
    <hyperlink ref="F746" r:id="rId_hyperlink_709"/>
    <hyperlink ref="F747" r:id="rId_hyperlink_710"/>
    <hyperlink ref="F748" r:id="rId_hyperlink_711"/>
    <hyperlink ref="F749" r:id="rId_hyperlink_712"/>
    <hyperlink ref="F750" r:id="rId_hyperlink_713"/>
    <hyperlink ref="F751" r:id="rId_hyperlink_714"/>
    <hyperlink ref="F752" r:id="rId_hyperlink_715"/>
    <hyperlink ref="F753" r:id="rId_hyperlink_716"/>
    <hyperlink ref="F754" r:id="rId_hyperlink_717"/>
    <hyperlink ref="F755" r:id="rId_hyperlink_718"/>
    <hyperlink ref="F756" r:id="rId_hyperlink_719"/>
    <hyperlink ref="F757" r:id="rId_hyperlink_720"/>
    <hyperlink ref="F758" r:id="rId_hyperlink_721"/>
    <hyperlink ref="F759" r:id="rId_hyperlink_722"/>
    <hyperlink ref="F760" r:id="rId_hyperlink_723"/>
    <hyperlink ref="F761" r:id="rId_hyperlink_724"/>
    <hyperlink ref="F762" r:id="rId_hyperlink_725"/>
    <hyperlink ref="F763" r:id="rId_hyperlink_726"/>
    <hyperlink ref="F764" r:id="rId_hyperlink_727"/>
    <hyperlink ref="F765" r:id="rId_hyperlink_728"/>
    <hyperlink ref="F766" r:id="rId_hyperlink_729"/>
    <hyperlink ref="F767" r:id="rId_hyperlink_730"/>
    <hyperlink ref="F768" r:id="rId_hyperlink_731"/>
    <hyperlink ref="F769" r:id="rId_hyperlink_732"/>
    <hyperlink ref="F770" r:id="rId_hyperlink_733"/>
    <hyperlink ref="F771" r:id="rId_hyperlink_734"/>
    <hyperlink ref="F772" r:id="rId_hyperlink_735"/>
    <hyperlink ref="F773" r:id="rId_hyperlink_736"/>
    <hyperlink ref="F774" r:id="rId_hyperlink_737"/>
    <hyperlink ref="F775" r:id="rId_hyperlink_738"/>
    <hyperlink ref="F776" r:id="rId_hyperlink_739"/>
    <hyperlink ref="F777" r:id="rId_hyperlink_740"/>
    <hyperlink ref="F778" r:id="rId_hyperlink_741"/>
    <hyperlink ref="F779" r:id="rId_hyperlink_742"/>
    <hyperlink ref="F780" r:id="rId_hyperlink_743"/>
    <hyperlink ref="F781" r:id="rId_hyperlink_744"/>
    <hyperlink ref="F782" r:id="rId_hyperlink_745"/>
    <hyperlink ref="F783" r:id="rId_hyperlink_746"/>
    <hyperlink ref="F784" r:id="rId_hyperlink_747"/>
    <hyperlink ref="F785" r:id="rId_hyperlink_748"/>
    <hyperlink ref="F786" r:id="rId_hyperlink_749"/>
    <hyperlink ref="F787" r:id="rId_hyperlink_750"/>
    <hyperlink ref="F788" r:id="rId_hyperlink_751"/>
    <hyperlink ref="F789" r:id="rId_hyperlink_752"/>
    <hyperlink ref="F790" r:id="rId_hyperlink_753"/>
    <hyperlink ref="F791" r:id="rId_hyperlink_754"/>
    <hyperlink ref="F792" r:id="rId_hyperlink_755"/>
    <hyperlink ref="F793" r:id="rId_hyperlink_756"/>
    <hyperlink ref="F794" r:id="rId_hyperlink_757"/>
    <hyperlink ref="F795" r:id="rId_hyperlink_758"/>
    <hyperlink ref="F796" r:id="rId_hyperlink_759"/>
    <hyperlink ref="F797" r:id="rId_hyperlink_760"/>
    <hyperlink ref="F798" r:id="rId_hyperlink_761"/>
    <hyperlink ref="F799" r:id="rId_hyperlink_762"/>
    <hyperlink ref="F800" r:id="rId_hyperlink_763"/>
    <hyperlink ref="F801" r:id="rId_hyperlink_764"/>
    <hyperlink ref="F802" r:id="rId_hyperlink_765"/>
    <hyperlink ref="F803" r:id="rId_hyperlink_766"/>
    <hyperlink ref="F804" r:id="rId_hyperlink_767"/>
    <hyperlink ref="F805" r:id="rId_hyperlink_768"/>
    <hyperlink ref="F806" r:id="rId_hyperlink_769"/>
    <hyperlink ref="F807" r:id="rId_hyperlink_770"/>
    <hyperlink ref="F808" r:id="rId_hyperlink_771"/>
    <hyperlink ref="F809" r:id="rId_hyperlink_772"/>
    <hyperlink ref="F810" r:id="rId_hyperlink_773"/>
    <hyperlink ref="F811" r:id="rId_hyperlink_774"/>
    <hyperlink ref="F812" r:id="rId_hyperlink_775"/>
    <hyperlink ref="F813" r:id="rId_hyperlink_776"/>
    <hyperlink ref="F814" r:id="rId_hyperlink_777"/>
    <hyperlink ref="F815" r:id="rId_hyperlink_778"/>
    <hyperlink ref="F816" r:id="rId_hyperlink_779"/>
    <hyperlink ref="F817" r:id="rId_hyperlink_780"/>
    <hyperlink ref="F818" r:id="rId_hyperlink_781"/>
    <hyperlink ref="F819" r:id="rId_hyperlink_782"/>
    <hyperlink ref="F820" r:id="rId_hyperlink_783"/>
    <hyperlink ref="F821" r:id="rId_hyperlink_784"/>
    <hyperlink ref="F822" r:id="rId_hyperlink_785"/>
    <hyperlink ref="F823" r:id="rId_hyperlink_786"/>
    <hyperlink ref="F824" r:id="rId_hyperlink_787"/>
    <hyperlink ref="F825" r:id="rId_hyperlink_788"/>
    <hyperlink ref="F826" r:id="rId_hyperlink_789"/>
    <hyperlink ref="F827" r:id="rId_hyperlink_790"/>
    <hyperlink ref="F828" r:id="rId_hyperlink_791"/>
    <hyperlink ref="F829" r:id="rId_hyperlink_792"/>
    <hyperlink ref="F830" r:id="rId_hyperlink_793"/>
    <hyperlink ref="F831" r:id="rId_hyperlink_794"/>
    <hyperlink ref="F832" r:id="rId_hyperlink_795"/>
    <hyperlink ref="F833" r:id="rId_hyperlink_796"/>
    <hyperlink ref="F834" r:id="rId_hyperlink_797"/>
    <hyperlink ref="F835" r:id="rId_hyperlink_798"/>
    <hyperlink ref="F836" r:id="rId_hyperlink_799"/>
    <hyperlink ref="F837" r:id="rId_hyperlink_800"/>
    <hyperlink ref="F838" r:id="rId_hyperlink_801"/>
    <hyperlink ref="F839" r:id="rId_hyperlink_802"/>
    <hyperlink ref="F840" r:id="rId_hyperlink_803"/>
    <hyperlink ref="F841" r:id="rId_hyperlink_804"/>
    <hyperlink ref="F842" r:id="rId_hyperlink_805"/>
    <hyperlink ref="F843" r:id="rId_hyperlink_806"/>
    <hyperlink ref="F844" r:id="rId_hyperlink_807"/>
    <hyperlink ref="F845" r:id="rId_hyperlink_808"/>
    <hyperlink ref="F846" r:id="rId_hyperlink_809"/>
    <hyperlink ref="F847" r:id="rId_hyperlink_810"/>
    <hyperlink ref="F848" r:id="rId_hyperlink_811"/>
    <hyperlink ref="F849" r:id="rId_hyperlink_812"/>
    <hyperlink ref="F850" r:id="rId_hyperlink_813"/>
    <hyperlink ref="F851" r:id="rId_hyperlink_814"/>
    <hyperlink ref="F852" r:id="rId_hyperlink_815"/>
    <hyperlink ref="F853" r:id="rId_hyperlink_816"/>
    <hyperlink ref="F854" r:id="rId_hyperlink_817"/>
    <hyperlink ref="F855" r:id="rId_hyperlink_818"/>
    <hyperlink ref="F856" r:id="rId_hyperlink_819"/>
    <hyperlink ref="F857" r:id="rId_hyperlink_820"/>
    <hyperlink ref="F858" r:id="rId_hyperlink_821"/>
    <hyperlink ref="F859" r:id="rId_hyperlink_822"/>
    <hyperlink ref="F860" r:id="rId_hyperlink_823"/>
    <hyperlink ref="F861" r:id="rId_hyperlink_824"/>
    <hyperlink ref="F862" r:id="rId_hyperlink_825"/>
    <hyperlink ref="F863" r:id="rId_hyperlink_826"/>
    <hyperlink ref="F864" r:id="rId_hyperlink_827"/>
    <hyperlink ref="F865" r:id="rId_hyperlink_828"/>
    <hyperlink ref="F866" r:id="rId_hyperlink_829"/>
    <hyperlink ref="F867" r:id="rId_hyperlink_830"/>
    <hyperlink ref="F868" r:id="rId_hyperlink_831"/>
    <hyperlink ref="F869" r:id="rId_hyperlink_832"/>
    <hyperlink ref="F870" r:id="rId_hyperlink_833"/>
    <hyperlink ref="F871" r:id="rId_hyperlink_834"/>
    <hyperlink ref="F872" r:id="rId_hyperlink_835"/>
    <hyperlink ref="F873" r:id="rId_hyperlink_836"/>
    <hyperlink ref="F874" r:id="rId_hyperlink_837"/>
    <hyperlink ref="F875" r:id="rId_hyperlink_838"/>
    <hyperlink ref="F876" r:id="rId_hyperlink_839"/>
    <hyperlink ref="F877" r:id="rId_hyperlink_840"/>
    <hyperlink ref="F881" r:id="rId_hyperlink_841"/>
    <hyperlink ref="F882" r:id="rId_hyperlink_842"/>
    <hyperlink ref="F883" r:id="rId_hyperlink_843"/>
    <hyperlink ref="F884" r:id="rId_hyperlink_844"/>
    <hyperlink ref="F885" r:id="rId_hyperlink_845"/>
    <hyperlink ref="F886" r:id="rId_hyperlink_846"/>
    <hyperlink ref="F887" r:id="rId_hyperlink_847"/>
    <hyperlink ref="F888" r:id="rId_hyperlink_848"/>
    <hyperlink ref="F889" r:id="rId_hyperlink_849"/>
    <hyperlink ref="F890" r:id="rId_hyperlink_850"/>
    <hyperlink ref="F891" r:id="rId_hyperlink_851"/>
    <hyperlink ref="F892" r:id="rId_hyperlink_852"/>
    <hyperlink ref="F893" r:id="rId_hyperlink_853"/>
    <hyperlink ref="F894" r:id="rId_hyperlink_854"/>
    <hyperlink ref="F895" r:id="rId_hyperlink_855"/>
    <hyperlink ref="F896" r:id="rId_hyperlink_856"/>
    <hyperlink ref="F897" r:id="rId_hyperlink_857"/>
    <hyperlink ref="F898" r:id="rId_hyperlink_858"/>
    <hyperlink ref="F899" r:id="rId_hyperlink_859"/>
    <hyperlink ref="F900" r:id="rId_hyperlink_860"/>
    <hyperlink ref="F901" r:id="rId_hyperlink_861"/>
    <hyperlink ref="F902" r:id="rId_hyperlink_862"/>
    <hyperlink ref="F903" r:id="rId_hyperlink_863"/>
    <hyperlink ref="F904" r:id="rId_hyperlink_864"/>
    <hyperlink ref="F905" r:id="rId_hyperlink_865"/>
    <hyperlink ref="F906" r:id="rId_hyperlink_866"/>
    <hyperlink ref="F907" r:id="rId_hyperlink_867"/>
    <hyperlink ref="F908" r:id="rId_hyperlink_868"/>
    <hyperlink ref="F909" r:id="rId_hyperlink_869"/>
    <hyperlink ref="F910" r:id="rId_hyperlink_870"/>
    <hyperlink ref="F911" r:id="rId_hyperlink_871"/>
    <hyperlink ref="F912" r:id="rId_hyperlink_872"/>
    <hyperlink ref="F913" r:id="rId_hyperlink_873"/>
    <hyperlink ref="F914" r:id="rId_hyperlink_874"/>
    <hyperlink ref="F915" r:id="rId_hyperlink_875"/>
    <hyperlink ref="F916" r:id="rId_hyperlink_876"/>
    <hyperlink ref="F917" r:id="rId_hyperlink_877"/>
    <hyperlink ref="F918" r:id="rId_hyperlink_878"/>
    <hyperlink ref="F919" r:id="rId_hyperlink_879"/>
    <hyperlink ref="F920" r:id="rId_hyperlink_880"/>
    <hyperlink ref="F921" r:id="rId_hyperlink_881"/>
    <hyperlink ref="F922" r:id="rId_hyperlink_882"/>
    <hyperlink ref="F923" r:id="rId_hyperlink_883"/>
    <hyperlink ref="F924" r:id="rId_hyperlink_884"/>
    <hyperlink ref="F925" r:id="rId_hyperlink_885"/>
    <hyperlink ref="F926" r:id="rId_hyperlink_886"/>
    <hyperlink ref="F927" r:id="rId_hyperlink_887"/>
    <hyperlink ref="F928" r:id="rId_hyperlink_888"/>
    <hyperlink ref="F929" r:id="rId_hyperlink_889"/>
    <hyperlink ref="F930" r:id="rId_hyperlink_890"/>
    <hyperlink ref="F931" r:id="rId_hyperlink_891"/>
    <hyperlink ref="F932" r:id="rId_hyperlink_892"/>
    <hyperlink ref="F933" r:id="rId_hyperlink_893"/>
    <hyperlink ref="F934" r:id="rId_hyperlink_894"/>
    <hyperlink ref="F935" r:id="rId_hyperlink_895"/>
    <hyperlink ref="F936" r:id="rId_hyperlink_896"/>
    <hyperlink ref="F937" r:id="rId_hyperlink_897"/>
    <hyperlink ref="F938" r:id="rId_hyperlink_898"/>
    <hyperlink ref="F939" r:id="rId_hyperlink_899"/>
    <hyperlink ref="F940" r:id="rId_hyperlink_900"/>
    <hyperlink ref="F941" r:id="rId_hyperlink_901"/>
    <hyperlink ref="F942" r:id="rId_hyperlink_902"/>
    <hyperlink ref="F943" r:id="rId_hyperlink_903"/>
    <hyperlink ref="F944" r:id="rId_hyperlink_904"/>
    <hyperlink ref="F945" r:id="rId_hyperlink_905"/>
    <hyperlink ref="F946" r:id="rId_hyperlink_906"/>
    <hyperlink ref="F947" r:id="rId_hyperlink_907"/>
    <hyperlink ref="F948" r:id="rId_hyperlink_908"/>
    <hyperlink ref="F949" r:id="rId_hyperlink_909"/>
    <hyperlink ref="F950" r:id="rId_hyperlink_910"/>
    <hyperlink ref="F951" r:id="rId_hyperlink_911"/>
    <hyperlink ref="F952" r:id="rId_hyperlink_912"/>
    <hyperlink ref="F953" r:id="rId_hyperlink_913"/>
    <hyperlink ref="F954" r:id="rId_hyperlink_914"/>
    <hyperlink ref="F955" r:id="rId_hyperlink_915"/>
    <hyperlink ref="F956" r:id="rId_hyperlink_916"/>
    <hyperlink ref="F957" r:id="rId_hyperlink_917"/>
    <hyperlink ref="F958" r:id="rId_hyperlink_918"/>
    <hyperlink ref="F959" r:id="rId_hyperlink_919"/>
    <hyperlink ref="F960" r:id="rId_hyperlink_920"/>
    <hyperlink ref="F961" r:id="rId_hyperlink_921"/>
    <hyperlink ref="F962" r:id="rId_hyperlink_922"/>
    <hyperlink ref="F963" r:id="rId_hyperlink_923"/>
    <hyperlink ref="F964" r:id="rId_hyperlink_924"/>
    <hyperlink ref="F965" r:id="rId_hyperlink_925"/>
    <hyperlink ref="F966" r:id="rId_hyperlink_926"/>
    <hyperlink ref="F967" r:id="rId_hyperlink_927"/>
    <hyperlink ref="F968" r:id="rId_hyperlink_928"/>
    <hyperlink ref="F969" r:id="rId_hyperlink_929"/>
    <hyperlink ref="F970" r:id="rId_hyperlink_930"/>
    <hyperlink ref="F971" r:id="rId_hyperlink_931"/>
    <hyperlink ref="F972" r:id="rId_hyperlink_932"/>
    <hyperlink ref="F973" r:id="rId_hyperlink_933"/>
    <hyperlink ref="F974" r:id="rId_hyperlink_934"/>
    <hyperlink ref="F975" r:id="rId_hyperlink_935"/>
    <hyperlink ref="F976" r:id="rId_hyperlink_936"/>
    <hyperlink ref="F977" r:id="rId_hyperlink_937"/>
    <hyperlink ref="F978" r:id="rId_hyperlink_938"/>
    <hyperlink ref="F979" r:id="rId_hyperlink_939"/>
    <hyperlink ref="F980" r:id="rId_hyperlink_940"/>
    <hyperlink ref="F981" r:id="rId_hyperlink_941"/>
    <hyperlink ref="F982" r:id="rId_hyperlink_942"/>
    <hyperlink ref="F983" r:id="rId_hyperlink_943"/>
    <hyperlink ref="F984" r:id="rId_hyperlink_944"/>
    <hyperlink ref="F985" r:id="rId_hyperlink_945"/>
    <hyperlink ref="F986" r:id="rId_hyperlink_946"/>
    <hyperlink ref="F987" r:id="rId_hyperlink_947"/>
    <hyperlink ref="F988" r:id="rId_hyperlink_948"/>
    <hyperlink ref="F989" r:id="rId_hyperlink_949"/>
    <hyperlink ref="F990" r:id="rId_hyperlink_950"/>
    <hyperlink ref="F991" r:id="rId_hyperlink_951"/>
    <hyperlink ref="F992" r:id="rId_hyperlink_952"/>
    <hyperlink ref="F993" r:id="rId_hyperlink_953"/>
    <hyperlink ref="F994" r:id="rId_hyperlink_954"/>
    <hyperlink ref="F995" r:id="rId_hyperlink_955"/>
    <hyperlink ref="F996" r:id="rId_hyperlink_956"/>
    <hyperlink ref="F997" r:id="rId_hyperlink_957"/>
    <hyperlink ref="F998" r:id="rId_hyperlink_958"/>
    <hyperlink ref="F999" r:id="rId_hyperlink_959"/>
    <hyperlink ref="F1000" r:id="rId_hyperlink_960"/>
    <hyperlink ref="F1001" r:id="rId_hyperlink_961"/>
    <hyperlink ref="F1002" r:id="rId_hyperlink_962"/>
    <hyperlink ref="F1003" r:id="rId_hyperlink_963"/>
    <hyperlink ref="F1004" r:id="rId_hyperlink_964"/>
    <hyperlink ref="F1005" r:id="rId_hyperlink_965"/>
    <hyperlink ref="F1006" r:id="rId_hyperlink_966"/>
    <hyperlink ref="F1007" r:id="rId_hyperlink_967"/>
    <hyperlink ref="F1008" r:id="rId_hyperlink_968"/>
    <hyperlink ref="F1009" r:id="rId_hyperlink_969"/>
    <hyperlink ref="F1010" r:id="rId_hyperlink_970"/>
    <hyperlink ref="F1011" r:id="rId_hyperlink_971"/>
    <hyperlink ref="F1012" r:id="rId_hyperlink_972"/>
    <hyperlink ref="F1013" r:id="rId_hyperlink_973"/>
    <hyperlink ref="F1014" r:id="rId_hyperlink_974"/>
    <hyperlink ref="F1015" r:id="rId_hyperlink_975"/>
    <hyperlink ref="F1016" r:id="rId_hyperlink_976"/>
    <hyperlink ref="F1017" r:id="rId_hyperlink_977"/>
    <hyperlink ref="F1018" r:id="rId_hyperlink_978"/>
    <hyperlink ref="F1019" r:id="rId_hyperlink_979"/>
    <hyperlink ref="F1020" r:id="rId_hyperlink_980"/>
    <hyperlink ref="F1021" r:id="rId_hyperlink_981"/>
    <hyperlink ref="F1022" r:id="rId_hyperlink_982"/>
    <hyperlink ref="F1023" r:id="rId_hyperlink_983"/>
    <hyperlink ref="F1024" r:id="rId_hyperlink_984"/>
    <hyperlink ref="F1025" r:id="rId_hyperlink_985"/>
    <hyperlink ref="F1026" r:id="rId_hyperlink_986"/>
    <hyperlink ref="F1027" r:id="rId_hyperlink_987"/>
    <hyperlink ref="F1028" r:id="rId_hyperlink_988"/>
    <hyperlink ref="F1029" r:id="rId_hyperlink_989"/>
    <hyperlink ref="F1030" r:id="rId_hyperlink_990"/>
    <hyperlink ref="F1031" r:id="rId_hyperlink_991"/>
    <hyperlink ref="F1032" r:id="rId_hyperlink_992"/>
    <hyperlink ref="F1033" r:id="rId_hyperlink_993"/>
    <hyperlink ref="F1034" r:id="rId_hyperlink_994"/>
    <hyperlink ref="F1035" r:id="rId_hyperlink_995"/>
    <hyperlink ref="F1036" r:id="rId_hyperlink_996"/>
    <hyperlink ref="F1037" r:id="rId_hyperlink_997"/>
    <hyperlink ref="F1038" r:id="rId_hyperlink_998"/>
    <hyperlink ref="F1039" r:id="rId_hyperlink_999"/>
    <hyperlink ref="F1040" r:id="rId_hyperlink_1000"/>
    <hyperlink ref="F1041" r:id="rId_hyperlink_1001"/>
    <hyperlink ref="F1042" r:id="rId_hyperlink_1002"/>
    <hyperlink ref="F1043" r:id="rId_hyperlink_1003"/>
    <hyperlink ref="F1044" r:id="rId_hyperlink_1004"/>
    <hyperlink ref="F1045" r:id="rId_hyperlink_1005"/>
    <hyperlink ref="F1046" r:id="rId_hyperlink_1006"/>
    <hyperlink ref="F1047" r:id="rId_hyperlink_1007"/>
    <hyperlink ref="F1048" r:id="rId_hyperlink_1008"/>
    <hyperlink ref="F1049" r:id="rId_hyperlink_1009"/>
    <hyperlink ref="F1050" r:id="rId_hyperlink_1010"/>
    <hyperlink ref="F1051" r:id="rId_hyperlink_1011"/>
    <hyperlink ref="F1052" r:id="rId_hyperlink_1012"/>
    <hyperlink ref="F1053" r:id="rId_hyperlink_1013"/>
    <hyperlink ref="F1054" r:id="rId_hyperlink_1014"/>
    <hyperlink ref="F1055" r:id="rId_hyperlink_1015"/>
    <hyperlink ref="F1056" r:id="rId_hyperlink_1016"/>
    <hyperlink ref="F1057" r:id="rId_hyperlink_1017"/>
    <hyperlink ref="F1058" r:id="rId_hyperlink_1018"/>
    <hyperlink ref="F1059" r:id="rId_hyperlink_1019"/>
    <hyperlink ref="F1060" r:id="rId_hyperlink_1020"/>
    <hyperlink ref="F1061" r:id="rId_hyperlink_1021"/>
    <hyperlink ref="F1062" r:id="rId_hyperlink_1022"/>
    <hyperlink ref="F1063" r:id="rId_hyperlink_1023"/>
    <hyperlink ref="F1064" r:id="rId_hyperlink_1024"/>
    <hyperlink ref="F1065" r:id="rId_hyperlink_1025"/>
    <hyperlink ref="F1066" r:id="rId_hyperlink_1026"/>
    <hyperlink ref="F1067" r:id="rId_hyperlink_1027"/>
    <hyperlink ref="F1068" r:id="rId_hyperlink_1028"/>
    <hyperlink ref="F1069" r:id="rId_hyperlink_1029"/>
    <hyperlink ref="F1070" r:id="rId_hyperlink_1030"/>
    <hyperlink ref="F1071" r:id="rId_hyperlink_1031"/>
    <hyperlink ref="F1072" r:id="rId_hyperlink_1032"/>
    <hyperlink ref="F1073" r:id="rId_hyperlink_1033"/>
    <hyperlink ref="F1074" r:id="rId_hyperlink_1034"/>
    <hyperlink ref="F1075" r:id="rId_hyperlink_1035"/>
    <hyperlink ref="F1076" r:id="rId_hyperlink_1036"/>
    <hyperlink ref="F1077" r:id="rId_hyperlink_1037"/>
    <hyperlink ref="F1078" r:id="rId_hyperlink_1038"/>
    <hyperlink ref="F1079" r:id="rId_hyperlink_1039"/>
    <hyperlink ref="F1080" r:id="rId_hyperlink_1040"/>
    <hyperlink ref="F1081" r:id="rId_hyperlink_1041"/>
    <hyperlink ref="F1082" r:id="rId_hyperlink_1042"/>
    <hyperlink ref="F1083" r:id="rId_hyperlink_1043"/>
    <hyperlink ref="F1084" r:id="rId_hyperlink_1044"/>
    <hyperlink ref="F1085" r:id="rId_hyperlink_1045"/>
    <hyperlink ref="F1086" r:id="rId_hyperlink_1046"/>
    <hyperlink ref="F1087" r:id="rId_hyperlink_1047"/>
    <hyperlink ref="F1088" r:id="rId_hyperlink_1048"/>
    <hyperlink ref="F1089" r:id="rId_hyperlink_1049"/>
    <hyperlink ref="F1090" r:id="rId_hyperlink_1050"/>
    <hyperlink ref="F1091" r:id="rId_hyperlink_1051"/>
    <hyperlink ref="F1092" r:id="rId_hyperlink_1052"/>
    <hyperlink ref="F1093" r:id="rId_hyperlink_1053"/>
    <hyperlink ref="F1094" r:id="rId_hyperlink_1054"/>
    <hyperlink ref="F1095" r:id="rId_hyperlink_1055"/>
    <hyperlink ref="F1096" r:id="rId_hyperlink_1056"/>
    <hyperlink ref="F1097" r:id="rId_hyperlink_1057"/>
    <hyperlink ref="F1098" r:id="rId_hyperlink_1058"/>
    <hyperlink ref="F1099" r:id="rId_hyperlink_1059"/>
    <hyperlink ref="F1100" r:id="rId_hyperlink_1060"/>
    <hyperlink ref="F1101" r:id="rId_hyperlink_1061"/>
    <hyperlink ref="F1102" r:id="rId_hyperlink_1062"/>
    <hyperlink ref="F1103" r:id="rId_hyperlink_1063"/>
    <hyperlink ref="F1104" r:id="rId_hyperlink_1064"/>
    <hyperlink ref="F1105" r:id="rId_hyperlink_1065"/>
    <hyperlink ref="F1106" r:id="rId_hyperlink_1066"/>
    <hyperlink ref="F1107" r:id="rId_hyperlink_1067"/>
    <hyperlink ref="F1108" r:id="rId_hyperlink_1068"/>
    <hyperlink ref="F1109" r:id="rId_hyperlink_1069"/>
    <hyperlink ref="F1110" r:id="rId_hyperlink_1070"/>
    <hyperlink ref="F1111" r:id="rId_hyperlink_1071"/>
    <hyperlink ref="F1112" r:id="rId_hyperlink_1072"/>
    <hyperlink ref="F1113" r:id="rId_hyperlink_1073"/>
    <hyperlink ref="F1114" r:id="rId_hyperlink_1074"/>
    <hyperlink ref="F1115" r:id="rId_hyperlink_1075"/>
    <hyperlink ref="F1116" r:id="rId_hyperlink_1076"/>
    <hyperlink ref="F1117" r:id="rId_hyperlink_1077"/>
    <hyperlink ref="F1118" r:id="rId_hyperlink_1078"/>
    <hyperlink ref="F1119" r:id="rId_hyperlink_1079"/>
    <hyperlink ref="F1120" r:id="rId_hyperlink_1080"/>
    <hyperlink ref="F1121" r:id="rId_hyperlink_1081"/>
    <hyperlink ref="F1122" r:id="rId_hyperlink_1082"/>
    <hyperlink ref="F1123" r:id="rId_hyperlink_1083"/>
    <hyperlink ref="F1124" r:id="rId_hyperlink_1084"/>
    <hyperlink ref="F1125" r:id="rId_hyperlink_1085"/>
    <hyperlink ref="F1126" r:id="rId_hyperlink_1086"/>
    <hyperlink ref="F1127" r:id="rId_hyperlink_1087"/>
    <hyperlink ref="F1128" r:id="rId_hyperlink_1088"/>
    <hyperlink ref="F1129" r:id="rId_hyperlink_1089"/>
    <hyperlink ref="F1130" r:id="rId_hyperlink_1090"/>
    <hyperlink ref="F1131" r:id="rId_hyperlink_1091"/>
    <hyperlink ref="F1132" r:id="rId_hyperlink_1092"/>
    <hyperlink ref="F1133" r:id="rId_hyperlink_1093"/>
    <hyperlink ref="F1134" r:id="rId_hyperlink_1094"/>
    <hyperlink ref="F1135" r:id="rId_hyperlink_1095"/>
    <hyperlink ref="F1136" r:id="rId_hyperlink_1096"/>
    <hyperlink ref="F1137" r:id="rId_hyperlink_1097"/>
    <hyperlink ref="F1138" r:id="rId_hyperlink_1098"/>
    <hyperlink ref="F1139" r:id="rId_hyperlink_1099"/>
    <hyperlink ref="F1140" r:id="rId_hyperlink_1100"/>
    <hyperlink ref="F1141" r:id="rId_hyperlink_1101"/>
    <hyperlink ref="F1142" r:id="rId_hyperlink_1102"/>
    <hyperlink ref="F1143" r:id="rId_hyperlink_1103"/>
    <hyperlink ref="F1144" r:id="rId_hyperlink_1104"/>
    <hyperlink ref="F1145" r:id="rId_hyperlink_1105"/>
    <hyperlink ref="F1146" r:id="rId_hyperlink_1106"/>
    <hyperlink ref="F1147" r:id="rId_hyperlink_1107"/>
    <hyperlink ref="F1148" r:id="rId_hyperlink_1108"/>
    <hyperlink ref="F1149" r:id="rId_hyperlink_1109"/>
    <hyperlink ref="F1150" r:id="rId_hyperlink_1110"/>
    <hyperlink ref="F1151" r:id="rId_hyperlink_1111"/>
    <hyperlink ref="F1152" r:id="rId_hyperlink_1112"/>
    <hyperlink ref="F1153" r:id="rId_hyperlink_1113"/>
    <hyperlink ref="F1154" r:id="rId_hyperlink_1114"/>
    <hyperlink ref="F1155" r:id="rId_hyperlink_1115"/>
    <hyperlink ref="F1156" r:id="rId_hyperlink_1116"/>
    <hyperlink ref="F1157" r:id="rId_hyperlink_1117"/>
    <hyperlink ref="F1158" r:id="rId_hyperlink_1118"/>
    <hyperlink ref="F1159" r:id="rId_hyperlink_1119"/>
    <hyperlink ref="F1160" r:id="rId_hyperlink_1120"/>
    <hyperlink ref="F1161" r:id="rId_hyperlink_1121"/>
    <hyperlink ref="F1162" r:id="rId_hyperlink_1122"/>
    <hyperlink ref="F1163" r:id="rId_hyperlink_1123"/>
    <hyperlink ref="F1164" r:id="rId_hyperlink_1124"/>
    <hyperlink ref="F1165" r:id="rId_hyperlink_1125"/>
    <hyperlink ref="F1166" r:id="rId_hyperlink_1126"/>
    <hyperlink ref="F1167" r:id="rId_hyperlink_1127"/>
    <hyperlink ref="F1168" r:id="rId_hyperlink_1128"/>
    <hyperlink ref="F1169" r:id="rId_hyperlink_1129"/>
    <hyperlink ref="F1170" r:id="rId_hyperlink_1130"/>
    <hyperlink ref="F1171" r:id="rId_hyperlink_1131"/>
    <hyperlink ref="F1172" r:id="rId_hyperlink_1132"/>
    <hyperlink ref="F1173" r:id="rId_hyperlink_1133"/>
    <hyperlink ref="F1174" r:id="rId_hyperlink_1134"/>
    <hyperlink ref="F1175" r:id="rId_hyperlink_1135"/>
    <hyperlink ref="F1176" r:id="rId_hyperlink_1136"/>
    <hyperlink ref="F1177" r:id="rId_hyperlink_1137"/>
    <hyperlink ref="F1178" r:id="rId_hyperlink_1138"/>
    <hyperlink ref="F1179" r:id="rId_hyperlink_1139"/>
    <hyperlink ref="F1180" r:id="rId_hyperlink_1140"/>
    <hyperlink ref="F1181" r:id="rId_hyperlink_1141"/>
    <hyperlink ref="F1182" r:id="rId_hyperlink_1142"/>
    <hyperlink ref="F1183" r:id="rId_hyperlink_1143"/>
    <hyperlink ref="F1184" r:id="rId_hyperlink_1144"/>
    <hyperlink ref="F1185" r:id="rId_hyperlink_1145"/>
    <hyperlink ref="F1186" r:id="rId_hyperlink_1146"/>
    <hyperlink ref="F1187" r:id="rId_hyperlink_1147"/>
    <hyperlink ref="F1188" r:id="rId_hyperlink_1148"/>
    <hyperlink ref="F1189" r:id="rId_hyperlink_1149"/>
    <hyperlink ref="F1190" r:id="rId_hyperlink_1150"/>
    <hyperlink ref="F1191" r:id="rId_hyperlink_1151"/>
    <hyperlink ref="F1192" r:id="rId_hyperlink_1152"/>
    <hyperlink ref="F1193" r:id="rId_hyperlink_1153"/>
    <hyperlink ref="F1196" r:id="rId_hyperlink_1154"/>
    <hyperlink ref="F1197" r:id="rId_hyperlink_1155"/>
    <hyperlink ref="F1198" r:id="rId_hyperlink_1156"/>
    <hyperlink ref="F1199" r:id="rId_hyperlink_1157"/>
    <hyperlink ref="F1200" r:id="rId_hyperlink_1158"/>
    <hyperlink ref="F1201" r:id="rId_hyperlink_1159"/>
    <hyperlink ref="F1202" r:id="rId_hyperlink_1160"/>
    <hyperlink ref="F1203" r:id="rId_hyperlink_1161"/>
    <hyperlink ref="F1204" r:id="rId_hyperlink_1162"/>
    <hyperlink ref="F1205" r:id="rId_hyperlink_1163"/>
    <hyperlink ref="F1206" r:id="rId_hyperlink_1164"/>
    <hyperlink ref="F1207" r:id="rId_hyperlink_1165"/>
    <hyperlink ref="F1208" r:id="rId_hyperlink_1166"/>
    <hyperlink ref="F1209" r:id="rId_hyperlink_1167"/>
    <hyperlink ref="F1210" r:id="rId_hyperlink_1168"/>
    <hyperlink ref="F1211" r:id="rId_hyperlink_1169"/>
    <hyperlink ref="F1212" r:id="rId_hyperlink_1170"/>
    <hyperlink ref="F1213" r:id="rId_hyperlink_1171"/>
    <hyperlink ref="F1214" r:id="rId_hyperlink_1172"/>
    <hyperlink ref="F1215" r:id="rId_hyperlink_1173"/>
    <hyperlink ref="F1216" r:id="rId_hyperlink_1174"/>
    <hyperlink ref="F1217" r:id="rId_hyperlink_1175"/>
    <hyperlink ref="F1218" r:id="rId_hyperlink_1176"/>
    <hyperlink ref="F1219" r:id="rId_hyperlink_1177"/>
    <hyperlink ref="F1220" r:id="rId_hyperlink_1178"/>
    <hyperlink ref="F1224" r:id="rId_hyperlink_1179"/>
    <hyperlink ref="F1225" r:id="rId_hyperlink_1180"/>
    <hyperlink ref="F1226" r:id="rId_hyperlink_1181"/>
    <hyperlink ref="F1227" r:id="rId_hyperlink_1182"/>
    <hyperlink ref="F1228" r:id="rId_hyperlink_1183"/>
    <hyperlink ref="F1229" r:id="rId_hyperlink_1184"/>
    <hyperlink ref="F1230" r:id="rId_hyperlink_1185"/>
    <hyperlink ref="F1231" r:id="rId_hyperlink_1186"/>
    <hyperlink ref="F1232" r:id="rId_hyperlink_1187"/>
    <hyperlink ref="F1233" r:id="rId_hyperlink_1188"/>
    <hyperlink ref="F1234" r:id="rId_hyperlink_1189"/>
    <hyperlink ref="F1235" r:id="rId_hyperlink_1190"/>
    <hyperlink ref="F1236" r:id="rId_hyperlink_1191"/>
    <hyperlink ref="F1237" r:id="rId_hyperlink_1192"/>
    <hyperlink ref="F1239" r:id="rId_hyperlink_1193"/>
    <hyperlink ref="F1240" r:id="rId_hyperlink_1194"/>
    <hyperlink ref="F1241" r:id="rId_hyperlink_1195"/>
    <hyperlink ref="F1242" r:id="rId_hyperlink_1196"/>
    <hyperlink ref="F1243" r:id="rId_hyperlink_1197"/>
    <hyperlink ref="F1244" r:id="rId_hyperlink_1198"/>
    <hyperlink ref="F1245" r:id="rId_hyperlink_1199"/>
    <hyperlink ref="F1246" r:id="rId_hyperlink_1200"/>
    <hyperlink ref="F1247" r:id="rId_hyperlink_1201"/>
    <hyperlink ref="F1248" r:id="rId_hyperlink_1202"/>
    <hyperlink ref="F1249" r:id="rId_hyperlink_1203"/>
    <hyperlink ref="F1250" r:id="rId_hyperlink_1204"/>
    <hyperlink ref="F1251" r:id="rId_hyperlink_1205"/>
    <hyperlink ref="F1252" r:id="rId_hyperlink_1206"/>
    <hyperlink ref="F1253" r:id="rId_hyperlink_1207"/>
    <hyperlink ref="F1254" r:id="rId_hyperlink_1208"/>
    <hyperlink ref="F1255" r:id="rId_hyperlink_1209"/>
    <hyperlink ref="F1256" r:id="rId_hyperlink_1210"/>
    <hyperlink ref="F1257" r:id="rId_hyperlink_1211"/>
    <hyperlink ref="F1258" r:id="rId_hyperlink_1212"/>
    <hyperlink ref="F1259" r:id="rId_hyperlink_1213"/>
    <hyperlink ref="F1260" r:id="rId_hyperlink_1214"/>
    <hyperlink ref="F1261" r:id="rId_hyperlink_1215"/>
    <hyperlink ref="F1262" r:id="rId_hyperlink_1216"/>
    <hyperlink ref="F1263" r:id="rId_hyperlink_1217"/>
    <hyperlink ref="F1264" r:id="rId_hyperlink_1218"/>
    <hyperlink ref="F1265" r:id="rId_hyperlink_1219"/>
    <hyperlink ref="F1266" r:id="rId_hyperlink_1220"/>
    <hyperlink ref="F1267" r:id="rId_hyperlink_1221"/>
    <hyperlink ref="F1268" r:id="rId_hyperlink_1222"/>
    <hyperlink ref="F1269" r:id="rId_hyperlink_1223"/>
    <hyperlink ref="F1270" r:id="rId_hyperlink_1224"/>
    <hyperlink ref="F1271" r:id="rId_hyperlink_1225"/>
    <hyperlink ref="F1272" r:id="rId_hyperlink_1226"/>
    <hyperlink ref="F1273" r:id="rId_hyperlink_1227"/>
    <hyperlink ref="F1274" r:id="rId_hyperlink_1228"/>
    <hyperlink ref="F1275" r:id="rId_hyperlink_1229"/>
    <hyperlink ref="F1276" r:id="rId_hyperlink_1230"/>
    <hyperlink ref="F1277" r:id="rId_hyperlink_1231"/>
    <hyperlink ref="F1278" r:id="rId_hyperlink_1232"/>
    <hyperlink ref="F1279" r:id="rId_hyperlink_1233"/>
    <hyperlink ref="F1280" r:id="rId_hyperlink_1234"/>
    <hyperlink ref="F1281" r:id="rId_hyperlink_1235"/>
    <hyperlink ref="F1282" r:id="rId_hyperlink_1236"/>
    <hyperlink ref="F1283" r:id="rId_hyperlink_1237"/>
    <hyperlink ref="F1284" r:id="rId_hyperlink_1238"/>
    <hyperlink ref="F1285" r:id="rId_hyperlink_1239"/>
    <hyperlink ref="F1286" r:id="rId_hyperlink_1240"/>
    <hyperlink ref="F1287" r:id="rId_hyperlink_1241"/>
    <hyperlink ref="F1288" r:id="rId_hyperlink_1242"/>
    <hyperlink ref="F1289" r:id="rId_hyperlink_1243"/>
    <hyperlink ref="F1290" r:id="rId_hyperlink_1244"/>
    <hyperlink ref="F1291" r:id="rId_hyperlink_1245"/>
    <hyperlink ref="F1292" r:id="rId_hyperlink_1246"/>
    <hyperlink ref="F1293" r:id="rId_hyperlink_1247"/>
    <hyperlink ref="F1294" r:id="rId_hyperlink_1248"/>
    <hyperlink ref="F1295" r:id="rId_hyperlink_1249"/>
    <hyperlink ref="F1296" r:id="rId_hyperlink_1250"/>
    <hyperlink ref="F1297" r:id="rId_hyperlink_1251"/>
    <hyperlink ref="F1298" r:id="rId_hyperlink_1252"/>
    <hyperlink ref="F1299" r:id="rId_hyperlink_1253"/>
    <hyperlink ref="F1300" r:id="rId_hyperlink_1254"/>
    <hyperlink ref="F1301" r:id="rId_hyperlink_1255"/>
    <hyperlink ref="F1302" r:id="rId_hyperlink_1256"/>
    <hyperlink ref="F1303" r:id="rId_hyperlink_1257"/>
    <hyperlink ref="F1304" r:id="rId_hyperlink_1258"/>
    <hyperlink ref="F1305" r:id="rId_hyperlink_1259"/>
    <hyperlink ref="F1306" r:id="rId_hyperlink_1260"/>
    <hyperlink ref="F1307" r:id="rId_hyperlink_1261"/>
    <hyperlink ref="F1308" r:id="rId_hyperlink_1262"/>
    <hyperlink ref="F1309" r:id="rId_hyperlink_1263"/>
    <hyperlink ref="F1310" r:id="rId_hyperlink_1264"/>
    <hyperlink ref="F1311" r:id="rId_hyperlink_1265"/>
    <hyperlink ref="F1312" r:id="rId_hyperlink_1266"/>
    <hyperlink ref="F1313" r:id="rId_hyperlink_1267"/>
    <hyperlink ref="F1314" r:id="rId_hyperlink_1268"/>
    <hyperlink ref="F1315" r:id="rId_hyperlink_1269"/>
    <hyperlink ref="F1316" r:id="rId_hyperlink_1270"/>
    <hyperlink ref="F1317" r:id="rId_hyperlink_1271"/>
    <hyperlink ref="F1318" r:id="rId_hyperlink_1272"/>
    <hyperlink ref="F1319" r:id="rId_hyperlink_1273"/>
    <hyperlink ref="F1320" r:id="rId_hyperlink_1274"/>
    <hyperlink ref="F1321" r:id="rId_hyperlink_1275"/>
    <hyperlink ref="F1322" r:id="rId_hyperlink_1276"/>
    <hyperlink ref="F1323" r:id="rId_hyperlink_1277"/>
    <hyperlink ref="F1324" r:id="rId_hyperlink_1278"/>
    <hyperlink ref="F1325" r:id="rId_hyperlink_1279"/>
    <hyperlink ref="F1326" r:id="rId_hyperlink_1280"/>
    <hyperlink ref="F1327" r:id="rId_hyperlink_1281"/>
    <hyperlink ref="F1328" r:id="rId_hyperlink_1282"/>
    <hyperlink ref="F1329" r:id="rId_hyperlink_1283"/>
    <hyperlink ref="F1330" r:id="rId_hyperlink_1284"/>
    <hyperlink ref="F1331" r:id="rId_hyperlink_1285"/>
    <hyperlink ref="F1332" r:id="rId_hyperlink_1286"/>
    <hyperlink ref="F1333" r:id="rId_hyperlink_1287"/>
    <hyperlink ref="F1334" r:id="rId_hyperlink_1288"/>
    <hyperlink ref="F1335" r:id="rId_hyperlink_1289"/>
    <hyperlink ref="F1336" r:id="rId_hyperlink_1290"/>
    <hyperlink ref="F1337" r:id="rId_hyperlink_1291"/>
    <hyperlink ref="F1338" r:id="rId_hyperlink_1292"/>
    <hyperlink ref="F1339" r:id="rId_hyperlink_1293"/>
    <hyperlink ref="F1340" r:id="rId_hyperlink_1294"/>
    <hyperlink ref="F1341" r:id="rId_hyperlink_1295"/>
    <hyperlink ref="F1342" r:id="rId_hyperlink_1296"/>
    <hyperlink ref="F1343" r:id="rId_hyperlink_1297"/>
    <hyperlink ref="F1344" r:id="rId_hyperlink_1298"/>
    <hyperlink ref="F1345" r:id="rId_hyperlink_1299"/>
    <hyperlink ref="F1346" r:id="rId_hyperlink_1300"/>
    <hyperlink ref="F1347" r:id="rId_hyperlink_1301"/>
    <hyperlink ref="F1348" r:id="rId_hyperlink_1302"/>
    <hyperlink ref="F1349" r:id="rId_hyperlink_1303"/>
    <hyperlink ref="F1350" r:id="rId_hyperlink_1304"/>
    <hyperlink ref="F1351" r:id="rId_hyperlink_1305"/>
    <hyperlink ref="F1352" r:id="rId_hyperlink_1306"/>
    <hyperlink ref="F1353" r:id="rId_hyperlink_1307"/>
    <hyperlink ref="F1354" r:id="rId_hyperlink_1308"/>
    <hyperlink ref="F1355" r:id="rId_hyperlink_1309"/>
    <hyperlink ref="F1356" r:id="rId_hyperlink_1310"/>
    <hyperlink ref="F1357" r:id="rId_hyperlink_1311"/>
    <hyperlink ref="F1358" r:id="rId_hyperlink_1312"/>
    <hyperlink ref="F1359" r:id="rId_hyperlink_1313"/>
    <hyperlink ref="F1360" r:id="rId_hyperlink_1314"/>
    <hyperlink ref="F1361" r:id="rId_hyperlink_1315"/>
    <hyperlink ref="F1362" r:id="rId_hyperlink_1316"/>
    <hyperlink ref="F1363" r:id="rId_hyperlink_1317"/>
    <hyperlink ref="F1364" r:id="rId_hyperlink_1318"/>
    <hyperlink ref="F1365" r:id="rId_hyperlink_1319"/>
    <hyperlink ref="F1366" r:id="rId_hyperlink_1320"/>
    <hyperlink ref="F1367" r:id="rId_hyperlink_1321"/>
    <hyperlink ref="F1368" r:id="rId_hyperlink_1322"/>
    <hyperlink ref="F1369" r:id="rId_hyperlink_1323"/>
    <hyperlink ref="F1370" r:id="rId_hyperlink_1324"/>
    <hyperlink ref="F1371" r:id="rId_hyperlink_1325"/>
    <hyperlink ref="F1372" r:id="rId_hyperlink_1326"/>
    <hyperlink ref="F1373" r:id="rId_hyperlink_1327"/>
    <hyperlink ref="F1374" r:id="rId_hyperlink_1328"/>
    <hyperlink ref="F1375" r:id="rId_hyperlink_1329"/>
    <hyperlink ref="F1376" r:id="rId_hyperlink_1330"/>
    <hyperlink ref="F1377" r:id="rId_hyperlink_1331"/>
    <hyperlink ref="F1378" r:id="rId_hyperlink_1332"/>
    <hyperlink ref="F1379" r:id="rId_hyperlink_1333"/>
    <hyperlink ref="F1380" r:id="rId_hyperlink_1334"/>
    <hyperlink ref="F1381" r:id="rId_hyperlink_1335"/>
    <hyperlink ref="F1382" r:id="rId_hyperlink_1336"/>
    <hyperlink ref="F1383" r:id="rId_hyperlink_1337"/>
    <hyperlink ref="F1384" r:id="rId_hyperlink_1338"/>
    <hyperlink ref="F1385" r:id="rId_hyperlink_1339"/>
    <hyperlink ref="F1386" r:id="rId_hyperlink_1340"/>
    <hyperlink ref="F1387" r:id="rId_hyperlink_1341"/>
    <hyperlink ref="F1388" r:id="rId_hyperlink_1342"/>
    <hyperlink ref="F1389" r:id="rId_hyperlink_1343"/>
    <hyperlink ref="F1390" r:id="rId_hyperlink_1344"/>
    <hyperlink ref="F1391" r:id="rId_hyperlink_1345"/>
    <hyperlink ref="F1392" r:id="rId_hyperlink_1346"/>
    <hyperlink ref="F1393" r:id="rId_hyperlink_1347"/>
    <hyperlink ref="F1394" r:id="rId_hyperlink_1348"/>
    <hyperlink ref="F1395" r:id="rId_hyperlink_1349"/>
    <hyperlink ref="F1396" r:id="rId_hyperlink_1350"/>
    <hyperlink ref="F1397" r:id="rId_hyperlink_1351"/>
    <hyperlink ref="F1398" r:id="rId_hyperlink_1352"/>
    <hyperlink ref="F1399" r:id="rId_hyperlink_1353"/>
    <hyperlink ref="F1400" r:id="rId_hyperlink_1354"/>
    <hyperlink ref="F1401" r:id="rId_hyperlink_1355"/>
    <hyperlink ref="F1402" r:id="rId_hyperlink_1356"/>
    <hyperlink ref="F1403" r:id="rId_hyperlink_1357"/>
    <hyperlink ref="F1404" r:id="rId_hyperlink_1358"/>
    <hyperlink ref="F1405" r:id="rId_hyperlink_1359"/>
    <hyperlink ref="F1406" r:id="rId_hyperlink_1360"/>
    <hyperlink ref="F1407" r:id="rId_hyperlink_1361"/>
    <hyperlink ref="F1408" r:id="rId_hyperlink_1362"/>
    <hyperlink ref="F1409" r:id="rId_hyperlink_1363"/>
    <hyperlink ref="F1410" r:id="rId_hyperlink_1364"/>
    <hyperlink ref="F1411" r:id="rId_hyperlink_1365"/>
    <hyperlink ref="F1412" r:id="rId_hyperlink_1366"/>
    <hyperlink ref="F1413" r:id="rId_hyperlink_1367"/>
    <hyperlink ref="F1414" r:id="rId_hyperlink_1368"/>
    <hyperlink ref="F1415" r:id="rId_hyperlink_1369"/>
    <hyperlink ref="F1416" r:id="rId_hyperlink_1370"/>
    <hyperlink ref="F1417" r:id="rId_hyperlink_1371"/>
    <hyperlink ref="F1418" r:id="rId_hyperlink_1372"/>
    <hyperlink ref="F1419" r:id="rId_hyperlink_1373"/>
    <hyperlink ref="F1420" r:id="rId_hyperlink_1374"/>
    <hyperlink ref="F1421" r:id="rId_hyperlink_1375"/>
    <hyperlink ref="F1422" r:id="rId_hyperlink_1376"/>
    <hyperlink ref="F1423" r:id="rId_hyperlink_1377"/>
    <hyperlink ref="F1424" r:id="rId_hyperlink_1378"/>
    <hyperlink ref="F1425" r:id="rId_hyperlink_1379"/>
    <hyperlink ref="F1426" r:id="rId_hyperlink_1380"/>
    <hyperlink ref="F1427" r:id="rId_hyperlink_1381"/>
    <hyperlink ref="F1428" r:id="rId_hyperlink_1382"/>
    <hyperlink ref="F1429" r:id="rId_hyperlink_1383"/>
    <hyperlink ref="F1430" r:id="rId_hyperlink_1384"/>
    <hyperlink ref="F1431" r:id="rId_hyperlink_1385"/>
    <hyperlink ref="F1432" r:id="rId_hyperlink_1386"/>
    <hyperlink ref="F1433" r:id="rId_hyperlink_1387"/>
    <hyperlink ref="F1434" r:id="rId_hyperlink_1388"/>
    <hyperlink ref="F1435" r:id="rId_hyperlink_1389"/>
    <hyperlink ref="F1436" r:id="rId_hyperlink_1390"/>
    <hyperlink ref="F1437" r:id="rId_hyperlink_1391"/>
    <hyperlink ref="F1438" r:id="rId_hyperlink_1392"/>
    <hyperlink ref="F1439" r:id="rId_hyperlink_1393"/>
    <hyperlink ref="F1440" r:id="rId_hyperlink_1394"/>
    <hyperlink ref="F1441" r:id="rId_hyperlink_1395"/>
    <hyperlink ref="F1442" r:id="rId_hyperlink_1396"/>
    <hyperlink ref="F1443" r:id="rId_hyperlink_1397"/>
    <hyperlink ref="F1444" r:id="rId_hyperlink_1398"/>
    <hyperlink ref="F1445" r:id="rId_hyperlink_1399"/>
    <hyperlink ref="F1446" r:id="rId_hyperlink_1400"/>
    <hyperlink ref="F1447" r:id="rId_hyperlink_1401"/>
    <hyperlink ref="F1448" r:id="rId_hyperlink_1402"/>
    <hyperlink ref="F1449" r:id="rId_hyperlink_1403"/>
    <hyperlink ref="F1450" r:id="rId_hyperlink_1404"/>
    <hyperlink ref="F1451" r:id="rId_hyperlink_1405"/>
    <hyperlink ref="F1452" r:id="rId_hyperlink_1406"/>
    <hyperlink ref="F1453" r:id="rId_hyperlink_1407"/>
    <hyperlink ref="F1454" r:id="rId_hyperlink_1408"/>
    <hyperlink ref="F1455" r:id="rId_hyperlink_1409"/>
    <hyperlink ref="F1456" r:id="rId_hyperlink_1410"/>
    <hyperlink ref="F1457" r:id="rId_hyperlink_1411"/>
    <hyperlink ref="F1458" r:id="rId_hyperlink_1412"/>
    <hyperlink ref="F1459" r:id="rId_hyperlink_1413"/>
    <hyperlink ref="F1460" r:id="rId_hyperlink_1414"/>
    <hyperlink ref="F1461" r:id="rId_hyperlink_1415"/>
    <hyperlink ref="F1462" r:id="rId_hyperlink_1416"/>
    <hyperlink ref="F1463" r:id="rId_hyperlink_1417"/>
    <hyperlink ref="F1464" r:id="rId_hyperlink_1418"/>
    <hyperlink ref="F1465" r:id="rId_hyperlink_1419"/>
    <hyperlink ref="F1466" r:id="rId_hyperlink_1420"/>
    <hyperlink ref="F1467" r:id="rId_hyperlink_1421"/>
    <hyperlink ref="F1468" r:id="rId_hyperlink_1422"/>
    <hyperlink ref="F1469" r:id="rId_hyperlink_1423"/>
    <hyperlink ref="F1470" r:id="rId_hyperlink_1424"/>
    <hyperlink ref="F1471" r:id="rId_hyperlink_1425"/>
    <hyperlink ref="F1472" r:id="rId_hyperlink_1426"/>
    <hyperlink ref="F1473" r:id="rId_hyperlink_1427"/>
    <hyperlink ref="F1474" r:id="rId_hyperlink_1428"/>
    <hyperlink ref="F1475" r:id="rId_hyperlink_1429"/>
    <hyperlink ref="F1476" r:id="rId_hyperlink_1430"/>
    <hyperlink ref="F1477" r:id="rId_hyperlink_1431"/>
    <hyperlink ref="F1478" r:id="rId_hyperlink_1432"/>
    <hyperlink ref="F1479" r:id="rId_hyperlink_1433"/>
    <hyperlink ref="F1480" r:id="rId_hyperlink_1434"/>
    <hyperlink ref="F1481" r:id="rId_hyperlink_1435"/>
    <hyperlink ref="F1482" r:id="rId_hyperlink_1436"/>
    <hyperlink ref="F1483" r:id="rId_hyperlink_1437"/>
    <hyperlink ref="F1484" r:id="rId_hyperlink_1438"/>
    <hyperlink ref="F1485" r:id="rId_hyperlink_1439"/>
    <hyperlink ref="F1486" r:id="rId_hyperlink_1440"/>
    <hyperlink ref="F1487" r:id="rId_hyperlink_1441"/>
    <hyperlink ref="F1488" r:id="rId_hyperlink_1442"/>
    <hyperlink ref="F1489" r:id="rId_hyperlink_1443"/>
    <hyperlink ref="F1490" r:id="rId_hyperlink_1444"/>
    <hyperlink ref="F1491" r:id="rId_hyperlink_1445"/>
    <hyperlink ref="F1492" r:id="rId_hyperlink_1446"/>
    <hyperlink ref="F1493" r:id="rId_hyperlink_1447"/>
    <hyperlink ref="F1494" r:id="rId_hyperlink_1448"/>
    <hyperlink ref="F1495" r:id="rId_hyperlink_1449"/>
    <hyperlink ref="F1496" r:id="rId_hyperlink_1450"/>
    <hyperlink ref="F1497" r:id="rId_hyperlink_1451"/>
    <hyperlink ref="F1498" r:id="rId_hyperlink_1452"/>
    <hyperlink ref="F1499" r:id="rId_hyperlink_1453"/>
    <hyperlink ref="F1500" r:id="rId_hyperlink_1454"/>
    <hyperlink ref="F1501" r:id="rId_hyperlink_1455"/>
    <hyperlink ref="F1502" r:id="rId_hyperlink_1456"/>
    <hyperlink ref="F1503" r:id="rId_hyperlink_1457"/>
    <hyperlink ref="F1504" r:id="rId_hyperlink_1458"/>
    <hyperlink ref="F1505" r:id="rId_hyperlink_1459"/>
    <hyperlink ref="F1506" r:id="rId_hyperlink_1460"/>
    <hyperlink ref="F1507" r:id="rId_hyperlink_1461"/>
    <hyperlink ref="F1508" r:id="rId_hyperlink_1462"/>
    <hyperlink ref="F1509" r:id="rId_hyperlink_1463"/>
    <hyperlink ref="F1510" r:id="rId_hyperlink_1464"/>
    <hyperlink ref="F1511" r:id="rId_hyperlink_1465"/>
    <hyperlink ref="F1512" r:id="rId_hyperlink_1466"/>
    <hyperlink ref="F1513" r:id="rId_hyperlink_1467"/>
    <hyperlink ref="F1514" r:id="rId_hyperlink_1468"/>
    <hyperlink ref="F1515" r:id="rId_hyperlink_1469"/>
    <hyperlink ref="F1516" r:id="rId_hyperlink_1470"/>
    <hyperlink ref="F1517" r:id="rId_hyperlink_1471"/>
    <hyperlink ref="F1518" r:id="rId_hyperlink_1472"/>
    <hyperlink ref="F1519" r:id="rId_hyperlink_1473"/>
    <hyperlink ref="F1520" r:id="rId_hyperlink_1474"/>
    <hyperlink ref="F1521" r:id="rId_hyperlink_1475"/>
    <hyperlink ref="F1522" r:id="rId_hyperlink_1476"/>
    <hyperlink ref="F1523" r:id="rId_hyperlink_1477"/>
    <hyperlink ref="F1524" r:id="rId_hyperlink_1478"/>
    <hyperlink ref="F1525" r:id="rId_hyperlink_1479"/>
    <hyperlink ref="F1526" r:id="rId_hyperlink_1480"/>
    <hyperlink ref="F1527" r:id="rId_hyperlink_1481"/>
    <hyperlink ref="F1528" r:id="rId_hyperlink_1482"/>
    <hyperlink ref="F1529" r:id="rId_hyperlink_1483"/>
    <hyperlink ref="F1530" r:id="rId_hyperlink_1484"/>
    <hyperlink ref="F1531" r:id="rId_hyperlink_1485"/>
    <hyperlink ref="F1532" r:id="rId_hyperlink_1486"/>
    <hyperlink ref="F1533" r:id="rId_hyperlink_1487"/>
    <hyperlink ref="F1534" r:id="rId_hyperlink_1488"/>
    <hyperlink ref="F1535" r:id="rId_hyperlink_1489"/>
    <hyperlink ref="F1536" r:id="rId_hyperlink_1490"/>
    <hyperlink ref="F1537" r:id="rId_hyperlink_1491"/>
    <hyperlink ref="F1538" r:id="rId_hyperlink_1492"/>
    <hyperlink ref="F1539" r:id="rId_hyperlink_1493"/>
    <hyperlink ref="F1540" r:id="rId_hyperlink_1494"/>
    <hyperlink ref="F1541" r:id="rId_hyperlink_1495"/>
    <hyperlink ref="F1542" r:id="rId_hyperlink_1496"/>
    <hyperlink ref="F1543" r:id="rId_hyperlink_1497"/>
    <hyperlink ref="F1544" r:id="rId_hyperlink_1498"/>
    <hyperlink ref="F1545" r:id="rId_hyperlink_1499"/>
    <hyperlink ref="F1546" r:id="rId_hyperlink_1500"/>
    <hyperlink ref="F1547" r:id="rId_hyperlink_1501"/>
    <hyperlink ref="F1548" r:id="rId_hyperlink_1502"/>
    <hyperlink ref="F1549" r:id="rId_hyperlink_1503"/>
    <hyperlink ref="F1550" r:id="rId_hyperlink_1504"/>
    <hyperlink ref="F1551" r:id="rId_hyperlink_1505"/>
    <hyperlink ref="F1552" r:id="rId_hyperlink_1506"/>
    <hyperlink ref="F1553" r:id="rId_hyperlink_1507"/>
    <hyperlink ref="F1554" r:id="rId_hyperlink_1508"/>
    <hyperlink ref="F1555" r:id="rId_hyperlink_1509"/>
    <hyperlink ref="F1556" r:id="rId_hyperlink_1510"/>
    <hyperlink ref="F1557" r:id="rId_hyperlink_1511"/>
    <hyperlink ref="F1558" r:id="rId_hyperlink_1512"/>
    <hyperlink ref="F1559" r:id="rId_hyperlink_1513"/>
    <hyperlink ref="F1560" r:id="rId_hyperlink_1514"/>
    <hyperlink ref="F1561" r:id="rId_hyperlink_1515"/>
    <hyperlink ref="F1563" r:id="rId_hyperlink_1516"/>
    <hyperlink ref="F1566" r:id="rId_hyperlink_1517"/>
    <hyperlink ref="F1567" r:id="rId_hyperlink_1518"/>
    <hyperlink ref="F1568" r:id="rId_hyperlink_1519"/>
    <hyperlink ref="F1569" r:id="rId_hyperlink_1520"/>
    <hyperlink ref="F1570" r:id="rId_hyperlink_1521"/>
    <hyperlink ref="F1571" r:id="rId_hyperlink_1522"/>
    <hyperlink ref="F1572" r:id="rId_hyperlink_1523"/>
    <hyperlink ref="F1573" r:id="rId_hyperlink_1524"/>
    <hyperlink ref="F1574" r:id="rId_hyperlink_1525"/>
    <hyperlink ref="F1575" r:id="rId_hyperlink_1526"/>
    <hyperlink ref="F1576" r:id="rId_hyperlink_1527"/>
    <hyperlink ref="F1577" r:id="rId_hyperlink_1528"/>
    <hyperlink ref="F1578" r:id="rId_hyperlink_1529"/>
    <hyperlink ref="F1579" r:id="rId_hyperlink_1530"/>
    <hyperlink ref="F1580" r:id="rId_hyperlink_1531"/>
    <hyperlink ref="F1581" r:id="rId_hyperlink_1532"/>
    <hyperlink ref="F1582" r:id="rId_hyperlink_1533"/>
    <hyperlink ref="F1583" r:id="rId_hyperlink_1534"/>
    <hyperlink ref="F1584" r:id="rId_hyperlink_1535"/>
    <hyperlink ref="F1585" r:id="rId_hyperlink_1536"/>
    <hyperlink ref="F1586" r:id="rId_hyperlink_1537"/>
    <hyperlink ref="F1587" r:id="rId_hyperlink_1538"/>
    <hyperlink ref="F1588" r:id="rId_hyperlink_1539"/>
    <hyperlink ref="F1589" r:id="rId_hyperlink_1540"/>
    <hyperlink ref="F1590" r:id="rId_hyperlink_1541"/>
    <hyperlink ref="F1591" r:id="rId_hyperlink_1542"/>
    <hyperlink ref="F1592" r:id="rId_hyperlink_1543"/>
    <hyperlink ref="F1593" r:id="rId_hyperlink_1544"/>
    <hyperlink ref="F1594" r:id="rId_hyperlink_1545"/>
    <hyperlink ref="F1595" r:id="rId_hyperlink_1546"/>
    <hyperlink ref="F1596" r:id="rId_hyperlink_1547"/>
    <hyperlink ref="F1597" r:id="rId_hyperlink_1548"/>
    <hyperlink ref="F1598" r:id="rId_hyperlink_1549"/>
    <hyperlink ref="F1599" r:id="rId_hyperlink_1550"/>
    <hyperlink ref="F1600" r:id="rId_hyperlink_1551"/>
    <hyperlink ref="F1601" r:id="rId_hyperlink_1552"/>
    <hyperlink ref="F1602" r:id="rId_hyperlink_1553"/>
    <hyperlink ref="F1603" r:id="rId_hyperlink_1554"/>
    <hyperlink ref="F1604" r:id="rId_hyperlink_1555"/>
    <hyperlink ref="F1605" r:id="rId_hyperlink_1556"/>
    <hyperlink ref="F1606" r:id="rId_hyperlink_1557"/>
    <hyperlink ref="F1607" r:id="rId_hyperlink_1558"/>
    <hyperlink ref="F1608" r:id="rId_hyperlink_1559"/>
    <hyperlink ref="F1609" r:id="rId_hyperlink_1560"/>
    <hyperlink ref="F1610" r:id="rId_hyperlink_1561"/>
    <hyperlink ref="F1611" r:id="rId_hyperlink_1562"/>
    <hyperlink ref="F1612" r:id="rId_hyperlink_1563"/>
    <hyperlink ref="F1613" r:id="rId_hyperlink_1564"/>
    <hyperlink ref="F1614" r:id="rId_hyperlink_1565"/>
    <hyperlink ref="F1615" r:id="rId_hyperlink_1566"/>
    <hyperlink ref="F1616" r:id="rId_hyperlink_1567"/>
    <hyperlink ref="F1617" r:id="rId_hyperlink_1568"/>
    <hyperlink ref="F1618" r:id="rId_hyperlink_1569"/>
    <hyperlink ref="F1619" r:id="rId_hyperlink_1570"/>
    <hyperlink ref="F1620" r:id="rId_hyperlink_1571"/>
    <hyperlink ref="F1621" r:id="rId_hyperlink_1572"/>
    <hyperlink ref="F1622" r:id="rId_hyperlink_1573"/>
    <hyperlink ref="F1623" r:id="rId_hyperlink_1574"/>
    <hyperlink ref="F1624" r:id="rId_hyperlink_1575"/>
    <hyperlink ref="F1625" r:id="rId_hyperlink_1576"/>
    <hyperlink ref="F1626" r:id="rId_hyperlink_1577"/>
    <hyperlink ref="F1627" r:id="rId_hyperlink_1578"/>
    <hyperlink ref="F1628" r:id="rId_hyperlink_1579"/>
    <hyperlink ref="F1629" r:id="rId_hyperlink_1580"/>
    <hyperlink ref="F1630" r:id="rId_hyperlink_1581"/>
    <hyperlink ref="F1631" r:id="rId_hyperlink_1582"/>
    <hyperlink ref="F1632" r:id="rId_hyperlink_1583"/>
    <hyperlink ref="F1633" r:id="rId_hyperlink_1584"/>
    <hyperlink ref="F1634" r:id="rId_hyperlink_1585"/>
    <hyperlink ref="F1635" r:id="rId_hyperlink_1586"/>
    <hyperlink ref="F1636" r:id="rId_hyperlink_1587"/>
    <hyperlink ref="F1637" r:id="rId_hyperlink_1588"/>
    <hyperlink ref="F1638" r:id="rId_hyperlink_1589"/>
    <hyperlink ref="F1639" r:id="rId_hyperlink_1590"/>
    <hyperlink ref="F1640" r:id="rId_hyperlink_1591"/>
    <hyperlink ref="F1641" r:id="rId_hyperlink_1592"/>
    <hyperlink ref="F1642" r:id="rId_hyperlink_1593"/>
    <hyperlink ref="F1643" r:id="rId_hyperlink_1594"/>
    <hyperlink ref="F1644" r:id="rId_hyperlink_1595"/>
    <hyperlink ref="F1645" r:id="rId_hyperlink_1596"/>
    <hyperlink ref="F1646" r:id="rId_hyperlink_1597"/>
    <hyperlink ref="F1647" r:id="rId_hyperlink_1598"/>
    <hyperlink ref="F1648" r:id="rId_hyperlink_1599"/>
    <hyperlink ref="F1649" r:id="rId_hyperlink_1600"/>
    <hyperlink ref="F1650" r:id="rId_hyperlink_1601"/>
    <hyperlink ref="F1651" r:id="rId_hyperlink_1602"/>
    <hyperlink ref="F1652" r:id="rId_hyperlink_1603"/>
    <hyperlink ref="F1653" r:id="rId_hyperlink_1604"/>
    <hyperlink ref="F1654" r:id="rId_hyperlink_1605"/>
    <hyperlink ref="F1655" r:id="rId_hyperlink_1606"/>
    <hyperlink ref="F1656" r:id="rId_hyperlink_1607"/>
    <hyperlink ref="F1657" r:id="rId_hyperlink_1608"/>
    <hyperlink ref="F1658" r:id="rId_hyperlink_1609"/>
    <hyperlink ref="F1659" r:id="rId_hyperlink_1610"/>
    <hyperlink ref="F1660" r:id="rId_hyperlink_1611"/>
    <hyperlink ref="F1661" r:id="rId_hyperlink_1612"/>
    <hyperlink ref="F1662" r:id="rId_hyperlink_1613"/>
    <hyperlink ref="F1663" r:id="rId_hyperlink_1614"/>
    <hyperlink ref="F1664" r:id="rId_hyperlink_1615"/>
    <hyperlink ref="F1665" r:id="rId_hyperlink_1616"/>
    <hyperlink ref="F1666" r:id="rId_hyperlink_1617"/>
    <hyperlink ref="F1667" r:id="rId_hyperlink_1618"/>
    <hyperlink ref="F1668" r:id="rId_hyperlink_1619"/>
    <hyperlink ref="F1669" r:id="rId_hyperlink_1620"/>
    <hyperlink ref="F1670" r:id="rId_hyperlink_1621"/>
    <hyperlink ref="F1671" r:id="rId_hyperlink_1622"/>
    <hyperlink ref="F1672" r:id="rId_hyperlink_1623"/>
    <hyperlink ref="F1673" r:id="rId_hyperlink_1624"/>
    <hyperlink ref="F1674" r:id="rId_hyperlink_1625"/>
    <hyperlink ref="F1675" r:id="rId_hyperlink_1626"/>
    <hyperlink ref="F1676" r:id="rId_hyperlink_1627"/>
    <hyperlink ref="F1677" r:id="rId_hyperlink_1628"/>
    <hyperlink ref="F1678" r:id="rId_hyperlink_1629"/>
    <hyperlink ref="F1679" r:id="rId_hyperlink_1630"/>
    <hyperlink ref="F1680" r:id="rId_hyperlink_1631"/>
    <hyperlink ref="F1681" r:id="rId_hyperlink_1632"/>
    <hyperlink ref="F1682" r:id="rId_hyperlink_1633"/>
    <hyperlink ref="F1683" r:id="rId_hyperlink_1634"/>
    <hyperlink ref="F1684" r:id="rId_hyperlink_1635"/>
    <hyperlink ref="F1685" r:id="rId_hyperlink_1636"/>
    <hyperlink ref="F1686" r:id="rId_hyperlink_1637"/>
    <hyperlink ref="F1687" r:id="rId_hyperlink_1638"/>
    <hyperlink ref="F1688" r:id="rId_hyperlink_1639"/>
    <hyperlink ref="F1689" r:id="rId_hyperlink_1640"/>
    <hyperlink ref="F1690" r:id="rId_hyperlink_1641"/>
    <hyperlink ref="F1691" r:id="rId_hyperlink_1642"/>
    <hyperlink ref="F1692" r:id="rId_hyperlink_1643"/>
    <hyperlink ref="F1693" r:id="rId_hyperlink_1644"/>
    <hyperlink ref="F1694" r:id="rId_hyperlink_1645"/>
    <hyperlink ref="F1695" r:id="rId_hyperlink_1646"/>
    <hyperlink ref="F1696" r:id="rId_hyperlink_1647"/>
    <hyperlink ref="F1697" r:id="rId_hyperlink_1648"/>
    <hyperlink ref="F1698" r:id="rId_hyperlink_1649"/>
    <hyperlink ref="F1699" r:id="rId_hyperlink_1650"/>
    <hyperlink ref="F1700" r:id="rId_hyperlink_1651"/>
    <hyperlink ref="F1701" r:id="rId_hyperlink_1652"/>
    <hyperlink ref="F1702" r:id="rId_hyperlink_1653"/>
    <hyperlink ref="F1703" r:id="rId_hyperlink_1654"/>
    <hyperlink ref="F1704" r:id="rId_hyperlink_1655"/>
    <hyperlink ref="F1705" r:id="rId_hyperlink_1656"/>
    <hyperlink ref="F1706" r:id="rId_hyperlink_1657"/>
    <hyperlink ref="F1707" r:id="rId_hyperlink_1658"/>
    <hyperlink ref="F1708" r:id="rId_hyperlink_1659"/>
    <hyperlink ref="F1709" r:id="rId_hyperlink_1660"/>
    <hyperlink ref="F1710" r:id="rId_hyperlink_1661"/>
    <hyperlink ref="F1711" r:id="rId_hyperlink_1662"/>
    <hyperlink ref="F1712" r:id="rId_hyperlink_1663"/>
    <hyperlink ref="F1713" r:id="rId_hyperlink_1664"/>
    <hyperlink ref="F1714" r:id="rId_hyperlink_1665"/>
    <hyperlink ref="F1715" r:id="rId_hyperlink_1666"/>
    <hyperlink ref="F1716" r:id="rId_hyperlink_1667"/>
    <hyperlink ref="F1717" r:id="rId_hyperlink_1668"/>
    <hyperlink ref="F1718" r:id="rId_hyperlink_1669"/>
    <hyperlink ref="F1719" r:id="rId_hyperlink_1670"/>
    <hyperlink ref="F1720" r:id="rId_hyperlink_1671"/>
    <hyperlink ref="F1721" r:id="rId_hyperlink_1672"/>
    <hyperlink ref="F1722" r:id="rId_hyperlink_1673"/>
    <hyperlink ref="F1723" r:id="rId_hyperlink_1674"/>
    <hyperlink ref="F1724" r:id="rId_hyperlink_1675"/>
    <hyperlink ref="F1725" r:id="rId_hyperlink_1676"/>
    <hyperlink ref="F1726" r:id="rId_hyperlink_1677"/>
    <hyperlink ref="F1727" r:id="rId_hyperlink_1678"/>
    <hyperlink ref="F1728" r:id="rId_hyperlink_1679"/>
    <hyperlink ref="F1729" r:id="rId_hyperlink_1680"/>
    <hyperlink ref="F1730" r:id="rId_hyperlink_1681"/>
    <hyperlink ref="F1731" r:id="rId_hyperlink_1682"/>
    <hyperlink ref="F1732" r:id="rId_hyperlink_1683"/>
    <hyperlink ref="F1733" r:id="rId_hyperlink_1684"/>
    <hyperlink ref="F1734" r:id="rId_hyperlink_1685"/>
    <hyperlink ref="F1735" r:id="rId_hyperlink_1686"/>
    <hyperlink ref="F1736" r:id="rId_hyperlink_1687"/>
    <hyperlink ref="F1737" r:id="rId_hyperlink_1688"/>
    <hyperlink ref="F1738" r:id="rId_hyperlink_1689"/>
    <hyperlink ref="F1739" r:id="rId_hyperlink_1690"/>
    <hyperlink ref="F1740" r:id="rId_hyperlink_1691"/>
    <hyperlink ref="F1741" r:id="rId_hyperlink_1692"/>
    <hyperlink ref="F1742" r:id="rId_hyperlink_1693"/>
    <hyperlink ref="F1743" r:id="rId_hyperlink_1694"/>
    <hyperlink ref="F1744" r:id="rId_hyperlink_1695"/>
    <hyperlink ref="F1745" r:id="rId_hyperlink_1696"/>
    <hyperlink ref="F1746" r:id="rId_hyperlink_1697"/>
    <hyperlink ref="F1747" r:id="rId_hyperlink_1698"/>
    <hyperlink ref="F1748" r:id="rId_hyperlink_1699"/>
    <hyperlink ref="F1749" r:id="rId_hyperlink_1700"/>
    <hyperlink ref="F1750" r:id="rId_hyperlink_1701"/>
    <hyperlink ref="F1751" r:id="rId_hyperlink_1702"/>
    <hyperlink ref="F1752" r:id="rId_hyperlink_1703"/>
    <hyperlink ref="F1753" r:id="rId_hyperlink_1704"/>
    <hyperlink ref="F1754" r:id="rId_hyperlink_1705"/>
    <hyperlink ref="F1755" r:id="rId_hyperlink_1706"/>
    <hyperlink ref="F1756" r:id="rId_hyperlink_1707"/>
    <hyperlink ref="F1757" r:id="rId_hyperlink_1708"/>
    <hyperlink ref="F1758" r:id="rId_hyperlink_1709"/>
    <hyperlink ref="F1759" r:id="rId_hyperlink_1710"/>
    <hyperlink ref="F1760" r:id="rId_hyperlink_1711"/>
    <hyperlink ref="F1761" r:id="rId_hyperlink_1712"/>
    <hyperlink ref="F1762" r:id="rId_hyperlink_1713"/>
    <hyperlink ref="F1763" r:id="rId_hyperlink_1714"/>
    <hyperlink ref="F1764" r:id="rId_hyperlink_1715"/>
    <hyperlink ref="F1765" r:id="rId_hyperlink_1716"/>
    <hyperlink ref="F1766" r:id="rId_hyperlink_1717"/>
    <hyperlink ref="F1767" r:id="rId_hyperlink_1718"/>
    <hyperlink ref="F1768" r:id="rId_hyperlink_1719"/>
    <hyperlink ref="F1769" r:id="rId_hyperlink_1720"/>
    <hyperlink ref="F1770" r:id="rId_hyperlink_1721"/>
    <hyperlink ref="F1771" r:id="rId_hyperlink_1722"/>
    <hyperlink ref="F1772" r:id="rId_hyperlink_1723"/>
    <hyperlink ref="F1773" r:id="rId_hyperlink_1724"/>
    <hyperlink ref="F1774" r:id="rId_hyperlink_1725"/>
    <hyperlink ref="F1775" r:id="rId_hyperlink_1726"/>
    <hyperlink ref="F1776" r:id="rId_hyperlink_1727"/>
    <hyperlink ref="F1777" r:id="rId_hyperlink_1728"/>
    <hyperlink ref="F1778" r:id="rId_hyperlink_1729"/>
    <hyperlink ref="F1779" r:id="rId_hyperlink_1730"/>
    <hyperlink ref="F1780" r:id="rId_hyperlink_1731"/>
    <hyperlink ref="F1781" r:id="rId_hyperlink_1732"/>
    <hyperlink ref="F1782" r:id="rId_hyperlink_1733"/>
    <hyperlink ref="F1783" r:id="rId_hyperlink_1734"/>
    <hyperlink ref="F1784" r:id="rId_hyperlink_1735"/>
    <hyperlink ref="F1785" r:id="rId_hyperlink_1736"/>
    <hyperlink ref="F1786" r:id="rId_hyperlink_1737"/>
    <hyperlink ref="F1787" r:id="rId_hyperlink_1738"/>
    <hyperlink ref="F1788" r:id="rId_hyperlink_1739"/>
    <hyperlink ref="F1789" r:id="rId_hyperlink_1740"/>
    <hyperlink ref="F1790" r:id="rId_hyperlink_1741"/>
    <hyperlink ref="F1791" r:id="rId_hyperlink_1742"/>
    <hyperlink ref="F1792" r:id="rId_hyperlink_1743"/>
    <hyperlink ref="F1793" r:id="rId_hyperlink_1744"/>
    <hyperlink ref="F1794" r:id="rId_hyperlink_1745"/>
    <hyperlink ref="F1795" r:id="rId_hyperlink_1746"/>
    <hyperlink ref="F1796" r:id="rId_hyperlink_1747"/>
    <hyperlink ref="F1797" r:id="rId_hyperlink_1748"/>
    <hyperlink ref="F1798" r:id="rId_hyperlink_1749"/>
    <hyperlink ref="F1799" r:id="rId_hyperlink_1750"/>
    <hyperlink ref="F1800" r:id="rId_hyperlink_1751"/>
    <hyperlink ref="F1801" r:id="rId_hyperlink_1752"/>
    <hyperlink ref="F1802" r:id="rId_hyperlink_1753"/>
    <hyperlink ref="F1803" r:id="rId_hyperlink_1754"/>
    <hyperlink ref="F1804" r:id="rId_hyperlink_1755"/>
    <hyperlink ref="F1805" r:id="rId_hyperlink_1756"/>
    <hyperlink ref="F1806" r:id="rId_hyperlink_1757"/>
    <hyperlink ref="F1807" r:id="rId_hyperlink_1758"/>
    <hyperlink ref="F1808" r:id="rId_hyperlink_1759"/>
    <hyperlink ref="F1809" r:id="rId_hyperlink_1760"/>
    <hyperlink ref="F1810" r:id="rId_hyperlink_1761"/>
    <hyperlink ref="F1811" r:id="rId_hyperlink_1762"/>
    <hyperlink ref="F1812" r:id="rId_hyperlink_1763"/>
    <hyperlink ref="F1813" r:id="rId_hyperlink_1764"/>
    <hyperlink ref="F1814" r:id="rId_hyperlink_1765"/>
    <hyperlink ref="F1815" r:id="rId_hyperlink_1766"/>
    <hyperlink ref="F1816" r:id="rId_hyperlink_1767"/>
    <hyperlink ref="F1817" r:id="rId_hyperlink_1768"/>
    <hyperlink ref="F1818" r:id="rId_hyperlink_1769"/>
    <hyperlink ref="F1819" r:id="rId_hyperlink_1770"/>
    <hyperlink ref="F1820" r:id="rId_hyperlink_1771"/>
    <hyperlink ref="F1821" r:id="rId_hyperlink_1772"/>
    <hyperlink ref="F1822" r:id="rId_hyperlink_1773"/>
    <hyperlink ref="F1823" r:id="rId_hyperlink_1774"/>
    <hyperlink ref="F1824" r:id="rId_hyperlink_1775"/>
    <hyperlink ref="F1825" r:id="rId_hyperlink_1776"/>
    <hyperlink ref="F1826" r:id="rId_hyperlink_1777"/>
    <hyperlink ref="F1827" r:id="rId_hyperlink_1778"/>
    <hyperlink ref="F1828" r:id="rId_hyperlink_1779"/>
    <hyperlink ref="F1829" r:id="rId_hyperlink_1780"/>
    <hyperlink ref="F1830" r:id="rId_hyperlink_1781"/>
    <hyperlink ref="F1831" r:id="rId_hyperlink_1782"/>
    <hyperlink ref="F1832" r:id="rId_hyperlink_1783"/>
    <hyperlink ref="F1833" r:id="rId_hyperlink_1784"/>
    <hyperlink ref="F1834" r:id="rId_hyperlink_1785"/>
    <hyperlink ref="F1835" r:id="rId_hyperlink_1786"/>
    <hyperlink ref="F1836" r:id="rId_hyperlink_1787"/>
    <hyperlink ref="F1837" r:id="rId_hyperlink_1788"/>
    <hyperlink ref="F1838" r:id="rId_hyperlink_1789"/>
    <hyperlink ref="F1839" r:id="rId_hyperlink_1790"/>
    <hyperlink ref="F1840" r:id="rId_hyperlink_1791"/>
    <hyperlink ref="F1841" r:id="rId_hyperlink_1792"/>
    <hyperlink ref="F1842" r:id="rId_hyperlink_1793"/>
    <hyperlink ref="F1843" r:id="rId_hyperlink_1794"/>
    <hyperlink ref="F1844" r:id="rId_hyperlink_1795"/>
    <hyperlink ref="F1845" r:id="rId_hyperlink_1796"/>
    <hyperlink ref="F1846" r:id="rId_hyperlink_1797"/>
    <hyperlink ref="F1847" r:id="rId_hyperlink_1798"/>
    <hyperlink ref="F1848" r:id="rId_hyperlink_1799"/>
    <hyperlink ref="F1849" r:id="rId_hyperlink_1800"/>
    <hyperlink ref="F1850" r:id="rId_hyperlink_1801"/>
    <hyperlink ref="F1851" r:id="rId_hyperlink_1802"/>
    <hyperlink ref="F1852" r:id="rId_hyperlink_1803"/>
    <hyperlink ref="F1853" r:id="rId_hyperlink_1804"/>
    <hyperlink ref="F1854" r:id="rId_hyperlink_1805"/>
    <hyperlink ref="F1855" r:id="rId_hyperlink_1806"/>
    <hyperlink ref="F1856" r:id="rId_hyperlink_1807"/>
    <hyperlink ref="F1857" r:id="rId_hyperlink_1808"/>
    <hyperlink ref="F1858" r:id="rId_hyperlink_1809"/>
    <hyperlink ref="F1859" r:id="rId_hyperlink_1810"/>
    <hyperlink ref="F1860" r:id="rId_hyperlink_1811"/>
    <hyperlink ref="F1861" r:id="rId_hyperlink_1812"/>
    <hyperlink ref="F1862" r:id="rId_hyperlink_1813"/>
    <hyperlink ref="F1863" r:id="rId_hyperlink_1814"/>
    <hyperlink ref="F1864" r:id="rId_hyperlink_1815"/>
    <hyperlink ref="F1865" r:id="rId_hyperlink_1816"/>
    <hyperlink ref="F1866" r:id="rId_hyperlink_1817"/>
    <hyperlink ref="F1867" r:id="rId_hyperlink_1818"/>
    <hyperlink ref="F1868" r:id="rId_hyperlink_1819"/>
    <hyperlink ref="F1869" r:id="rId_hyperlink_1820"/>
    <hyperlink ref="F1870" r:id="rId_hyperlink_1821"/>
    <hyperlink ref="F1871" r:id="rId_hyperlink_1822"/>
    <hyperlink ref="F1872" r:id="rId_hyperlink_1823"/>
    <hyperlink ref="F1873" r:id="rId_hyperlink_1824"/>
    <hyperlink ref="F1874" r:id="rId_hyperlink_1825"/>
    <hyperlink ref="F1875" r:id="rId_hyperlink_1826"/>
    <hyperlink ref="F1876" r:id="rId_hyperlink_1827"/>
    <hyperlink ref="F1877" r:id="rId_hyperlink_1828"/>
    <hyperlink ref="F1878" r:id="rId_hyperlink_1829"/>
    <hyperlink ref="F1879" r:id="rId_hyperlink_1830"/>
    <hyperlink ref="F1880" r:id="rId_hyperlink_1831"/>
    <hyperlink ref="F1881" r:id="rId_hyperlink_1832"/>
    <hyperlink ref="F1882" r:id="rId_hyperlink_1833"/>
    <hyperlink ref="F1883" r:id="rId_hyperlink_1834"/>
    <hyperlink ref="F1884" r:id="rId_hyperlink_1835"/>
    <hyperlink ref="F1885" r:id="rId_hyperlink_1836"/>
    <hyperlink ref="F1886" r:id="rId_hyperlink_1837"/>
    <hyperlink ref="F1887" r:id="rId_hyperlink_1838"/>
    <hyperlink ref="F1888" r:id="rId_hyperlink_1839"/>
    <hyperlink ref="F1889" r:id="rId_hyperlink_1840"/>
    <hyperlink ref="F1890" r:id="rId_hyperlink_1841"/>
    <hyperlink ref="F1891" r:id="rId_hyperlink_1842"/>
    <hyperlink ref="F1892" r:id="rId_hyperlink_1843"/>
    <hyperlink ref="F1893" r:id="rId_hyperlink_1844"/>
    <hyperlink ref="F1894" r:id="rId_hyperlink_1845"/>
    <hyperlink ref="F1895" r:id="rId_hyperlink_1846"/>
    <hyperlink ref="F1896" r:id="rId_hyperlink_1847"/>
    <hyperlink ref="F1897" r:id="rId_hyperlink_1848"/>
    <hyperlink ref="F1898" r:id="rId_hyperlink_1849"/>
    <hyperlink ref="F1899" r:id="rId_hyperlink_1850"/>
    <hyperlink ref="F1900" r:id="rId_hyperlink_1851"/>
    <hyperlink ref="F1901" r:id="rId_hyperlink_1852"/>
    <hyperlink ref="F1902" r:id="rId_hyperlink_1853"/>
    <hyperlink ref="F1903" r:id="rId_hyperlink_1854"/>
    <hyperlink ref="F1904" r:id="rId_hyperlink_1855"/>
    <hyperlink ref="F1905" r:id="rId_hyperlink_1856"/>
    <hyperlink ref="F1906" r:id="rId_hyperlink_1857"/>
    <hyperlink ref="F1907" r:id="rId_hyperlink_1858"/>
    <hyperlink ref="F1908" r:id="rId_hyperlink_1859"/>
    <hyperlink ref="F1909" r:id="rId_hyperlink_1860"/>
    <hyperlink ref="F1910" r:id="rId_hyperlink_1861"/>
    <hyperlink ref="F1911" r:id="rId_hyperlink_1862"/>
    <hyperlink ref="F1912" r:id="rId_hyperlink_1863"/>
    <hyperlink ref="F1913" r:id="rId_hyperlink_1864"/>
    <hyperlink ref="F1914" r:id="rId_hyperlink_1865"/>
    <hyperlink ref="F1915" r:id="rId_hyperlink_1866"/>
    <hyperlink ref="F1916" r:id="rId_hyperlink_1867"/>
    <hyperlink ref="F1917" r:id="rId_hyperlink_1868"/>
    <hyperlink ref="F1918" r:id="rId_hyperlink_1869"/>
    <hyperlink ref="F1919" r:id="rId_hyperlink_1870"/>
    <hyperlink ref="F1920" r:id="rId_hyperlink_1871"/>
    <hyperlink ref="F1921" r:id="rId_hyperlink_1872"/>
    <hyperlink ref="F1922" r:id="rId_hyperlink_1873"/>
    <hyperlink ref="F1923" r:id="rId_hyperlink_1874"/>
    <hyperlink ref="F1924" r:id="rId_hyperlink_1875"/>
    <hyperlink ref="F1925" r:id="rId_hyperlink_1876"/>
    <hyperlink ref="F1926" r:id="rId_hyperlink_1877"/>
    <hyperlink ref="F1927" r:id="rId_hyperlink_1878"/>
    <hyperlink ref="F1928" r:id="rId_hyperlink_1879"/>
    <hyperlink ref="F1929" r:id="rId_hyperlink_1880"/>
    <hyperlink ref="F1930" r:id="rId_hyperlink_1881"/>
    <hyperlink ref="F1931" r:id="rId_hyperlink_1882"/>
    <hyperlink ref="F1932" r:id="rId_hyperlink_1883"/>
    <hyperlink ref="F1933" r:id="rId_hyperlink_1884"/>
    <hyperlink ref="F1934" r:id="rId_hyperlink_1885"/>
    <hyperlink ref="F1935" r:id="rId_hyperlink_1886"/>
    <hyperlink ref="F1936" r:id="rId_hyperlink_1887"/>
    <hyperlink ref="F1937" r:id="rId_hyperlink_1888"/>
    <hyperlink ref="F1938" r:id="rId_hyperlink_1889"/>
    <hyperlink ref="F1939" r:id="rId_hyperlink_1890"/>
    <hyperlink ref="F1940" r:id="rId_hyperlink_1891"/>
    <hyperlink ref="F1941" r:id="rId_hyperlink_1892"/>
    <hyperlink ref="F1942" r:id="rId_hyperlink_1893"/>
    <hyperlink ref="F1943" r:id="rId_hyperlink_1894"/>
    <hyperlink ref="F1944" r:id="rId_hyperlink_1895"/>
    <hyperlink ref="F1945" r:id="rId_hyperlink_1896"/>
    <hyperlink ref="F1946" r:id="rId_hyperlink_1897"/>
    <hyperlink ref="F1947" r:id="rId_hyperlink_1898"/>
    <hyperlink ref="F1948" r:id="rId_hyperlink_1899"/>
    <hyperlink ref="F1949" r:id="rId_hyperlink_1900"/>
    <hyperlink ref="F1950" r:id="rId_hyperlink_1901"/>
    <hyperlink ref="F1951" r:id="rId_hyperlink_1902"/>
    <hyperlink ref="F1952" r:id="rId_hyperlink_1903"/>
    <hyperlink ref="F1953" r:id="rId_hyperlink_1904"/>
    <hyperlink ref="F1954" r:id="rId_hyperlink_1905"/>
    <hyperlink ref="F1955" r:id="rId_hyperlink_1906"/>
    <hyperlink ref="F1956" r:id="rId_hyperlink_1907"/>
    <hyperlink ref="F1957" r:id="rId_hyperlink_1908"/>
    <hyperlink ref="F1958" r:id="rId_hyperlink_1909"/>
    <hyperlink ref="F1959" r:id="rId_hyperlink_1910"/>
    <hyperlink ref="F1960" r:id="rId_hyperlink_1911"/>
    <hyperlink ref="F1961" r:id="rId_hyperlink_1912"/>
    <hyperlink ref="F1962" r:id="rId_hyperlink_1913"/>
    <hyperlink ref="F1963" r:id="rId_hyperlink_1914"/>
    <hyperlink ref="F1964" r:id="rId_hyperlink_1915"/>
    <hyperlink ref="F1965" r:id="rId_hyperlink_1916"/>
    <hyperlink ref="F1966" r:id="rId_hyperlink_1917"/>
    <hyperlink ref="F1967" r:id="rId_hyperlink_1918"/>
    <hyperlink ref="F1968" r:id="rId_hyperlink_1919"/>
    <hyperlink ref="F1969" r:id="rId_hyperlink_1920"/>
    <hyperlink ref="F1970" r:id="rId_hyperlink_1921"/>
    <hyperlink ref="F1971" r:id="rId_hyperlink_1922"/>
    <hyperlink ref="F1972" r:id="rId_hyperlink_1923"/>
    <hyperlink ref="F1973" r:id="rId_hyperlink_1924"/>
    <hyperlink ref="F1974" r:id="rId_hyperlink_1925"/>
    <hyperlink ref="F1975" r:id="rId_hyperlink_1926"/>
    <hyperlink ref="F1976" r:id="rId_hyperlink_1927"/>
    <hyperlink ref="F1977" r:id="rId_hyperlink_1928"/>
    <hyperlink ref="F1978" r:id="rId_hyperlink_1929"/>
    <hyperlink ref="F1979" r:id="rId_hyperlink_1930"/>
    <hyperlink ref="F1980" r:id="rId_hyperlink_1931"/>
    <hyperlink ref="F1981" r:id="rId_hyperlink_1932"/>
    <hyperlink ref="F1982" r:id="rId_hyperlink_1933"/>
    <hyperlink ref="F1983" r:id="rId_hyperlink_1934"/>
    <hyperlink ref="F1984" r:id="rId_hyperlink_1935"/>
    <hyperlink ref="F1985" r:id="rId_hyperlink_1936"/>
    <hyperlink ref="F1986" r:id="rId_hyperlink_1937"/>
    <hyperlink ref="F1987" r:id="rId_hyperlink_1938"/>
    <hyperlink ref="F1988" r:id="rId_hyperlink_1939"/>
    <hyperlink ref="F1989" r:id="rId_hyperlink_1940"/>
    <hyperlink ref="F1990" r:id="rId_hyperlink_1941"/>
    <hyperlink ref="F1991" r:id="rId_hyperlink_1942"/>
    <hyperlink ref="F1992" r:id="rId_hyperlink_1943"/>
    <hyperlink ref="F1993" r:id="rId_hyperlink_1944"/>
    <hyperlink ref="F1994" r:id="rId_hyperlink_1945"/>
    <hyperlink ref="F1995" r:id="rId_hyperlink_1946"/>
    <hyperlink ref="F1996" r:id="rId_hyperlink_1947"/>
    <hyperlink ref="F1997" r:id="rId_hyperlink_1948"/>
    <hyperlink ref="F1998" r:id="rId_hyperlink_1949"/>
    <hyperlink ref="F1999" r:id="rId_hyperlink_1950"/>
    <hyperlink ref="F2000" r:id="rId_hyperlink_1951"/>
    <hyperlink ref="F2001" r:id="rId_hyperlink_1952"/>
    <hyperlink ref="F2002" r:id="rId_hyperlink_1953"/>
    <hyperlink ref="F2003" r:id="rId_hyperlink_1954"/>
    <hyperlink ref="F2004" r:id="rId_hyperlink_1955"/>
    <hyperlink ref="F2005" r:id="rId_hyperlink_1956"/>
    <hyperlink ref="F2006" r:id="rId_hyperlink_1957"/>
    <hyperlink ref="F2007" r:id="rId_hyperlink_1958"/>
    <hyperlink ref="F2008" r:id="rId_hyperlink_1959"/>
    <hyperlink ref="F2009" r:id="rId_hyperlink_1960"/>
    <hyperlink ref="F2010" r:id="rId_hyperlink_1961"/>
    <hyperlink ref="F2011" r:id="rId_hyperlink_1962"/>
    <hyperlink ref="F2012" r:id="rId_hyperlink_1963"/>
    <hyperlink ref="F2013" r:id="rId_hyperlink_1964"/>
    <hyperlink ref="F2014" r:id="rId_hyperlink_1965"/>
    <hyperlink ref="F2015" r:id="rId_hyperlink_1966"/>
    <hyperlink ref="F2016" r:id="rId_hyperlink_1967"/>
    <hyperlink ref="F2017" r:id="rId_hyperlink_1968"/>
    <hyperlink ref="F2018" r:id="rId_hyperlink_1969"/>
    <hyperlink ref="F2019" r:id="rId_hyperlink_1970"/>
    <hyperlink ref="F2020" r:id="rId_hyperlink_1971"/>
    <hyperlink ref="F2021" r:id="rId_hyperlink_1972"/>
    <hyperlink ref="F2022" r:id="rId_hyperlink_1973"/>
    <hyperlink ref="F2023" r:id="rId_hyperlink_1974"/>
    <hyperlink ref="F2024" r:id="rId_hyperlink_1975"/>
    <hyperlink ref="F2025" r:id="rId_hyperlink_1976"/>
    <hyperlink ref="F2026" r:id="rId_hyperlink_1977"/>
    <hyperlink ref="F2027" r:id="rId_hyperlink_1978"/>
    <hyperlink ref="F2028" r:id="rId_hyperlink_1979"/>
    <hyperlink ref="F2029" r:id="rId_hyperlink_1980"/>
    <hyperlink ref="F2030" r:id="rId_hyperlink_1981"/>
    <hyperlink ref="F2031" r:id="rId_hyperlink_1982"/>
    <hyperlink ref="F2032" r:id="rId_hyperlink_1983"/>
    <hyperlink ref="F2033" r:id="rId_hyperlink_1984"/>
    <hyperlink ref="F2034" r:id="rId_hyperlink_1985"/>
    <hyperlink ref="F2035" r:id="rId_hyperlink_1986"/>
    <hyperlink ref="F2036" r:id="rId_hyperlink_1987"/>
    <hyperlink ref="F2037" r:id="rId_hyperlink_1988"/>
    <hyperlink ref="F2038" r:id="rId_hyperlink_1989"/>
    <hyperlink ref="F2039" r:id="rId_hyperlink_1990"/>
    <hyperlink ref="F2040" r:id="rId_hyperlink_1991"/>
    <hyperlink ref="F2041" r:id="rId_hyperlink_1992"/>
    <hyperlink ref="F2042" r:id="rId_hyperlink_1993"/>
    <hyperlink ref="F2043" r:id="rId_hyperlink_1994"/>
    <hyperlink ref="F2044" r:id="rId_hyperlink_1995"/>
    <hyperlink ref="F2045" r:id="rId_hyperlink_1996"/>
    <hyperlink ref="F2046" r:id="rId_hyperlink_1997"/>
    <hyperlink ref="F2047" r:id="rId_hyperlink_1998"/>
    <hyperlink ref="F2048" r:id="rId_hyperlink_1999"/>
    <hyperlink ref="F2049" r:id="rId_hyperlink_2000"/>
    <hyperlink ref="F2050" r:id="rId_hyperlink_2001"/>
    <hyperlink ref="F2051" r:id="rId_hyperlink_2002"/>
    <hyperlink ref="F2052" r:id="rId_hyperlink_2003"/>
    <hyperlink ref="F2053" r:id="rId_hyperlink_2004"/>
    <hyperlink ref="F2054" r:id="rId_hyperlink_2005"/>
    <hyperlink ref="F2055" r:id="rId_hyperlink_2006"/>
    <hyperlink ref="F2058" r:id="rId_hyperlink_2007"/>
    <hyperlink ref="F2059" r:id="rId_hyperlink_2008"/>
    <hyperlink ref="F2060" r:id="rId_hyperlink_2009"/>
    <hyperlink ref="F2061" r:id="rId_hyperlink_2010"/>
    <hyperlink ref="F2062" r:id="rId_hyperlink_2011"/>
    <hyperlink ref="F2063" r:id="rId_hyperlink_2012"/>
    <hyperlink ref="F2064" r:id="rId_hyperlink_2013"/>
    <hyperlink ref="F2065" r:id="rId_hyperlink_2014"/>
    <hyperlink ref="F2066" r:id="rId_hyperlink_2015"/>
    <hyperlink ref="F2067" r:id="rId_hyperlink_2016"/>
    <hyperlink ref="F2071" r:id="rId_hyperlink_2017"/>
    <hyperlink ref="F2072" r:id="rId_hyperlink_2018"/>
    <hyperlink ref="F2073" r:id="rId_hyperlink_2019"/>
    <hyperlink ref="F2074" r:id="rId_hyperlink_2020"/>
    <hyperlink ref="F2075" r:id="rId_hyperlink_2021"/>
    <hyperlink ref="F2076" r:id="rId_hyperlink_2022"/>
    <hyperlink ref="F2077" r:id="rId_hyperlink_2023"/>
    <hyperlink ref="F2078" r:id="rId_hyperlink_2024"/>
    <hyperlink ref="F2079" r:id="rId_hyperlink_2025"/>
    <hyperlink ref="F2080" r:id="rId_hyperlink_2026"/>
    <hyperlink ref="F2081" r:id="rId_hyperlink_2027"/>
    <hyperlink ref="F2082" r:id="rId_hyperlink_2028"/>
    <hyperlink ref="F2083" r:id="rId_hyperlink_2029"/>
    <hyperlink ref="F2084" r:id="rId_hyperlink_2030"/>
    <hyperlink ref="F2085" r:id="rId_hyperlink_2031"/>
    <hyperlink ref="F2086" r:id="rId_hyperlink_2032"/>
    <hyperlink ref="F2087" r:id="rId_hyperlink_2033"/>
    <hyperlink ref="F2090" r:id="rId_hyperlink_2034"/>
    <hyperlink ref="F2091" r:id="rId_hyperlink_2035"/>
    <hyperlink ref="F2092" r:id="rId_hyperlink_2036"/>
    <hyperlink ref="F2093" r:id="rId_hyperlink_2037"/>
    <hyperlink ref="F2094" r:id="rId_hyperlink_2038"/>
    <hyperlink ref="F2096" r:id="rId_hyperlink_2039"/>
    <hyperlink ref="F2097" r:id="rId_hyperlink_2040"/>
    <hyperlink ref="F2098" r:id="rId_hyperlink_2041"/>
    <hyperlink ref="F2099" r:id="rId_hyperlink_2042"/>
    <hyperlink ref="F2100" r:id="rId_hyperlink_2043"/>
    <hyperlink ref="F2101" r:id="rId_hyperlink_2044"/>
    <hyperlink ref="F2102" r:id="rId_hyperlink_2045"/>
    <hyperlink ref="F2103" r:id="rId_hyperlink_2046"/>
    <hyperlink ref="F2104" r:id="rId_hyperlink_2047"/>
    <hyperlink ref="F2105" r:id="rId_hyperlink_2048"/>
    <hyperlink ref="F2106" r:id="rId_hyperlink_2049"/>
    <hyperlink ref="F2107" r:id="rId_hyperlink_2050"/>
    <hyperlink ref="F2108" r:id="rId_hyperlink_2051"/>
    <hyperlink ref="F2109" r:id="rId_hyperlink_2052"/>
    <hyperlink ref="F2110" r:id="rId_hyperlink_2053"/>
    <hyperlink ref="F2111" r:id="rId_hyperlink_2054"/>
    <hyperlink ref="F2112" r:id="rId_hyperlink_2055"/>
    <hyperlink ref="F2114" r:id="rId_hyperlink_2056"/>
    <hyperlink ref="F2115" r:id="rId_hyperlink_2057"/>
    <hyperlink ref="F2117" r:id="rId_hyperlink_2058"/>
    <hyperlink ref="F2118" r:id="rId_hyperlink_2059"/>
    <hyperlink ref="F2119" r:id="rId_hyperlink_2060"/>
    <hyperlink ref="F2120" r:id="rId_hyperlink_2061"/>
    <hyperlink ref="F2121" r:id="rId_hyperlink_2062"/>
    <hyperlink ref="F2122" r:id="rId_hyperlink_2063"/>
    <hyperlink ref="F2123" r:id="rId_hyperlink_2064"/>
    <hyperlink ref="F2124" r:id="rId_hyperlink_2065"/>
    <hyperlink ref="F2125" r:id="rId_hyperlink_2066"/>
    <hyperlink ref="F2126" r:id="rId_hyperlink_2067"/>
    <hyperlink ref="F2127" r:id="rId_hyperlink_2068"/>
    <hyperlink ref="F2128" r:id="rId_hyperlink_2069"/>
    <hyperlink ref="F2129" r:id="rId_hyperlink_2070"/>
    <hyperlink ref="F2130" r:id="rId_hyperlink_2071"/>
    <hyperlink ref="F2131" r:id="rId_hyperlink_2072"/>
    <hyperlink ref="F2132" r:id="rId_hyperlink_2073"/>
    <hyperlink ref="F2133" r:id="rId_hyperlink_2074"/>
    <hyperlink ref="F2134" r:id="rId_hyperlink_2075"/>
    <hyperlink ref="F2135" r:id="rId_hyperlink_2076"/>
    <hyperlink ref="F2136" r:id="rId_hyperlink_2077"/>
    <hyperlink ref="F2137" r:id="rId_hyperlink_2078"/>
    <hyperlink ref="F2138" r:id="rId_hyperlink_2079"/>
    <hyperlink ref="F2139" r:id="rId_hyperlink_2080"/>
    <hyperlink ref="F2141" r:id="rId_hyperlink_2081"/>
    <hyperlink ref="F2142" r:id="rId_hyperlink_2082"/>
    <hyperlink ref="F2143" r:id="rId_hyperlink_2083"/>
    <hyperlink ref="F2144" r:id="rId_hyperlink_2084"/>
    <hyperlink ref="F2145" r:id="rId_hyperlink_2085"/>
    <hyperlink ref="F2146" r:id="rId_hyperlink_2086"/>
    <hyperlink ref="F2147" r:id="rId_hyperlink_2087"/>
    <hyperlink ref="F2148" r:id="rId_hyperlink_2088"/>
    <hyperlink ref="F2149" r:id="rId_hyperlink_2089"/>
    <hyperlink ref="F2150" r:id="rId_hyperlink_2090"/>
    <hyperlink ref="F2152" r:id="rId_hyperlink_2091"/>
    <hyperlink ref="F2153" r:id="rId_hyperlink_2092"/>
    <hyperlink ref="F2154" r:id="rId_hyperlink_2093"/>
    <hyperlink ref="F2155" r:id="rId_hyperlink_2094"/>
    <hyperlink ref="F2156" r:id="rId_hyperlink_2095"/>
    <hyperlink ref="F2157" r:id="rId_hyperlink_2096"/>
    <hyperlink ref="F2158" r:id="rId_hyperlink_2097"/>
    <hyperlink ref="F2159" r:id="rId_hyperlink_2098"/>
    <hyperlink ref="F2160" r:id="rId_hyperlink_2099"/>
    <hyperlink ref="F2161" r:id="rId_hyperlink_2100"/>
    <hyperlink ref="F2162" r:id="rId_hyperlink_2101"/>
    <hyperlink ref="F2163" r:id="rId_hyperlink_2102"/>
    <hyperlink ref="F2164" r:id="rId_hyperlink_2103"/>
    <hyperlink ref="F2165" r:id="rId_hyperlink_2104"/>
    <hyperlink ref="F2166" r:id="rId_hyperlink_2105"/>
    <hyperlink ref="F2167" r:id="rId_hyperlink_2106"/>
    <hyperlink ref="F2171" r:id="rId_hyperlink_2107"/>
    <hyperlink ref="F2172" r:id="rId_hyperlink_2108"/>
    <hyperlink ref="F2173" r:id="rId_hyperlink_2109"/>
    <hyperlink ref="F2174" r:id="rId_hyperlink_2110"/>
    <hyperlink ref="F2175" r:id="rId_hyperlink_2111"/>
    <hyperlink ref="F2176" r:id="rId_hyperlink_2112"/>
    <hyperlink ref="F2177" r:id="rId_hyperlink_2113"/>
    <hyperlink ref="F2178" r:id="rId_hyperlink_2114"/>
    <hyperlink ref="F2179" r:id="rId_hyperlink_2115"/>
    <hyperlink ref="F2180" r:id="rId_hyperlink_2116"/>
    <hyperlink ref="F2181" r:id="rId_hyperlink_2117"/>
    <hyperlink ref="F2182" r:id="rId_hyperlink_2118"/>
    <hyperlink ref="F2183" r:id="rId_hyperlink_2119"/>
    <hyperlink ref="F2184" r:id="rId_hyperlink_2120"/>
    <hyperlink ref="F2185" r:id="rId_hyperlink_2121"/>
    <hyperlink ref="F2188" r:id="rId_hyperlink_2122"/>
    <hyperlink ref="F2189" r:id="rId_hyperlink_2123"/>
    <hyperlink ref="F2190" r:id="rId_hyperlink_2124"/>
    <hyperlink ref="F2191" r:id="rId_hyperlink_2125"/>
    <hyperlink ref="F2192" r:id="rId_hyperlink_2126"/>
    <hyperlink ref="F2193" r:id="rId_hyperlink_2127"/>
    <hyperlink ref="F2194" r:id="rId_hyperlink_2128"/>
    <hyperlink ref="F2195" r:id="rId_hyperlink_2129"/>
    <hyperlink ref="F2196" r:id="rId_hyperlink_2130"/>
    <hyperlink ref="F2197" r:id="rId_hyperlink_2131"/>
    <hyperlink ref="F2198" r:id="rId_hyperlink_2132"/>
    <hyperlink ref="F2199" r:id="rId_hyperlink_2133"/>
    <hyperlink ref="F2200" r:id="rId_hyperlink_2134"/>
    <hyperlink ref="F2201" r:id="rId_hyperlink_2135"/>
    <hyperlink ref="F2202" r:id="rId_hyperlink_2136"/>
    <hyperlink ref="F2203" r:id="rId_hyperlink_2137"/>
    <hyperlink ref="F2204" r:id="rId_hyperlink_2138"/>
    <hyperlink ref="F2205" r:id="rId_hyperlink_2139"/>
    <hyperlink ref="F2206" r:id="rId_hyperlink_2140"/>
    <hyperlink ref="F2207" r:id="rId_hyperlink_2141"/>
    <hyperlink ref="F2208" r:id="rId_hyperlink_2142"/>
    <hyperlink ref="F2209" r:id="rId_hyperlink_2143"/>
    <hyperlink ref="F2210" r:id="rId_hyperlink_2144"/>
    <hyperlink ref="F2211" r:id="rId_hyperlink_2145"/>
    <hyperlink ref="F2212" r:id="rId_hyperlink_2146"/>
    <hyperlink ref="F2213" r:id="rId_hyperlink_2147"/>
    <hyperlink ref="F2214" r:id="rId_hyperlink_2148"/>
    <hyperlink ref="F2215" r:id="rId_hyperlink_2149"/>
    <hyperlink ref="F2216" r:id="rId_hyperlink_2150"/>
    <hyperlink ref="F2217" r:id="rId_hyperlink_2151"/>
    <hyperlink ref="F2218" r:id="rId_hyperlink_2152"/>
    <hyperlink ref="F2219" r:id="rId_hyperlink_2153"/>
    <hyperlink ref="F2220" r:id="rId_hyperlink_2154"/>
    <hyperlink ref="F2221" r:id="rId_hyperlink_2155"/>
    <hyperlink ref="F2222" r:id="rId_hyperlink_2156"/>
    <hyperlink ref="F2223" r:id="rId_hyperlink_2157"/>
    <hyperlink ref="F2224" r:id="rId_hyperlink_2158"/>
    <hyperlink ref="F2225" r:id="rId_hyperlink_2159"/>
    <hyperlink ref="F2226" r:id="rId_hyperlink_2160"/>
    <hyperlink ref="F2227" r:id="rId_hyperlink_2161"/>
    <hyperlink ref="F2228" r:id="rId_hyperlink_2162"/>
    <hyperlink ref="F2229" r:id="rId_hyperlink_2163"/>
    <hyperlink ref="F2230" r:id="rId_hyperlink_2164"/>
    <hyperlink ref="F2231" r:id="rId_hyperlink_2165"/>
    <hyperlink ref="F2232" r:id="rId_hyperlink_2166"/>
    <hyperlink ref="F2233" r:id="rId_hyperlink_2167"/>
    <hyperlink ref="F2234" r:id="rId_hyperlink_2168"/>
    <hyperlink ref="F2235" r:id="rId_hyperlink_2169"/>
    <hyperlink ref="F2236" r:id="rId_hyperlink_2170"/>
    <hyperlink ref="F2237" r:id="rId_hyperlink_2171"/>
    <hyperlink ref="F2238" r:id="rId_hyperlink_2172"/>
    <hyperlink ref="F2239" r:id="rId_hyperlink_2173"/>
    <hyperlink ref="F2240" r:id="rId_hyperlink_2174"/>
    <hyperlink ref="F2241" r:id="rId_hyperlink_2175"/>
    <hyperlink ref="F2242" r:id="rId_hyperlink_2176"/>
    <hyperlink ref="F2243" r:id="rId_hyperlink_2177"/>
    <hyperlink ref="F2244" r:id="rId_hyperlink_2178"/>
    <hyperlink ref="F2245" r:id="rId_hyperlink_2179"/>
    <hyperlink ref="F2246" r:id="rId_hyperlink_2180"/>
    <hyperlink ref="F2247" r:id="rId_hyperlink_2181"/>
    <hyperlink ref="F2248" r:id="rId_hyperlink_2182"/>
    <hyperlink ref="F2249" r:id="rId_hyperlink_2183"/>
    <hyperlink ref="F2250" r:id="rId_hyperlink_2184"/>
    <hyperlink ref="F2251" r:id="rId_hyperlink_2185"/>
    <hyperlink ref="F2252" r:id="rId_hyperlink_2186"/>
    <hyperlink ref="F2253" r:id="rId_hyperlink_2187"/>
    <hyperlink ref="F2254" r:id="rId_hyperlink_2188"/>
    <hyperlink ref="F2255" r:id="rId_hyperlink_2189"/>
    <hyperlink ref="F2257" r:id="rId_hyperlink_2190"/>
    <hyperlink ref="F2258" r:id="rId_hyperlink_2191"/>
    <hyperlink ref="F2259" r:id="rId_hyperlink_2192"/>
    <hyperlink ref="F2260" r:id="rId_hyperlink_2193"/>
    <hyperlink ref="F2261" r:id="rId_hyperlink_2194"/>
    <hyperlink ref="F2262" r:id="rId_hyperlink_2195"/>
    <hyperlink ref="F2264" r:id="rId_hyperlink_2196"/>
    <hyperlink ref="F2265" r:id="rId_hyperlink_2197"/>
    <hyperlink ref="F2266" r:id="rId_hyperlink_2198"/>
    <hyperlink ref="F2267" r:id="rId_hyperlink_2199"/>
    <hyperlink ref="F2269" r:id="rId_hyperlink_2200"/>
    <hyperlink ref="F2270" r:id="rId_hyperlink_2201"/>
    <hyperlink ref="F2271" r:id="rId_hyperlink_2202"/>
    <hyperlink ref="F2272" r:id="rId_hyperlink_2203"/>
    <hyperlink ref="F2273" r:id="rId_hyperlink_2204"/>
    <hyperlink ref="F2274" r:id="rId_hyperlink_2205"/>
    <hyperlink ref="F2275" r:id="rId_hyperlink_2206"/>
    <hyperlink ref="F2276" r:id="rId_hyperlink_2207"/>
    <hyperlink ref="F2277" r:id="rId_hyperlink_2208"/>
    <hyperlink ref="F2278" r:id="rId_hyperlink_2209"/>
    <hyperlink ref="F2279" r:id="rId_hyperlink_2210"/>
    <hyperlink ref="F2280" r:id="rId_hyperlink_2211"/>
    <hyperlink ref="F2281" r:id="rId_hyperlink_2212"/>
    <hyperlink ref="F2282" r:id="rId_hyperlink_2213"/>
    <hyperlink ref="F2283" r:id="rId_hyperlink_2214"/>
    <hyperlink ref="F2284" r:id="rId_hyperlink_2215"/>
    <hyperlink ref="F2285" r:id="rId_hyperlink_2216"/>
    <hyperlink ref="F2286" r:id="rId_hyperlink_2217"/>
    <hyperlink ref="F2287" r:id="rId_hyperlink_2218"/>
    <hyperlink ref="F2288" r:id="rId_hyperlink_2219"/>
    <hyperlink ref="F2289" r:id="rId_hyperlink_2220"/>
    <hyperlink ref="F2290" r:id="rId_hyperlink_2221"/>
    <hyperlink ref="F2291" r:id="rId_hyperlink_2222"/>
    <hyperlink ref="F2292" r:id="rId_hyperlink_2223"/>
    <hyperlink ref="F2294" r:id="rId_hyperlink_2224"/>
    <hyperlink ref="F2295" r:id="rId_hyperlink_2225"/>
    <hyperlink ref="F2296" r:id="rId_hyperlink_2226"/>
    <hyperlink ref="F2297" r:id="rId_hyperlink_2227"/>
    <hyperlink ref="F2298" r:id="rId_hyperlink_2228"/>
    <hyperlink ref="F2299" r:id="rId_hyperlink_2229"/>
    <hyperlink ref="F2300" r:id="rId_hyperlink_2230"/>
    <hyperlink ref="F2301" r:id="rId_hyperlink_2231"/>
    <hyperlink ref="F2302" r:id="rId_hyperlink_2232"/>
    <hyperlink ref="F2303" r:id="rId_hyperlink_2233"/>
    <hyperlink ref="F2304" r:id="rId_hyperlink_2234"/>
    <hyperlink ref="F2305" r:id="rId_hyperlink_2235"/>
    <hyperlink ref="F2306" r:id="rId_hyperlink_2236"/>
    <hyperlink ref="F2307" r:id="rId_hyperlink_2237"/>
    <hyperlink ref="F2308" r:id="rId_hyperlink_2238"/>
    <hyperlink ref="F2309" r:id="rId_hyperlink_2239"/>
    <hyperlink ref="F2310" r:id="rId_hyperlink_2240"/>
    <hyperlink ref="F2311" r:id="rId_hyperlink_2241"/>
    <hyperlink ref="F2312" r:id="rId_hyperlink_2242"/>
    <hyperlink ref="F2313" r:id="rId_hyperlink_2243"/>
    <hyperlink ref="F2314" r:id="rId_hyperlink_2244"/>
    <hyperlink ref="F2315" r:id="rId_hyperlink_2245"/>
    <hyperlink ref="F2316" r:id="rId_hyperlink_2246"/>
    <hyperlink ref="F2317" r:id="rId_hyperlink_2247"/>
    <hyperlink ref="F2318" r:id="rId_hyperlink_2248"/>
    <hyperlink ref="F2319" r:id="rId_hyperlink_2249"/>
    <hyperlink ref="F2320" r:id="rId_hyperlink_2250"/>
    <hyperlink ref="F2321" r:id="rId_hyperlink_2251"/>
    <hyperlink ref="F2323" r:id="rId_hyperlink_2252"/>
    <hyperlink ref="F2324" r:id="rId_hyperlink_2253"/>
    <hyperlink ref="F2325" r:id="rId_hyperlink_2254"/>
    <hyperlink ref="F2326" r:id="rId_hyperlink_2255"/>
    <hyperlink ref="F2327" r:id="rId_hyperlink_2256"/>
    <hyperlink ref="F2328" r:id="rId_hyperlink_2257"/>
    <hyperlink ref="F2329" r:id="rId_hyperlink_2258"/>
    <hyperlink ref="F2330" r:id="rId_hyperlink_2259"/>
    <hyperlink ref="F2331" r:id="rId_hyperlink_2260"/>
    <hyperlink ref="F2332" r:id="rId_hyperlink_2261"/>
    <hyperlink ref="F2333" r:id="rId_hyperlink_2262"/>
    <hyperlink ref="F2334" r:id="rId_hyperlink_2263"/>
    <hyperlink ref="F2335" r:id="rId_hyperlink_2264"/>
    <hyperlink ref="F2336" r:id="rId_hyperlink_2265"/>
    <hyperlink ref="F2337" r:id="rId_hyperlink_2266"/>
    <hyperlink ref="F2340" r:id="rId_hyperlink_2267"/>
    <hyperlink ref="F2341" r:id="rId_hyperlink_2268"/>
    <hyperlink ref="F2342" r:id="rId_hyperlink_2269"/>
    <hyperlink ref="F2343" r:id="rId_hyperlink_2270"/>
    <hyperlink ref="F2344" r:id="rId_hyperlink_2271"/>
    <hyperlink ref="F2345" r:id="rId_hyperlink_2272"/>
    <hyperlink ref="F2346" r:id="rId_hyperlink_2273"/>
    <hyperlink ref="F2347" r:id="rId_hyperlink_2274"/>
    <hyperlink ref="F2348" r:id="rId_hyperlink_2275"/>
    <hyperlink ref="F2349" r:id="rId_hyperlink_2276"/>
    <hyperlink ref="F2350" r:id="rId_hyperlink_2277"/>
    <hyperlink ref="F2351" r:id="rId_hyperlink_2278"/>
    <hyperlink ref="F2352" r:id="rId_hyperlink_2279"/>
    <hyperlink ref="F2353" r:id="rId_hyperlink_2280"/>
    <hyperlink ref="F2354" r:id="rId_hyperlink_2281"/>
    <hyperlink ref="F2355" r:id="rId_hyperlink_2282"/>
    <hyperlink ref="F2356" r:id="rId_hyperlink_2283"/>
    <hyperlink ref="F2357" r:id="rId_hyperlink_2284"/>
    <hyperlink ref="F2358" r:id="rId_hyperlink_2285"/>
    <hyperlink ref="F2359" r:id="rId_hyperlink_2286"/>
    <hyperlink ref="F2360" r:id="rId_hyperlink_2287"/>
    <hyperlink ref="F2361" r:id="rId_hyperlink_2288"/>
    <hyperlink ref="F2362" r:id="rId_hyperlink_2289"/>
    <hyperlink ref="F2363" r:id="rId_hyperlink_2290"/>
    <hyperlink ref="F2364" r:id="rId_hyperlink_2291"/>
    <hyperlink ref="F2365" r:id="rId_hyperlink_2292"/>
    <hyperlink ref="F2366" r:id="rId_hyperlink_2293"/>
    <hyperlink ref="F2367" r:id="rId_hyperlink_2294"/>
    <hyperlink ref="F2368" r:id="rId_hyperlink_2295"/>
    <hyperlink ref="F2369" r:id="rId_hyperlink_2296"/>
    <hyperlink ref="F2370" r:id="rId_hyperlink_2297"/>
    <hyperlink ref="F2371" r:id="rId_hyperlink_2298"/>
    <hyperlink ref="F2372" r:id="rId_hyperlink_2299"/>
    <hyperlink ref="F2373" r:id="rId_hyperlink_2300"/>
    <hyperlink ref="F2374" r:id="rId_hyperlink_2301"/>
    <hyperlink ref="F2375" r:id="rId_hyperlink_2302"/>
    <hyperlink ref="F2376" r:id="rId_hyperlink_2303"/>
    <hyperlink ref="F2377" r:id="rId_hyperlink_2304"/>
    <hyperlink ref="F2378" r:id="rId_hyperlink_2305"/>
    <hyperlink ref="F2379" r:id="rId_hyperlink_2306"/>
    <hyperlink ref="F2380" r:id="rId_hyperlink_2307"/>
    <hyperlink ref="F2381" r:id="rId_hyperlink_2308"/>
    <hyperlink ref="F2382" r:id="rId_hyperlink_2309"/>
    <hyperlink ref="F2383" r:id="rId_hyperlink_2310"/>
    <hyperlink ref="F2384" r:id="rId_hyperlink_2311"/>
    <hyperlink ref="F2385" r:id="rId_hyperlink_2312"/>
    <hyperlink ref="F2386" r:id="rId_hyperlink_2313"/>
    <hyperlink ref="F2387" r:id="rId_hyperlink_2314"/>
    <hyperlink ref="F2388" r:id="rId_hyperlink_2315"/>
    <hyperlink ref="F2389" r:id="rId_hyperlink_2316"/>
    <hyperlink ref="F2390" r:id="rId_hyperlink_2317"/>
    <hyperlink ref="F2391" r:id="rId_hyperlink_2318"/>
    <hyperlink ref="F2392" r:id="rId_hyperlink_2319"/>
    <hyperlink ref="F2393" r:id="rId_hyperlink_2320"/>
    <hyperlink ref="F2394" r:id="rId_hyperlink_2321"/>
    <hyperlink ref="F2395" r:id="rId_hyperlink_2322"/>
    <hyperlink ref="F2396" r:id="rId_hyperlink_2323"/>
    <hyperlink ref="F2397" r:id="rId_hyperlink_2324"/>
    <hyperlink ref="F2398" r:id="rId_hyperlink_2325"/>
    <hyperlink ref="F2399" r:id="rId_hyperlink_2326"/>
    <hyperlink ref="F2400" r:id="rId_hyperlink_2327"/>
    <hyperlink ref="F2401" r:id="rId_hyperlink_2328"/>
    <hyperlink ref="F2402" r:id="rId_hyperlink_2329"/>
    <hyperlink ref="F2403" r:id="rId_hyperlink_2330"/>
    <hyperlink ref="F2404" r:id="rId_hyperlink_2331"/>
    <hyperlink ref="F2405" r:id="rId_hyperlink_2332"/>
    <hyperlink ref="F2406" r:id="rId_hyperlink_2333"/>
    <hyperlink ref="F2407" r:id="rId_hyperlink_2334"/>
    <hyperlink ref="F2408" r:id="rId_hyperlink_2335"/>
    <hyperlink ref="F2409" r:id="rId_hyperlink_2336"/>
    <hyperlink ref="F2410" r:id="rId_hyperlink_2337"/>
    <hyperlink ref="F2411" r:id="rId_hyperlink_2338"/>
    <hyperlink ref="F2412" r:id="rId_hyperlink_2339"/>
    <hyperlink ref="F2413" r:id="rId_hyperlink_2340"/>
    <hyperlink ref="F2414" r:id="rId_hyperlink_2341"/>
    <hyperlink ref="F2415" r:id="rId_hyperlink_2342"/>
    <hyperlink ref="F2416" r:id="rId_hyperlink_2343"/>
    <hyperlink ref="F2417" r:id="rId_hyperlink_2344"/>
    <hyperlink ref="F2418" r:id="rId_hyperlink_2345"/>
    <hyperlink ref="F2419" r:id="rId_hyperlink_2346"/>
    <hyperlink ref="F2420" r:id="rId_hyperlink_2347"/>
    <hyperlink ref="F2421" r:id="rId_hyperlink_2348"/>
    <hyperlink ref="F2422" r:id="rId_hyperlink_2349"/>
    <hyperlink ref="F2423" r:id="rId_hyperlink_2350"/>
    <hyperlink ref="F2424" r:id="rId_hyperlink_2351"/>
    <hyperlink ref="F2425" r:id="rId_hyperlink_2352"/>
    <hyperlink ref="F2426" r:id="rId_hyperlink_2353"/>
    <hyperlink ref="F2427" r:id="rId_hyperlink_2354"/>
    <hyperlink ref="F2428" r:id="rId_hyperlink_2355"/>
    <hyperlink ref="F2429" r:id="rId_hyperlink_2356"/>
    <hyperlink ref="F2430" r:id="rId_hyperlink_2357"/>
    <hyperlink ref="F2431" r:id="rId_hyperlink_2358"/>
    <hyperlink ref="F2432" r:id="rId_hyperlink_2359"/>
    <hyperlink ref="F2433" r:id="rId_hyperlink_2360"/>
    <hyperlink ref="F2434" r:id="rId_hyperlink_2361"/>
    <hyperlink ref="F2435" r:id="rId_hyperlink_2362"/>
    <hyperlink ref="F2436" r:id="rId_hyperlink_2363"/>
    <hyperlink ref="F2437" r:id="rId_hyperlink_2364"/>
    <hyperlink ref="F2438" r:id="rId_hyperlink_2365"/>
    <hyperlink ref="F2439" r:id="rId_hyperlink_2366"/>
    <hyperlink ref="F2440" r:id="rId_hyperlink_2367"/>
    <hyperlink ref="F2441" r:id="rId_hyperlink_2368"/>
    <hyperlink ref="F2442" r:id="rId_hyperlink_2369"/>
    <hyperlink ref="F2443" r:id="rId_hyperlink_2370"/>
    <hyperlink ref="F2444" r:id="rId_hyperlink_2371"/>
    <hyperlink ref="F2445" r:id="rId_hyperlink_2372"/>
    <hyperlink ref="F2446" r:id="rId_hyperlink_2373"/>
    <hyperlink ref="F2447" r:id="rId_hyperlink_2374"/>
    <hyperlink ref="F2448" r:id="rId_hyperlink_2375"/>
    <hyperlink ref="F2449" r:id="rId_hyperlink_2376"/>
    <hyperlink ref="F2450" r:id="rId_hyperlink_2377"/>
    <hyperlink ref="F2451" r:id="rId_hyperlink_2378"/>
    <hyperlink ref="F2452" r:id="rId_hyperlink_2379"/>
    <hyperlink ref="F2453" r:id="rId_hyperlink_2380"/>
    <hyperlink ref="F2454" r:id="rId_hyperlink_2381"/>
    <hyperlink ref="F2455" r:id="rId_hyperlink_2382"/>
    <hyperlink ref="F2456" r:id="rId_hyperlink_2383"/>
    <hyperlink ref="F2457" r:id="rId_hyperlink_2384"/>
    <hyperlink ref="F2458" r:id="rId_hyperlink_2385"/>
    <hyperlink ref="F2459" r:id="rId_hyperlink_2386"/>
    <hyperlink ref="F2460" r:id="rId_hyperlink_2387"/>
    <hyperlink ref="F2461" r:id="rId_hyperlink_2388"/>
    <hyperlink ref="F2462" r:id="rId_hyperlink_2389"/>
    <hyperlink ref="F2463" r:id="rId_hyperlink_2390"/>
    <hyperlink ref="F2464" r:id="rId_hyperlink_2391"/>
    <hyperlink ref="F2465" r:id="rId_hyperlink_2392"/>
    <hyperlink ref="F2466" r:id="rId_hyperlink_2393"/>
    <hyperlink ref="F2467" r:id="rId_hyperlink_2394"/>
    <hyperlink ref="F2468" r:id="rId_hyperlink_2395"/>
    <hyperlink ref="F2469" r:id="rId_hyperlink_2396"/>
    <hyperlink ref="F2470" r:id="rId_hyperlink_2397"/>
    <hyperlink ref="F2471" r:id="rId_hyperlink_2398"/>
    <hyperlink ref="F2472" r:id="rId_hyperlink_2399"/>
    <hyperlink ref="F2473" r:id="rId_hyperlink_2400"/>
    <hyperlink ref="F2474" r:id="rId_hyperlink_2401"/>
    <hyperlink ref="F2475" r:id="rId_hyperlink_2402"/>
    <hyperlink ref="F2476" r:id="rId_hyperlink_2403"/>
    <hyperlink ref="F2477" r:id="rId_hyperlink_2404"/>
    <hyperlink ref="F2478" r:id="rId_hyperlink_2405"/>
    <hyperlink ref="F2479" r:id="rId_hyperlink_2406"/>
    <hyperlink ref="F2480" r:id="rId_hyperlink_2407"/>
    <hyperlink ref="F2481" r:id="rId_hyperlink_2408"/>
    <hyperlink ref="F2482" r:id="rId_hyperlink_2409"/>
    <hyperlink ref="F2483" r:id="rId_hyperlink_2410"/>
    <hyperlink ref="F2484" r:id="rId_hyperlink_2411"/>
    <hyperlink ref="F2485" r:id="rId_hyperlink_2412"/>
    <hyperlink ref="F2486" r:id="rId_hyperlink_2413"/>
    <hyperlink ref="F2487" r:id="rId_hyperlink_2414"/>
    <hyperlink ref="F2488" r:id="rId_hyperlink_2415"/>
    <hyperlink ref="F2490" r:id="rId_hyperlink_2416"/>
    <hyperlink ref="F2491" r:id="rId_hyperlink_2417"/>
    <hyperlink ref="F2492" r:id="rId_hyperlink_2418"/>
    <hyperlink ref="F2493" r:id="rId_hyperlink_2419"/>
    <hyperlink ref="F2494" r:id="rId_hyperlink_2420"/>
    <hyperlink ref="F2495" r:id="rId_hyperlink_2421"/>
    <hyperlink ref="F2496" r:id="rId_hyperlink_2422"/>
    <hyperlink ref="F2497" r:id="rId_hyperlink_2423"/>
    <hyperlink ref="F2499" r:id="rId_hyperlink_2424"/>
    <hyperlink ref="F2500" r:id="rId_hyperlink_2425"/>
    <hyperlink ref="F2501" r:id="rId_hyperlink_2426"/>
    <hyperlink ref="F2502" r:id="rId_hyperlink_2427"/>
    <hyperlink ref="F2503" r:id="rId_hyperlink_2428"/>
    <hyperlink ref="F2504" r:id="rId_hyperlink_2429"/>
    <hyperlink ref="F2505" r:id="rId_hyperlink_2430"/>
    <hyperlink ref="F2506" r:id="rId_hyperlink_2431"/>
    <hyperlink ref="F2507" r:id="rId_hyperlink_2432"/>
    <hyperlink ref="F2508" r:id="rId_hyperlink_2433"/>
    <hyperlink ref="F2509" r:id="rId_hyperlink_2434"/>
    <hyperlink ref="F2510" r:id="rId_hyperlink_2435"/>
    <hyperlink ref="F2511" r:id="rId_hyperlink_2436"/>
    <hyperlink ref="F2512" r:id="rId_hyperlink_2437"/>
    <hyperlink ref="F2513" r:id="rId_hyperlink_2438"/>
    <hyperlink ref="F2514" r:id="rId_hyperlink_2439"/>
    <hyperlink ref="F2515" r:id="rId_hyperlink_2440"/>
    <hyperlink ref="F2516" r:id="rId_hyperlink_2441"/>
    <hyperlink ref="F2517" r:id="rId_hyperlink_2442"/>
    <hyperlink ref="F2518" r:id="rId_hyperlink_2443"/>
    <hyperlink ref="F2519" r:id="rId_hyperlink_2444"/>
    <hyperlink ref="F2520" r:id="rId_hyperlink_2445"/>
    <hyperlink ref="F2521" r:id="rId_hyperlink_2446"/>
    <hyperlink ref="F2522" r:id="rId_hyperlink_2447"/>
    <hyperlink ref="F2523" r:id="rId_hyperlink_2448"/>
    <hyperlink ref="F2524" r:id="rId_hyperlink_2449"/>
    <hyperlink ref="F2525" r:id="rId_hyperlink_2450"/>
    <hyperlink ref="F2526" r:id="rId_hyperlink_2451"/>
    <hyperlink ref="F2527" r:id="rId_hyperlink_2452"/>
    <hyperlink ref="F2528" r:id="rId_hyperlink_2453"/>
    <hyperlink ref="F2529" r:id="rId_hyperlink_2454"/>
    <hyperlink ref="F2530" r:id="rId_hyperlink_2455"/>
    <hyperlink ref="F2531" r:id="rId_hyperlink_2456"/>
    <hyperlink ref="F2532" r:id="rId_hyperlink_2457"/>
    <hyperlink ref="F2534" r:id="rId_hyperlink_2458"/>
    <hyperlink ref="F2535" r:id="rId_hyperlink_2459"/>
    <hyperlink ref="F2536" r:id="rId_hyperlink_2460"/>
    <hyperlink ref="F2537" r:id="rId_hyperlink_2461"/>
    <hyperlink ref="F2538" r:id="rId_hyperlink_2462"/>
    <hyperlink ref="F2539" r:id="rId_hyperlink_2463"/>
    <hyperlink ref="F2540" r:id="rId_hyperlink_2464"/>
    <hyperlink ref="F2541" r:id="rId_hyperlink_2465"/>
    <hyperlink ref="F2542" r:id="rId_hyperlink_2466"/>
    <hyperlink ref="F2543" r:id="rId_hyperlink_2467"/>
    <hyperlink ref="F2544" r:id="rId_hyperlink_2468"/>
    <hyperlink ref="F2545" r:id="rId_hyperlink_2469"/>
    <hyperlink ref="F2546" r:id="rId_hyperlink_2470"/>
    <hyperlink ref="F2547" r:id="rId_hyperlink_2471"/>
    <hyperlink ref="F2548" r:id="rId_hyperlink_2472"/>
    <hyperlink ref="F2549" r:id="rId_hyperlink_2473"/>
    <hyperlink ref="F2550" r:id="rId_hyperlink_2474"/>
    <hyperlink ref="F2551" r:id="rId_hyperlink_2475"/>
    <hyperlink ref="F2552" r:id="rId_hyperlink_2476"/>
    <hyperlink ref="F2553" r:id="rId_hyperlink_2477"/>
    <hyperlink ref="F2554" r:id="rId_hyperlink_2478"/>
    <hyperlink ref="F2555" r:id="rId_hyperlink_2479"/>
    <hyperlink ref="F2556" r:id="rId_hyperlink_2480"/>
    <hyperlink ref="F2557" r:id="rId_hyperlink_2481"/>
    <hyperlink ref="F2558" r:id="rId_hyperlink_2482"/>
    <hyperlink ref="F2559" r:id="rId_hyperlink_2483"/>
    <hyperlink ref="F2560" r:id="rId_hyperlink_2484"/>
    <hyperlink ref="F2561" r:id="rId_hyperlink_2485"/>
    <hyperlink ref="F2562" r:id="rId_hyperlink_2486"/>
    <hyperlink ref="F2563" r:id="rId_hyperlink_2487"/>
    <hyperlink ref="F2564" r:id="rId_hyperlink_2488"/>
    <hyperlink ref="F2565" r:id="rId_hyperlink_2489"/>
    <hyperlink ref="F2566" r:id="rId_hyperlink_2490"/>
    <hyperlink ref="F2567" r:id="rId_hyperlink_2491"/>
    <hyperlink ref="F2568" r:id="rId_hyperlink_2492"/>
    <hyperlink ref="F2569" r:id="rId_hyperlink_2493"/>
    <hyperlink ref="F2570" r:id="rId_hyperlink_2494"/>
    <hyperlink ref="F2571" r:id="rId_hyperlink_2495"/>
    <hyperlink ref="F2572" r:id="rId_hyperlink_2496"/>
    <hyperlink ref="F2573" r:id="rId_hyperlink_2497"/>
    <hyperlink ref="F2574" r:id="rId_hyperlink_2498"/>
    <hyperlink ref="F2575" r:id="rId_hyperlink_2499"/>
    <hyperlink ref="F2576" r:id="rId_hyperlink_2500"/>
    <hyperlink ref="F2577" r:id="rId_hyperlink_2501"/>
    <hyperlink ref="F2578" r:id="rId_hyperlink_2502"/>
    <hyperlink ref="F2579" r:id="rId_hyperlink_2503"/>
    <hyperlink ref="F2580" r:id="rId_hyperlink_2504"/>
    <hyperlink ref="F2581" r:id="rId_hyperlink_2505"/>
    <hyperlink ref="F2582" r:id="rId_hyperlink_2506"/>
    <hyperlink ref="F2583" r:id="rId_hyperlink_2507"/>
    <hyperlink ref="F2584" r:id="rId_hyperlink_2508"/>
    <hyperlink ref="F2585" r:id="rId_hyperlink_2509"/>
    <hyperlink ref="F2586" r:id="rId_hyperlink_2510"/>
    <hyperlink ref="F2587" r:id="rId_hyperlink_2511"/>
    <hyperlink ref="F2588" r:id="rId_hyperlink_2512"/>
    <hyperlink ref="F2589" r:id="rId_hyperlink_2513"/>
    <hyperlink ref="F2590" r:id="rId_hyperlink_2514"/>
    <hyperlink ref="F2591" r:id="rId_hyperlink_2515"/>
    <hyperlink ref="F2592" r:id="rId_hyperlink_2516"/>
    <hyperlink ref="F2593" r:id="rId_hyperlink_2517"/>
    <hyperlink ref="F2594" r:id="rId_hyperlink_2518"/>
    <hyperlink ref="F2595" r:id="rId_hyperlink_2519"/>
    <hyperlink ref="F2596" r:id="rId_hyperlink_2520"/>
    <hyperlink ref="F2597" r:id="rId_hyperlink_2521"/>
    <hyperlink ref="F2598" r:id="rId_hyperlink_2522"/>
    <hyperlink ref="F2599" r:id="rId_hyperlink_2523"/>
    <hyperlink ref="F2600" r:id="rId_hyperlink_2524"/>
    <hyperlink ref="F2601" r:id="rId_hyperlink_2525"/>
    <hyperlink ref="F2602" r:id="rId_hyperlink_2526"/>
    <hyperlink ref="F2603" r:id="rId_hyperlink_2527"/>
    <hyperlink ref="F2604" r:id="rId_hyperlink_2528"/>
    <hyperlink ref="F2605" r:id="rId_hyperlink_2529"/>
    <hyperlink ref="F2606" r:id="rId_hyperlink_2530"/>
    <hyperlink ref="F2607" r:id="rId_hyperlink_2531"/>
    <hyperlink ref="F2608" r:id="rId_hyperlink_2532"/>
    <hyperlink ref="F2609" r:id="rId_hyperlink_2533"/>
    <hyperlink ref="F2610" r:id="rId_hyperlink_2534"/>
    <hyperlink ref="F2611" r:id="rId_hyperlink_2535"/>
    <hyperlink ref="F2612" r:id="rId_hyperlink_2536"/>
    <hyperlink ref="F2613" r:id="rId_hyperlink_2537"/>
    <hyperlink ref="F2614" r:id="rId_hyperlink_2538"/>
    <hyperlink ref="F2615" r:id="rId_hyperlink_2539"/>
    <hyperlink ref="F2616" r:id="rId_hyperlink_2540"/>
    <hyperlink ref="F2617" r:id="rId_hyperlink_2541"/>
    <hyperlink ref="F2618" r:id="rId_hyperlink_2542"/>
    <hyperlink ref="F2619" r:id="rId_hyperlink_2543"/>
    <hyperlink ref="F2620" r:id="rId_hyperlink_2544"/>
    <hyperlink ref="F2621" r:id="rId_hyperlink_2545"/>
    <hyperlink ref="F2622" r:id="rId_hyperlink_2546"/>
    <hyperlink ref="F2623" r:id="rId_hyperlink_2547"/>
    <hyperlink ref="F2624" r:id="rId_hyperlink_2548"/>
    <hyperlink ref="F2625" r:id="rId_hyperlink_2549"/>
    <hyperlink ref="F2626" r:id="rId_hyperlink_2550"/>
    <hyperlink ref="F2627" r:id="rId_hyperlink_2551"/>
    <hyperlink ref="F2628" r:id="rId_hyperlink_2552"/>
    <hyperlink ref="F2629" r:id="rId_hyperlink_2553"/>
    <hyperlink ref="F2630" r:id="rId_hyperlink_2554"/>
    <hyperlink ref="F2631" r:id="rId_hyperlink_2555"/>
    <hyperlink ref="F2632" r:id="rId_hyperlink_2556"/>
    <hyperlink ref="F2633" r:id="rId_hyperlink_2557"/>
    <hyperlink ref="F2634" r:id="rId_hyperlink_2558"/>
    <hyperlink ref="F2635" r:id="rId_hyperlink_2559"/>
    <hyperlink ref="F2636" r:id="rId_hyperlink_2560"/>
    <hyperlink ref="F2637" r:id="rId_hyperlink_2561"/>
    <hyperlink ref="F2638" r:id="rId_hyperlink_2562"/>
    <hyperlink ref="F2639" r:id="rId_hyperlink_2563"/>
    <hyperlink ref="F2640" r:id="rId_hyperlink_2564"/>
    <hyperlink ref="F2641" r:id="rId_hyperlink_2565"/>
    <hyperlink ref="F2642" r:id="rId_hyperlink_2566"/>
    <hyperlink ref="F2643" r:id="rId_hyperlink_2567"/>
    <hyperlink ref="F2644" r:id="rId_hyperlink_2568"/>
    <hyperlink ref="F2645" r:id="rId_hyperlink_2569"/>
    <hyperlink ref="F2646" r:id="rId_hyperlink_2570"/>
    <hyperlink ref="F2647" r:id="rId_hyperlink_2571"/>
    <hyperlink ref="F2648" r:id="rId_hyperlink_2572"/>
    <hyperlink ref="F2649" r:id="rId_hyperlink_2573"/>
    <hyperlink ref="F2650" r:id="rId_hyperlink_2574"/>
    <hyperlink ref="F2651" r:id="rId_hyperlink_2575"/>
    <hyperlink ref="F2652" r:id="rId_hyperlink_2576"/>
    <hyperlink ref="F2653" r:id="rId_hyperlink_2577"/>
    <hyperlink ref="F2654" r:id="rId_hyperlink_2578"/>
    <hyperlink ref="F2655" r:id="rId_hyperlink_2579"/>
    <hyperlink ref="F2656" r:id="rId_hyperlink_2580"/>
    <hyperlink ref="F2657" r:id="rId_hyperlink_2581"/>
    <hyperlink ref="F2658" r:id="rId_hyperlink_2582"/>
    <hyperlink ref="F2659" r:id="rId_hyperlink_2583"/>
    <hyperlink ref="F2660" r:id="rId_hyperlink_2584"/>
    <hyperlink ref="F2662" r:id="rId_hyperlink_2585"/>
    <hyperlink ref="F2663" r:id="rId_hyperlink_2586"/>
    <hyperlink ref="F2664" r:id="rId_hyperlink_2587"/>
    <hyperlink ref="F2665" r:id="rId_hyperlink_2588"/>
    <hyperlink ref="F2666" r:id="rId_hyperlink_2589"/>
    <hyperlink ref="F2667" r:id="rId_hyperlink_2590"/>
    <hyperlink ref="F2668" r:id="rId_hyperlink_2591"/>
    <hyperlink ref="F2669" r:id="rId_hyperlink_2592"/>
    <hyperlink ref="F2670" r:id="rId_hyperlink_2593"/>
    <hyperlink ref="F2671" r:id="rId_hyperlink_2594"/>
    <hyperlink ref="F2672" r:id="rId_hyperlink_2595"/>
    <hyperlink ref="F2673" r:id="rId_hyperlink_2596"/>
    <hyperlink ref="F2674" r:id="rId_hyperlink_2597"/>
    <hyperlink ref="F2675" r:id="rId_hyperlink_2598"/>
    <hyperlink ref="F2676" r:id="rId_hyperlink_2599"/>
    <hyperlink ref="F2677" r:id="rId_hyperlink_2600"/>
    <hyperlink ref="F2678" r:id="rId_hyperlink_2601"/>
    <hyperlink ref="F2679" r:id="rId_hyperlink_2602"/>
    <hyperlink ref="F2680" r:id="rId_hyperlink_2603"/>
    <hyperlink ref="F2682" r:id="rId_hyperlink_2604"/>
    <hyperlink ref="F2683" r:id="rId_hyperlink_2605"/>
    <hyperlink ref="F2684" r:id="rId_hyperlink_2606"/>
    <hyperlink ref="F2685" r:id="rId_hyperlink_2607"/>
    <hyperlink ref="F2686" r:id="rId_hyperlink_2608"/>
    <hyperlink ref="F2687" r:id="rId_hyperlink_2609"/>
    <hyperlink ref="F2688" r:id="rId_hyperlink_2610"/>
    <hyperlink ref="F2689" r:id="rId_hyperlink_2611"/>
    <hyperlink ref="F2690" r:id="rId_hyperlink_2612"/>
    <hyperlink ref="F2691" r:id="rId_hyperlink_2613"/>
    <hyperlink ref="F2692" r:id="rId_hyperlink_2614"/>
    <hyperlink ref="F2693" r:id="rId_hyperlink_2615"/>
    <hyperlink ref="F2694" r:id="rId_hyperlink_2616"/>
    <hyperlink ref="F2695" r:id="rId_hyperlink_2617"/>
    <hyperlink ref="F2696" r:id="rId_hyperlink_2618"/>
    <hyperlink ref="F2697" r:id="rId_hyperlink_2619"/>
    <hyperlink ref="F2698" r:id="rId_hyperlink_2620"/>
    <hyperlink ref="F2699" r:id="rId_hyperlink_2621"/>
    <hyperlink ref="F2700" r:id="rId_hyperlink_2622"/>
    <hyperlink ref="F2701" r:id="rId_hyperlink_2623"/>
    <hyperlink ref="F2702" r:id="rId_hyperlink_2624"/>
    <hyperlink ref="F2703" r:id="rId_hyperlink_2625"/>
    <hyperlink ref="F2704" r:id="rId_hyperlink_2626"/>
    <hyperlink ref="F2705" r:id="rId_hyperlink_2627"/>
    <hyperlink ref="F2706" r:id="rId_hyperlink_2628"/>
    <hyperlink ref="F2707" r:id="rId_hyperlink_2629"/>
    <hyperlink ref="F2708" r:id="rId_hyperlink_2630"/>
    <hyperlink ref="F2709" r:id="rId_hyperlink_2631"/>
    <hyperlink ref="F2710" r:id="rId_hyperlink_2632"/>
    <hyperlink ref="F2711" r:id="rId_hyperlink_2633"/>
    <hyperlink ref="F2712" r:id="rId_hyperlink_2634"/>
    <hyperlink ref="F2713" r:id="rId_hyperlink_2635"/>
    <hyperlink ref="F2714" r:id="rId_hyperlink_2636"/>
    <hyperlink ref="F2715" r:id="rId_hyperlink_2637"/>
    <hyperlink ref="F2716" r:id="rId_hyperlink_2638"/>
    <hyperlink ref="F2717" r:id="rId_hyperlink_2639"/>
    <hyperlink ref="F2718" r:id="rId_hyperlink_2640"/>
    <hyperlink ref="F2719" r:id="rId_hyperlink_2641"/>
    <hyperlink ref="F2720" r:id="rId_hyperlink_2642"/>
    <hyperlink ref="F2721" r:id="rId_hyperlink_2643"/>
    <hyperlink ref="F2722" r:id="rId_hyperlink_2644"/>
    <hyperlink ref="F2723" r:id="rId_hyperlink_2645"/>
    <hyperlink ref="F2724" r:id="rId_hyperlink_2646"/>
    <hyperlink ref="F2725" r:id="rId_hyperlink_2647"/>
    <hyperlink ref="F2726" r:id="rId_hyperlink_2648"/>
    <hyperlink ref="F2727" r:id="rId_hyperlink_2649"/>
    <hyperlink ref="F2728" r:id="rId_hyperlink_2650"/>
    <hyperlink ref="F2729" r:id="rId_hyperlink_2651"/>
    <hyperlink ref="F2730" r:id="rId_hyperlink_2652"/>
    <hyperlink ref="F2731" r:id="rId_hyperlink_2653"/>
    <hyperlink ref="F2732" r:id="rId_hyperlink_2654"/>
    <hyperlink ref="F2733" r:id="rId_hyperlink_2655"/>
    <hyperlink ref="F2734" r:id="rId_hyperlink_2656"/>
    <hyperlink ref="F2735" r:id="rId_hyperlink_2657"/>
    <hyperlink ref="F2736" r:id="rId_hyperlink_2658"/>
    <hyperlink ref="F2737" r:id="rId_hyperlink_2659"/>
    <hyperlink ref="F2738" r:id="rId_hyperlink_2660"/>
    <hyperlink ref="F2739" r:id="rId_hyperlink_2661"/>
    <hyperlink ref="F2740" r:id="rId_hyperlink_2662"/>
    <hyperlink ref="F2741" r:id="rId_hyperlink_2663"/>
    <hyperlink ref="F2742" r:id="rId_hyperlink_2664"/>
    <hyperlink ref="F2743" r:id="rId_hyperlink_2665"/>
    <hyperlink ref="F2744" r:id="rId_hyperlink_2666"/>
    <hyperlink ref="F2745" r:id="rId_hyperlink_2667"/>
    <hyperlink ref="F2746" r:id="rId_hyperlink_2668"/>
    <hyperlink ref="F2747" r:id="rId_hyperlink_2669"/>
    <hyperlink ref="F2748" r:id="rId_hyperlink_2670"/>
    <hyperlink ref="F2749" r:id="rId_hyperlink_2671"/>
    <hyperlink ref="F2750" r:id="rId_hyperlink_2672"/>
    <hyperlink ref="F2751" r:id="rId_hyperlink_2673"/>
    <hyperlink ref="F2752" r:id="rId_hyperlink_2674"/>
    <hyperlink ref="F2753" r:id="rId_hyperlink_2675"/>
    <hyperlink ref="F2754" r:id="rId_hyperlink_2676"/>
    <hyperlink ref="F2755" r:id="rId_hyperlink_2677"/>
    <hyperlink ref="F2756" r:id="rId_hyperlink_2678"/>
    <hyperlink ref="F2757" r:id="rId_hyperlink_2679"/>
    <hyperlink ref="F2758" r:id="rId_hyperlink_2680"/>
    <hyperlink ref="F2759" r:id="rId_hyperlink_2681"/>
    <hyperlink ref="F2760" r:id="rId_hyperlink_2682"/>
    <hyperlink ref="F2761" r:id="rId_hyperlink_2683"/>
    <hyperlink ref="F2762" r:id="rId_hyperlink_2684"/>
    <hyperlink ref="F2763" r:id="rId_hyperlink_2685"/>
    <hyperlink ref="F2764" r:id="rId_hyperlink_2686"/>
    <hyperlink ref="F2765" r:id="rId_hyperlink_2687"/>
    <hyperlink ref="F2766" r:id="rId_hyperlink_2688"/>
    <hyperlink ref="F2767" r:id="rId_hyperlink_2689"/>
    <hyperlink ref="F2768" r:id="rId_hyperlink_2690"/>
    <hyperlink ref="F2769" r:id="rId_hyperlink_2691"/>
    <hyperlink ref="F2770" r:id="rId_hyperlink_2692"/>
    <hyperlink ref="F2771" r:id="rId_hyperlink_2693"/>
    <hyperlink ref="F2772" r:id="rId_hyperlink_2694"/>
    <hyperlink ref="F2773" r:id="rId_hyperlink_2695"/>
    <hyperlink ref="F2774" r:id="rId_hyperlink_2696"/>
    <hyperlink ref="F2775" r:id="rId_hyperlink_2697"/>
    <hyperlink ref="F2776" r:id="rId_hyperlink_2698"/>
    <hyperlink ref="F2777" r:id="rId_hyperlink_2699"/>
    <hyperlink ref="F2778" r:id="rId_hyperlink_2700"/>
    <hyperlink ref="F2779" r:id="rId_hyperlink_2701"/>
    <hyperlink ref="F2780" r:id="rId_hyperlink_2702"/>
    <hyperlink ref="F2781" r:id="rId_hyperlink_2703"/>
    <hyperlink ref="F2782" r:id="rId_hyperlink_2704"/>
    <hyperlink ref="F2783" r:id="rId_hyperlink_2705"/>
    <hyperlink ref="F2784" r:id="rId_hyperlink_2706"/>
    <hyperlink ref="F2785" r:id="rId_hyperlink_2707"/>
    <hyperlink ref="F2786" r:id="rId_hyperlink_2708"/>
    <hyperlink ref="F2787" r:id="rId_hyperlink_2709"/>
    <hyperlink ref="F2788" r:id="rId_hyperlink_2710"/>
    <hyperlink ref="F2789" r:id="rId_hyperlink_2711"/>
    <hyperlink ref="F2790" r:id="rId_hyperlink_2712"/>
    <hyperlink ref="F2791" r:id="rId_hyperlink_2713"/>
    <hyperlink ref="F2792" r:id="rId_hyperlink_2714"/>
    <hyperlink ref="F2793" r:id="rId_hyperlink_2715"/>
    <hyperlink ref="F2794" r:id="rId_hyperlink_2716"/>
    <hyperlink ref="F2795" r:id="rId_hyperlink_2717"/>
    <hyperlink ref="F2796" r:id="rId_hyperlink_2718"/>
    <hyperlink ref="F2797" r:id="rId_hyperlink_2719"/>
    <hyperlink ref="F2798" r:id="rId_hyperlink_2720"/>
    <hyperlink ref="F2799" r:id="rId_hyperlink_2721"/>
    <hyperlink ref="F2800" r:id="rId_hyperlink_2722"/>
    <hyperlink ref="F2801" r:id="rId_hyperlink_2723"/>
    <hyperlink ref="F2802" r:id="rId_hyperlink_2724"/>
    <hyperlink ref="F2803" r:id="rId_hyperlink_2725"/>
    <hyperlink ref="F2804" r:id="rId_hyperlink_2726"/>
    <hyperlink ref="F2805" r:id="rId_hyperlink_2727"/>
    <hyperlink ref="F2806" r:id="rId_hyperlink_2728"/>
    <hyperlink ref="F2807" r:id="rId_hyperlink_2729"/>
    <hyperlink ref="F2808" r:id="rId_hyperlink_2730"/>
    <hyperlink ref="F2809" r:id="rId_hyperlink_2731"/>
    <hyperlink ref="F2810" r:id="rId_hyperlink_2732"/>
    <hyperlink ref="F2811" r:id="rId_hyperlink_2733"/>
    <hyperlink ref="F2812" r:id="rId_hyperlink_2734"/>
    <hyperlink ref="F2813" r:id="rId_hyperlink_2735"/>
    <hyperlink ref="F2814" r:id="rId_hyperlink_2736"/>
    <hyperlink ref="F2815" r:id="rId_hyperlink_2737"/>
    <hyperlink ref="F2816" r:id="rId_hyperlink_2738"/>
    <hyperlink ref="F2817" r:id="rId_hyperlink_2739"/>
    <hyperlink ref="F2818" r:id="rId_hyperlink_2740"/>
    <hyperlink ref="F2819" r:id="rId_hyperlink_2741"/>
    <hyperlink ref="F2820" r:id="rId_hyperlink_2742"/>
    <hyperlink ref="F2821" r:id="rId_hyperlink_2743"/>
    <hyperlink ref="F2822" r:id="rId_hyperlink_2744"/>
    <hyperlink ref="F2823" r:id="rId_hyperlink_2745"/>
    <hyperlink ref="F2824" r:id="rId_hyperlink_2746"/>
    <hyperlink ref="F2825" r:id="rId_hyperlink_2747"/>
    <hyperlink ref="F2826" r:id="rId_hyperlink_2748"/>
    <hyperlink ref="F2827" r:id="rId_hyperlink_2749"/>
    <hyperlink ref="F2828" r:id="rId_hyperlink_2750"/>
    <hyperlink ref="F2829" r:id="rId_hyperlink_2751"/>
    <hyperlink ref="F2830" r:id="rId_hyperlink_2752"/>
    <hyperlink ref="F2831" r:id="rId_hyperlink_2753"/>
    <hyperlink ref="F2832" r:id="rId_hyperlink_2754"/>
    <hyperlink ref="F2833" r:id="rId_hyperlink_2755"/>
    <hyperlink ref="F2834" r:id="rId_hyperlink_2756"/>
    <hyperlink ref="F2835" r:id="rId_hyperlink_2757"/>
    <hyperlink ref="F2836" r:id="rId_hyperlink_2758"/>
    <hyperlink ref="F2837" r:id="rId_hyperlink_2759"/>
    <hyperlink ref="F2838" r:id="rId_hyperlink_2760"/>
    <hyperlink ref="F2839" r:id="rId_hyperlink_2761"/>
    <hyperlink ref="F2840" r:id="rId_hyperlink_2762"/>
    <hyperlink ref="F2841" r:id="rId_hyperlink_2763"/>
    <hyperlink ref="F2842" r:id="rId_hyperlink_2764"/>
    <hyperlink ref="F2843" r:id="rId_hyperlink_2765"/>
    <hyperlink ref="F2844" r:id="rId_hyperlink_2766"/>
    <hyperlink ref="F2845" r:id="rId_hyperlink_2767"/>
    <hyperlink ref="F2846" r:id="rId_hyperlink_2768"/>
    <hyperlink ref="F2847" r:id="rId_hyperlink_2769"/>
    <hyperlink ref="F2848" r:id="rId_hyperlink_2770"/>
    <hyperlink ref="F2849" r:id="rId_hyperlink_2771"/>
    <hyperlink ref="F2850" r:id="rId_hyperlink_2772"/>
    <hyperlink ref="F2851" r:id="rId_hyperlink_2773"/>
    <hyperlink ref="F2852" r:id="rId_hyperlink_2774"/>
    <hyperlink ref="F2853" r:id="rId_hyperlink_2775"/>
    <hyperlink ref="F2854" r:id="rId_hyperlink_2776"/>
    <hyperlink ref="F2855" r:id="rId_hyperlink_2777"/>
    <hyperlink ref="F2856" r:id="rId_hyperlink_2778"/>
    <hyperlink ref="F2857" r:id="rId_hyperlink_2779"/>
    <hyperlink ref="F2858" r:id="rId_hyperlink_2780"/>
    <hyperlink ref="F2859" r:id="rId_hyperlink_2781"/>
    <hyperlink ref="F2860" r:id="rId_hyperlink_2782"/>
    <hyperlink ref="F2861" r:id="rId_hyperlink_2783"/>
    <hyperlink ref="F2862" r:id="rId_hyperlink_2784"/>
    <hyperlink ref="F2863" r:id="rId_hyperlink_2785"/>
    <hyperlink ref="F2864" r:id="rId_hyperlink_2786"/>
    <hyperlink ref="F2865" r:id="rId_hyperlink_2787"/>
    <hyperlink ref="F2866" r:id="rId_hyperlink_2788"/>
    <hyperlink ref="F2867" r:id="rId_hyperlink_2789"/>
    <hyperlink ref="F2868" r:id="rId_hyperlink_2790"/>
    <hyperlink ref="F2869" r:id="rId_hyperlink_2791"/>
    <hyperlink ref="F2870" r:id="rId_hyperlink_2792"/>
    <hyperlink ref="F2871" r:id="rId_hyperlink_2793"/>
    <hyperlink ref="F2872" r:id="rId_hyperlink_2794"/>
    <hyperlink ref="F2873" r:id="rId_hyperlink_2795"/>
    <hyperlink ref="F2874" r:id="rId_hyperlink_2796"/>
    <hyperlink ref="F2875" r:id="rId_hyperlink_2797"/>
    <hyperlink ref="F2876" r:id="rId_hyperlink_2798"/>
    <hyperlink ref="F2877" r:id="rId_hyperlink_2799"/>
    <hyperlink ref="F2878" r:id="rId_hyperlink_2800"/>
    <hyperlink ref="F2879" r:id="rId_hyperlink_2801"/>
    <hyperlink ref="F2880" r:id="rId_hyperlink_2802"/>
    <hyperlink ref="F2881" r:id="rId_hyperlink_2803"/>
    <hyperlink ref="F2882" r:id="rId_hyperlink_2804"/>
    <hyperlink ref="F2883" r:id="rId_hyperlink_2805"/>
    <hyperlink ref="F2884" r:id="rId_hyperlink_2806"/>
    <hyperlink ref="F2885" r:id="rId_hyperlink_2807"/>
    <hyperlink ref="F2886" r:id="rId_hyperlink_2808"/>
    <hyperlink ref="F2887" r:id="rId_hyperlink_2809"/>
    <hyperlink ref="F2888" r:id="rId_hyperlink_2810"/>
    <hyperlink ref="F2889" r:id="rId_hyperlink_2811"/>
    <hyperlink ref="F2890" r:id="rId_hyperlink_2812"/>
    <hyperlink ref="F2891" r:id="rId_hyperlink_2813"/>
    <hyperlink ref="F2892" r:id="rId_hyperlink_2814"/>
    <hyperlink ref="F2893" r:id="rId_hyperlink_2815"/>
    <hyperlink ref="F2894" r:id="rId_hyperlink_2816"/>
    <hyperlink ref="F2895" r:id="rId_hyperlink_2817"/>
    <hyperlink ref="F2896" r:id="rId_hyperlink_2818"/>
    <hyperlink ref="F2897" r:id="rId_hyperlink_2819"/>
    <hyperlink ref="F2898" r:id="rId_hyperlink_2820"/>
    <hyperlink ref="F2899" r:id="rId_hyperlink_2821"/>
    <hyperlink ref="F2900" r:id="rId_hyperlink_2822"/>
    <hyperlink ref="F2901" r:id="rId_hyperlink_2823"/>
    <hyperlink ref="F2902" r:id="rId_hyperlink_2824"/>
    <hyperlink ref="F2903" r:id="rId_hyperlink_2825"/>
    <hyperlink ref="F2904" r:id="rId_hyperlink_2826"/>
    <hyperlink ref="F2905" r:id="rId_hyperlink_2827"/>
    <hyperlink ref="F2906" r:id="rId_hyperlink_2828"/>
    <hyperlink ref="F2907" r:id="rId_hyperlink_2829"/>
    <hyperlink ref="F2908" r:id="rId_hyperlink_2830"/>
    <hyperlink ref="F2909" r:id="rId_hyperlink_2831"/>
    <hyperlink ref="F2910" r:id="rId_hyperlink_2832"/>
    <hyperlink ref="F2911" r:id="rId_hyperlink_2833"/>
    <hyperlink ref="F2912" r:id="rId_hyperlink_2834"/>
    <hyperlink ref="F2913" r:id="rId_hyperlink_2835"/>
    <hyperlink ref="F2914" r:id="rId_hyperlink_2836"/>
    <hyperlink ref="F2915" r:id="rId_hyperlink_2837"/>
    <hyperlink ref="F2916" r:id="rId_hyperlink_2838"/>
    <hyperlink ref="F2917" r:id="rId_hyperlink_2839"/>
    <hyperlink ref="F2918" r:id="rId_hyperlink_2840"/>
    <hyperlink ref="F2919" r:id="rId_hyperlink_2841"/>
    <hyperlink ref="F2920" r:id="rId_hyperlink_2842"/>
    <hyperlink ref="F2921" r:id="rId_hyperlink_2843"/>
    <hyperlink ref="F2922" r:id="rId_hyperlink_2844"/>
    <hyperlink ref="F2923" r:id="rId_hyperlink_2845"/>
    <hyperlink ref="F2924" r:id="rId_hyperlink_2846"/>
    <hyperlink ref="F2925" r:id="rId_hyperlink_2847"/>
    <hyperlink ref="F2926" r:id="rId_hyperlink_2848"/>
    <hyperlink ref="F2927" r:id="rId_hyperlink_2849"/>
    <hyperlink ref="F2928" r:id="rId_hyperlink_2850"/>
    <hyperlink ref="F2929" r:id="rId_hyperlink_2851"/>
    <hyperlink ref="F2930" r:id="rId_hyperlink_2852"/>
    <hyperlink ref="F2931" r:id="rId_hyperlink_2853"/>
    <hyperlink ref="F2932" r:id="rId_hyperlink_2854"/>
    <hyperlink ref="F2933" r:id="rId_hyperlink_2855"/>
    <hyperlink ref="F2934" r:id="rId_hyperlink_2856"/>
    <hyperlink ref="F2935" r:id="rId_hyperlink_2857"/>
    <hyperlink ref="F2936" r:id="rId_hyperlink_2858"/>
    <hyperlink ref="F2937" r:id="rId_hyperlink_2859"/>
    <hyperlink ref="F2938" r:id="rId_hyperlink_2860"/>
    <hyperlink ref="F2939" r:id="rId_hyperlink_2861"/>
    <hyperlink ref="F2940" r:id="rId_hyperlink_2862"/>
    <hyperlink ref="F2941" r:id="rId_hyperlink_2863"/>
    <hyperlink ref="F2942" r:id="rId_hyperlink_2864"/>
    <hyperlink ref="F2943" r:id="rId_hyperlink_2865"/>
    <hyperlink ref="F2944" r:id="rId_hyperlink_2866"/>
    <hyperlink ref="F2945" r:id="rId_hyperlink_2867"/>
    <hyperlink ref="F2946" r:id="rId_hyperlink_2868"/>
    <hyperlink ref="F2947" r:id="rId_hyperlink_2869"/>
    <hyperlink ref="F2948" r:id="rId_hyperlink_2870"/>
    <hyperlink ref="F2949" r:id="rId_hyperlink_2871"/>
    <hyperlink ref="F2950" r:id="rId_hyperlink_2872"/>
    <hyperlink ref="F2951" r:id="rId_hyperlink_2873"/>
    <hyperlink ref="F2952" r:id="rId_hyperlink_2874"/>
    <hyperlink ref="F2953" r:id="rId_hyperlink_2875"/>
    <hyperlink ref="F2954" r:id="rId_hyperlink_2876"/>
    <hyperlink ref="F2955" r:id="rId_hyperlink_2877"/>
    <hyperlink ref="F2956" r:id="rId_hyperlink_2878"/>
    <hyperlink ref="F2957" r:id="rId_hyperlink_2879"/>
    <hyperlink ref="F2958" r:id="rId_hyperlink_2880"/>
    <hyperlink ref="F2959" r:id="rId_hyperlink_2881"/>
    <hyperlink ref="F2960" r:id="rId_hyperlink_2882"/>
    <hyperlink ref="F2961" r:id="rId_hyperlink_2883"/>
    <hyperlink ref="F2962" r:id="rId_hyperlink_2884"/>
    <hyperlink ref="F2963" r:id="rId_hyperlink_2885"/>
    <hyperlink ref="F2964" r:id="rId_hyperlink_2886"/>
    <hyperlink ref="F2965" r:id="rId_hyperlink_2887"/>
    <hyperlink ref="F2966" r:id="rId_hyperlink_2888"/>
    <hyperlink ref="F2967" r:id="rId_hyperlink_2889"/>
    <hyperlink ref="F2968" r:id="rId_hyperlink_2890"/>
    <hyperlink ref="F2969" r:id="rId_hyperlink_2891"/>
    <hyperlink ref="F2970" r:id="rId_hyperlink_2892"/>
    <hyperlink ref="F2971" r:id="rId_hyperlink_2893"/>
    <hyperlink ref="F2972" r:id="rId_hyperlink_2894"/>
    <hyperlink ref="F2973" r:id="rId_hyperlink_2895"/>
    <hyperlink ref="F2974" r:id="rId_hyperlink_2896"/>
    <hyperlink ref="F2975" r:id="rId_hyperlink_2897"/>
    <hyperlink ref="F2976" r:id="rId_hyperlink_2898"/>
    <hyperlink ref="F2977" r:id="rId_hyperlink_2899"/>
    <hyperlink ref="F2978" r:id="rId_hyperlink_2900"/>
    <hyperlink ref="F2979" r:id="rId_hyperlink_2901"/>
    <hyperlink ref="F2980" r:id="rId_hyperlink_2902"/>
    <hyperlink ref="F2981" r:id="rId_hyperlink_2903"/>
    <hyperlink ref="F2982" r:id="rId_hyperlink_2904"/>
    <hyperlink ref="F2983" r:id="rId_hyperlink_2905"/>
    <hyperlink ref="F2984" r:id="rId_hyperlink_2906"/>
    <hyperlink ref="F2985" r:id="rId_hyperlink_2907"/>
    <hyperlink ref="F2986" r:id="rId_hyperlink_2908"/>
    <hyperlink ref="F2987" r:id="rId_hyperlink_2909"/>
    <hyperlink ref="F2988" r:id="rId_hyperlink_2910"/>
    <hyperlink ref="F2989" r:id="rId_hyperlink_2911"/>
    <hyperlink ref="F2990" r:id="rId_hyperlink_2912"/>
    <hyperlink ref="F2991" r:id="rId_hyperlink_2913"/>
    <hyperlink ref="F2992" r:id="rId_hyperlink_2914"/>
    <hyperlink ref="F2993" r:id="rId_hyperlink_2915"/>
    <hyperlink ref="F2994" r:id="rId_hyperlink_2916"/>
    <hyperlink ref="F2995" r:id="rId_hyperlink_2917"/>
    <hyperlink ref="F2996" r:id="rId_hyperlink_2918"/>
    <hyperlink ref="F2997" r:id="rId_hyperlink_2919"/>
    <hyperlink ref="F2998" r:id="rId_hyperlink_2920"/>
    <hyperlink ref="F2999" r:id="rId_hyperlink_2921"/>
    <hyperlink ref="F3000" r:id="rId_hyperlink_2922"/>
    <hyperlink ref="F3001" r:id="rId_hyperlink_2923"/>
    <hyperlink ref="F3002" r:id="rId_hyperlink_2924"/>
    <hyperlink ref="F3003" r:id="rId_hyperlink_2925"/>
    <hyperlink ref="F3004" r:id="rId_hyperlink_2926"/>
    <hyperlink ref="F3005" r:id="rId_hyperlink_2927"/>
    <hyperlink ref="F3006" r:id="rId_hyperlink_2928"/>
    <hyperlink ref="F3007" r:id="rId_hyperlink_2929"/>
    <hyperlink ref="F3008" r:id="rId_hyperlink_2930"/>
    <hyperlink ref="F3009" r:id="rId_hyperlink_2931"/>
    <hyperlink ref="F3010" r:id="rId_hyperlink_2932"/>
    <hyperlink ref="F3011" r:id="rId_hyperlink_2933"/>
    <hyperlink ref="F3012" r:id="rId_hyperlink_2934"/>
    <hyperlink ref="F3013" r:id="rId_hyperlink_2935"/>
    <hyperlink ref="F3014" r:id="rId_hyperlink_2936"/>
    <hyperlink ref="F3015" r:id="rId_hyperlink_2937"/>
    <hyperlink ref="F3016" r:id="rId_hyperlink_2938"/>
    <hyperlink ref="F3017" r:id="rId_hyperlink_2939"/>
    <hyperlink ref="F3018" r:id="rId_hyperlink_2940"/>
    <hyperlink ref="F3019" r:id="rId_hyperlink_2941"/>
    <hyperlink ref="F3020" r:id="rId_hyperlink_2942"/>
    <hyperlink ref="F3021" r:id="rId_hyperlink_2943"/>
    <hyperlink ref="F3022" r:id="rId_hyperlink_2944"/>
    <hyperlink ref="F3023" r:id="rId_hyperlink_2945"/>
    <hyperlink ref="F3024" r:id="rId_hyperlink_2946"/>
    <hyperlink ref="F3025" r:id="rId_hyperlink_2947"/>
    <hyperlink ref="F3026" r:id="rId_hyperlink_2948"/>
    <hyperlink ref="F3027" r:id="rId_hyperlink_2949"/>
    <hyperlink ref="F3028" r:id="rId_hyperlink_2950"/>
    <hyperlink ref="F3029" r:id="rId_hyperlink_2951"/>
    <hyperlink ref="F3030" r:id="rId_hyperlink_2952"/>
    <hyperlink ref="F3031" r:id="rId_hyperlink_2953"/>
    <hyperlink ref="F3032" r:id="rId_hyperlink_2954"/>
    <hyperlink ref="F3033" r:id="rId_hyperlink_2955"/>
    <hyperlink ref="F3034" r:id="rId_hyperlink_2956"/>
    <hyperlink ref="F3035" r:id="rId_hyperlink_2957"/>
    <hyperlink ref="F3036" r:id="rId_hyperlink_2958"/>
    <hyperlink ref="F3037" r:id="rId_hyperlink_2959"/>
    <hyperlink ref="F3038" r:id="rId_hyperlink_2960"/>
    <hyperlink ref="F3039" r:id="rId_hyperlink_2961"/>
    <hyperlink ref="F3040" r:id="rId_hyperlink_2962"/>
    <hyperlink ref="F3041" r:id="rId_hyperlink_2963"/>
    <hyperlink ref="F3042" r:id="rId_hyperlink_2964"/>
    <hyperlink ref="F3043" r:id="rId_hyperlink_2965"/>
    <hyperlink ref="F3044" r:id="rId_hyperlink_2966"/>
    <hyperlink ref="F3045" r:id="rId_hyperlink_2967"/>
    <hyperlink ref="F3046" r:id="rId_hyperlink_2968"/>
    <hyperlink ref="F3047" r:id="rId_hyperlink_2969"/>
    <hyperlink ref="F3048" r:id="rId_hyperlink_2970"/>
    <hyperlink ref="F3049" r:id="rId_hyperlink_2971"/>
    <hyperlink ref="F3050" r:id="rId_hyperlink_2972"/>
    <hyperlink ref="F3051" r:id="rId_hyperlink_2973"/>
    <hyperlink ref="F3052" r:id="rId_hyperlink_2974"/>
    <hyperlink ref="F3053" r:id="rId_hyperlink_2975"/>
    <hyperlink ref="F3054" r:id="rId_hyperlink_2976"/>
    <hyperlink ref="F3055" r:id="rId_hyperlink_2977"/>
    <hyperlink ref="F3056" r:id="rId_hyperlink_2978"/>
    <hyperlink ref="F3057" r:id="rId_hyperlink_2979"/>
    <hyperlink ref="F3058" r:id="rId_hyperlink_2980"/>
    <hyperlink ref="F3059" r:id="rId_hyperlink_2981"/>
    <hyperlink ref="F3060" r:id="rId_hyperlink_2982"/>
    <hyperlink ref="F3061" r:id="rId_hyperlink_2983"/>
    <hyperlink ref="F3062" r:id="rId_hyperlink_2984"/>
    <hyperlink ref="F3063" r:id="rId_hyperlink_2985"/>
    <hyperlink ref="F3064" r:id="rId_hyperlink_2986"/>
    <hyperlink ref="F3065" r:id="rId_hyperlink_2987"/>
    <hyperlink ref="F3066" r:id="rId_hyperlink_2988"/>
    <hyperlink ref="F3067" r:id="rId_hyperlink_2989"/>
    <hyperlink ref="F3068" r:id="rId_hyperlink_2990"/>
    <hyperlink ref="F3069" r:id="rId_hyperlink_2991"/>
    <hyperlink ref="F3070" r:id="rId_hyperlink_2992"/>
    <hyperlink ref="F3071" r:id="rId_hyperlink_2993"/>
    <hyperlink ref="F3072" r:id="rId_hyperlink_2994"/>
    <hyperlink ref="F3073" r:id="rId_hyperlink_2995"/>
    <hyperlink ref="F3074" r:id="rId_hyperlink_2996"/>
    <hyperlink ref="F3075" r:id="rId_hyperlink_2997"/>
    <hyperlink ref="F3076" r:id="rId_hyperlink_2998"/>
    <hyperlink ref="F3077" r:id="rId_hyperlink_2999"/>
    <hyperlink ref="F3078" r:id="rId_hyperlink_3000"/>
    <hyperlink ref="F3079" r:id="rId_hyperlink_3001"/>
    <hyperlink ref="F3080" r:id="rId_hyperlink_3002"/>
    <hyperlink ref="F3081" r:id="rId_hyperlink_3003"/>
    <hyperlink ref="F3082" r:id="rId_hyperlink_3004"/>
    <hyperlink ref="F3083" r:id="rId_hyperlink_3005"/>
    <hyperlink ref="F3084" r:id="rId_hyperlink_3006"/>
    <hyperlink ref="F3085" r:id="rId_hyperlink_3007"/>
    <hyperlink ref="F3086" r:id="rId_hyperlink_3008"/>
    <hyperlink ref="F3087" r:id="rId_hyperlink_3009"/>
    <hyperlink ref="F3088" r:id="rId_hyperlink_3010"/>
    <hyperlink ref="F3089" r:id="rId_hyperlink_3011"/>
    <hyperlink ref="F3090" r:id="rId_hyperlink_3012"/>
    <hyperlink ref="F3091" r:id="rId_hyperlink_3013"/>
    <hyperlink ref="F3092" r:id="rId_hyperlink_3014"/>
    <hyperlink ref="F3093" r:id="rId_hyperlink_3015"/>
    <hyperlink ref="F3094" r:id="rId_hyperlink_3016"/>
    <hyperlink ref="F3095" r:id="rId_hyperlink_3017"/>
    <hyperlink ref="F3096" r:id="rId_hyperlink_3018"/>
    <hyperlink ref="F3097" r:id="rId_hyperlink_3019"/>
    <hyperlink ref="F3098" r:id="rId_hyperlink_3020"/>
    <hyperlink ref="F3099" r:id="rId_hyperlink_3021"/>
    <hyperlink ref="F3100" r:id="rId_hyperlink_3022"/>
    <hyperlink ref="F3101" r:id="rId_hyperlink_3023"/>
    <hyperlink ref="F3102" r:id="rId_hyperlink_3024"/>
    <hyperlink ref="F3103" r:id="rId_hyperlink_3025"/>
    <hyperlink ref="F3104" r:id="rId_hyperlink_3026"/>
    <hyperlink ref="F3105" r:id="rId_hyperlink_3027"/>
    <hyperlink ref="F3106" r:id="rId_hyperlink_3028"/>
    <hyperlink ref="F3107" r:id="rId_hyperlink_3029"/>
    <hyperlink ref="F3108" r:id="rId_hyperlink_3030"/>
    <hyperlink ref="F3109" r:id="rId_hyperlink_3031"/>
    <hyperlink ref="F3110" r:id="rId_hyperlink_3032"/>
    <hyperlink ref="F3111" r:id="rId_hyperlink_3033"/>
    <hyperlink ref="F3112" r:id="rId_hyperlink_3034"/>
    <hyperlink ref="F3113" r:id="rId_hyperlink_3035"/>
    <hyperlink ref="F3114" r:id="rId_hyperlink_3036"/>
    <hyperlink ref="F3115" r:id="rId_hyperlink_3037"/>
    <hyperlink ref="F3116" r:id="rId_hyperlink_3038"/>
    <hyperlink ref="F3117" r:id="rId_hyperlink_3039"/>
    <hyperlink ref="F3118" r:id="rId_hyperlink_3040"/>
    <hyperlink ref="F3119" r:id="rId_hyperlink_3041"/>
    <hyperlink ref="F3120" r:id="rId_hyperlink_3042"/>
    <hyperlink ref="F3121" r:id="rId_hyperlink_3043"/>
    <hyperlink ref="F3122" r:id="rId_hyperlink_3044"/>
    <hyperlink ref="F3123" r:id="rId_hyperlink_3045"/>
    <hyperlink ref="F3124" r:id="rId_hyperlink_3046"/>
    <hyperlink ref="F3125" r:id="rId_hyperlink_3047"/>
    <hyperlink ref="F3126" r:id="rId_hyperlink_3048"/>
    <hyperlink ref="F3127" r:id="rId_hyperlink_3049"/>
    <hyperlink ref="F3129" r:id="rId_hyperlink_3050"/>
    <hyperlink ref="F3130" r:id="rId_hyperlink_3051"/>
    <hyperlink ref="F3131" r:id="rId_hyperlink_3052"/>
    <hyperlink ref="F3132" r:id="rId_hyperlink_3053"/>
    <hyperlink ref="F3133" r:id="rId_hyperlink_3054"/>
    <hyperlink ref="F3134" r:id="rId_hyperlink_3055"/>
    <hyperlink ref="F3135" r:id="rId_hyperlink_3056"/>
    <hyperlink ref="F3136" r:id="rId_hyperlink_3057"/>
    <hyperlink ref="F3137" r:id="rId_hyperlink_3058"/>
    <hyperlink ref="F3138" r:id="rId_hyperlink_3059"/>
    <hyperlink ref="F3139" r:id="rId_hyperlink_3060"/>
    <hyperlink ref="F3140" r:id="rId_hyperlink_3061"/>
    <hyperlink ref="F3141" r:id="rId_hyperlink_3062"/>
    <hyperlink ref="F3142" r:id="rId_hyperlink_3063"/>
    <hyperlink ref="F3143" r:id="rId_hyperlink_3064"/>
    <hyperlink ref="F3144" r:id="rId_hyperlink_3065"/>
    <hyperlink ref="F3145" r:id="rId_hyperlink_3066"/>
    <hyperlink ref="F3146" r:id="rId_hyperlink_3067"/>
    <hyperlink ref="F3147" r:id="rId_hyperlink_3068"/>
    <hyperlink ref="F3148" r:id="rId_hyperlink_3069"/>
    <hyperlink ref="F3149" r:id="rId_hyperlink_3070"/>
    <hyperlink ref="F3150" r:id="rId_hyperlink_3071"/>
    <hyperlink ref="F3151" r:id="rId_hyperlink_3072"/>
    <hyperlink ref="F3152" r:id="rId_hyperlink_3073"/>
    <hyperlink ref="F3153" r:id="rId_hyperlink_3074"/>
    <hyperlink ref="F3154" r:id="rId_hyperlink_3075"/>
    <hyperlink ref="F3155" r:id="rId_hyperlink_3076"/>
    <hyperlink ref="F3156" r:id="rId_hyperlink_3077"/>
    <hyperlink ref="F3157" r:id="rId_hyperlink_3078"/>
    <hyperlink ref="F3158" r:id="rId_hyperlink_3079"/>
    <hyperlink ref="F3159" r:id="rId_hyperlink_3080"/>
    <hyperlink ref="F3160" r:id="rId_hyperlink_3081"/>
    <hyperlink ref="F3161" r:id="rId_hyperlink_3082"/>
    <hyperlink ref="F3162" r:id="rId_hyperlink_3083"/>
    <hyperlink ref="F3163" r:id="rId_hyperlink_3084"/>
    <hyperlink ref="F3164" r:id="rId_hyperlink_3085"/>
    <hyperlink ref="F3165" r:id="rId_hyperlink_3086"/>
    <hyperlink ref="F3166" r:id="rId_hyperlink_3087"/>
    <hyperlink ref="F3167" r:id="rId_hyperlink_3088"/>
    <hyperlink ref="F3168" r:id="rId_hyperlink_3089"/>
    <hyperlink ref="F3169" r:id="rId_hyperlink_3090"/>
    <hyperlink ref="F3170" r:id="rId_hyperlink_3091"/>
    <hyperlink ref="F3171" r:id="rId_hyperlink_3092"/>
    <hyperlink ref="F3172" r:id="rId_hyperlink_3093"/>
    <hyperlink ref="F3173" r:id="rId_hyperlink_3094"/>
    <hyperlink ref="F3174" r:id="rId_hyperlink_3095"/>
    <hyperlink ref="F3175" r:id="rId_hyperlink_3096"/>
    <hyperlink ref="F3176" r:id="rId_hyperlink_3097"/>
    <hyperlink ref="F3177" r:id="rId_hyperlink_3098"/>
    <hyperlink ref="F3178" r:id="rId_hyperlink_3099"/>
    <hyperlink ref="F3179" r:id="rId_hyperlink_3100"/>
    <hyperlink ref="F3180" r:id="rId_hyperlink_3101"/>
    <hyperlink ref="F3181" r:id="rId_hyperlink_3102"/>
    <hyperlink ref="F3182" r:id="rId_hyperlink_3103"/>
    <hyperlink ref="F3183" r:id="rId_hyperlink_3104"/>
    <hyperlink ref="F3184" r:id="rId_hyperlink_3105"/>
    <hyperlink ref="F3185" r:id="rId_hyperlink_3106"/>
    <hyperlink ref="F3186" r:id="rId_hyperlink_3107"/>
    <hyperlink ref="F3187" r:id="rId_hyperlink_3108"/>
    <hyperlink ref="F3188" r:id="rId_hyperlink_3109"/>
    <hyperlink ref="F3189" r:id="rId_hyperlink_3110"/>
    <hyperlink ref="F3190" r:id="rId_hyperlink_3111"/>
    <hyperlink ref="F3191" r:id="rId_hyperlink_3112"/>
    <hyperlink ref="F3192" r:id="rId_hyperlink_3113"/>
    <hyperlink ref="F3193" r:id="rId_hyperlink_3114"/>
    <hyperlink ref="F3194" r:id="rId_hyperlink_3115"/>
    <hyperlink ref="F3195" r:id="rId_hyperlink_3116"/>
    <hyperlink ref="F3196" r:id="rId_hyperlink_3117"/>
    <hyperlink ref="F3197" r:id="rId_hyperlink_3118"/>
    <hyperlink ref="F3198" r:id="rId_hyperlink_3119"/>
    <hyperlink ref="F3199" r:id="rId_hyperlink_3120"/>
    <hyperlink ref="F3200" r:id="rId_hyperlink_3121"/>
    <hyperlink ref="F3201" r:id="rId_hyperlink_3122"/>
    <hyperlink ref="F3202" r:id="rId_hyperlink_3123"/>
    <hyperlink ref="F3203" r:id="rId_hyperlink_3124"/>
    <hyperlink ref="F3204" r:id="rId_hyperlink_3125"/>
    <hyperlink ref="F3205" r:id="rId_hyperlink_3126"/>
    <hyperlink ref="F3206" r:id="rId_hyperlink_3127"/>
    <hyperlink ref="F3207" r:id="rId_hyperlink_3128"/>
    <hyperlink ref="F3208" r:id="rId_hyperlink_3129"/>
    <hyperlink ref="F3209" r:id="rId_hyperlink_3130"/>
    <hyperlink ref="F3210" r:id="rId_hyperlink_3131"/>
    <hyperlink ref="F3211" r:id="rId_hyperlink_3132"/>
    <hyperlink ref="F3212" r:id="rId_hyperlink_3133"/>
    <hyperlink ref="F3213" r:id="rId_hyperlink_3134"/>
    <hyperlink ref="F3214" r:id="rId_hyperlink_3135"/>
    <hyperlink ref="F3215" r:id="rId_hyperlink_3136"/>
    <hyperlink ref="F3216" r:id="rId_hyperlink_3137"/>
    <hyperlink ref="F3217" r:id="rId_hyperlink_3138"/>
    <hyperlink ref="F3218" r:id="rId_hyperlink_3139"/>
    <hyperlink ref="F3219" r:id="rId_hyperlink_3140"/>
    <hyperlink ref="F3220" r:id="rId_hyperlink_3141"/>
    <hyperlink ref="F3221" r:id="rId_hyperlink_3142"/>
    <hyperlink ref="F3222" r:id="rId_hyperlink_3143"/>
    <hyperlink ref="F3223" r:id="rId_hyperlink_3144"/>
    <hyperlink ref="F3224" r:id="rId_hyperlink_3145"/>
    <hyperlink ref="F3225" r:id="rId_hyperlink_3146"/>
    <hyperlink ref="F3226" r:id="rId_hyperlink_3147"/>
    <hyperlink ref="F3227" r:id="rId_hyperlink_3148"/>
    <hyperlink ref="F3228" r:id="rId_hyperlink_3149"/>
    <hyperlink ref="F3229" r:id="rId_hyperlink_3150"/>
    <hyperlink ref="F3230" r:id="rId_hyperlink_3151"/>
    <hyperlink ref="F3231" r:id="rId_hyperlink_3152"/>
    <hyperlink ref="F3232" r:id="rId_hyperlink_3153"/>
    <hyperlink ref="F3233" r:id="rId_hyperlink_3154"/>
    <hyperlink ref="F3234" r:id="rId_hyperlink_3155"/>
    <hyperlink ref="F3235" r:id="rId_hyperlink_3156"/>
    <hyperlink ref="F3236" r:id="rId_hyperlink_3157"/>
    <hyperlink ref="F3237" r:id="rId_hyperlink_3158"/>
    <hyperlink ref="F3238" r:id="rId_hyperlink_3159"/>
    <hyperlink ref="F3239" r:id="rId_hyperlink_3160"/>
    <hyperlink ref="F3240" r:id="rId_hyperlink_3161"/>
    <hyperlink ref="F3241" r:id="rId_hyperlink_3162"/>
    <hyperlink ref="F3242" r:id="rId_hyperlink_3163"/>
    <hyperlink ref="F3243" r:id="rId_hyperlink_3164"/>
    <hyperlink ref="F3244" r:id="rId_hyperlink_3165"/>
    <hyperlink ref="F3245" r:id="rId_hyperlink_3166"/>
    <hyperlink ref="F3246" r:id="rId_hyperlink_3167"/>
    <hyperlink ref="F3247" r:id="rId_hyperlink_3168"/>
    <hyperlink ref="F3248" r:id="rId_hyperlink_3169"/>
    <hyperlink ref="F3249" r:id="rId_hyperlink_3170"/>
    <hyperlink ref="F3250" r:id="rId_hyperlink_3171"/>
    <hyperlink ref="F3251" r:id="rId_hyperlink_3172"/>
    <hyperlink ref="F3252" r:id="rId_hyperlink_3173"/>
    <hyperlink ref="F3253" r:id="rId_hyperlink_3174"/>
    <hyperlink ref="F3254" r:id="rId_hyperlink_3175"/>
    <hyperlink ref="F3255" r:id="rId_hyperlink_3176"/>
    <hyperlink ref="F3256" r:id="rId_hyperlink_3177"/>
    <hyperlink ref="F3257" r:id="rId_hyperlink_3178"/>
    <hyperlink ref="F3258" r:id="rId_hyperlink_3179"/>
    <hyperlink ref="F3259" r:id="rId_hyperlink_3180"/>
    <hyperlink ref="F3260" r:id="rId_hyperlink_3181"/>
    <hyperlink ref="F3261" r:id="rId_hyperlink_3182"/>
    <hyperlink ref="F3262" r:id="rId_hyperlink_3183"/>
    <hyperlink ref="F3263" r:id="rId_hyperlink_3184"/>
    <hyperlink ref="F3264" r:id="rId_hyperlink_3185"/>
    <hyperlink ref="F3265" r:id="rId_hyperlink_3186"/>
    <hyperlink ref="F3266" r:id="rId_hyperlink_3187"/>
    <hyperlink ref="F3267" r:id="rId_hyperlink_3188"/>
    <hyperlink ref="F3268" r:id="rId_hyperlink_3189"/>
    <hyperlink ref="F3269" r:id="rId_hyperlink_3190"/>
    <hyperlink ref="F3270" r:id="rId_hyperlink_3191"/>
    <hyperlink ref="F3271" r:id="rId_hyperlink_3192"/>
    <hyperlink ref="F3272" r:id="rId_hyperlink_3193"/>
    <hyperlink ref="F3273" r:id="rId_hyperlink_3194"/>
    <hyperlink ref="F3274" r:id="rId_hyperlink_3195"/>
    <hyperlink ref="F3275" r:id="rId_hyperlink_3196"/>
    <hyperlink ref="F3276" r:id="rId_hyperlink_3197"/>
    <hyperlink ref="F3277" r:id="rId_hyperlink_3198"/>
    <hyperlink ref="F3278" r:id="rId_hyperlink_3199"/>
    <hyperlink ref="F3279" r:id="rId_hyperlink_3200"/>
    <hyperlink ref="F3280" r:id="rId_hyperlink_3201"/>
    <hyperlink ref="F3281" r:id="rId_hyperlink_3202"/>
    <hyperlink ref="F3282" r:id="rId_hyperlink_3203"/>
    <hyperlink ref="F3283" r:id="rId_hyperlink_3204"/>
    <hyperlink ref="F3284" r:id="rId_hyperlink_3205"/>
    <hyperlink ref="F3285" r:id="rId_hyperlink_3206"/>
    <hyperlink ref="F3286" r:id="rId_hyperlink_3207"/>
    <hyperlink ref="F3287" r:id="rId_hyperlink_3208"/>
    <hyperlink ref="F3288" r:id="rId_hyperlink_3209"/>
    <hyperlink ref="F3289" r:id="rId_hyperlink_3210"/>
    <hyperlink ref="F3290" r:id="rId_hyperlink_3211"/>
    <hyperlink ref="F3291" r:id="rId_hyperlink_3212"/>
    <hyperlink ref="F3292" r:id="rId_hyperlink_3213"/>
    <hyperlink ref="F3293" r:id="rId_hyperlink_3214"/>
    <hyperlink ref="F3294" r:id="rId_hyperlink_3215"/>
    <hyperlink ref="F3295" r:id="rId_hyperlink_3216"/>
    <hyperlink ref="F3296" r:id="rId_hyperlink_3217"/>
    <hyperlink ref="F3297" r:id="rId_hyperlink_3218"/>
    <hyperlink ref="F3298" r:id="rId_hyperlink_3219"/>
    <hyperlink ref="F3299" r:id="rId_hyperlink_3220"/>
    <hyperlink ref="F3300" r:id="rId_hyperlink_3221"/>
    <hyperlink ref="F3301" r:id="rId_hyperlink_3222"/>
    <hyperlink ref="F3302" r:id="rId_hyperlink_3223"/>
    <hyperlink ref="F3303" r:id="rId_hyperlink_3224"/>
    <hyperlink ref="F3304" r:id="rId_hyperlink_3225"/>
    <hyperlink ref="F3305" r:id="rId_hyperlink_3226"/>
    <hyperlink ref="F3306" r:id="rId_hyperlink_3227"/>
    <hyperlink ref="F3307" r:id="rId_hyperlink_3228"/>
    <hyperlink ref="F3308" r:id="rId_hyperlink_3229"/>
    <hyperlink ref="F3309" r:id="rId_hyperlink_3230"/>
    <hyperlink ref="F3310" r:id="rId_hyperlink_3231"/>
    <hyperlink ref="F3311" r:id="rId_hyperlink_3232"/>
    <hyperlink ref="F3312" r:id="rId_hyperlink_3233"/>
    <hyperlink ref="F3313" r:id="rId_hyperlink_3234"/>
    <hyperlink ref="F3314" r:id="rId_hyperlink_3235"/>
    <hyperlink ref="F3315" r:id="rId_hyperlink_3236"/>
    <hyperlink ref="F3316" r:id="rId_hyperlink_3237"/>
    <hyperlink ref="F3317" r:id="rId_hyperlink_3238"/>
    <hyperlink ref="F3318" r:id="rId_hyperlink_3239"/>
    <hyperlink ref="F3319" r:id="rId_hyperlink_3240"/>
    <hyperlink ref="F3320" r:id="rId_hyperlink_3241"/>
    <hyperlink ref="F3321" r:id="rId_hyperlink_3242"/>
    <hyperlink ref="F3322" r:id="rId_hyperlink_3243"/>
    <hyperlink ref="F3323" r:id="rId_hyperlink_3244"/>
    <hyperlink ref="F3324" r:id="rId_hyperlink_3245"/>
    <hyperlink ref="F3325" r:id="rId_hyperlink_3246"/>
    <hyperlink ref="F3326" r:id="rId_hyperlink_3247"/>
    <hyperlink ref="F3327" r:id="rId_hyperlink_3248"/>
    <hyperlink ref="F3328" r:id="rId_hyperlink_3249"/>
    <hyperlink ref="F3329" r:id="rId_hyperlink_3250"/>
    <hyperlink ref="F3330" r:id="rId_hyperlink_3251"/>
    <hyperlink ref="F3331" r:id="rId_hyperlink_3252"/>
    <hyperlink ref="F3332" r:id="rId_hyperlink_3253"/>
    <hyperlink ref="F3333" r:id="rId_hyperlink_3254"/>
    <hyperlink ref="F3334" r:id="rId_hyperlink_3255"/>
    <hyperlink ref="F3335" r:id="rId_hyperlink_3256"/>
    <hyperlink ref="F3336" r:id="rId_hyperlink_3257"/>
    <hyperlink ref="F3337" r:id="rId_hyperlink_3258"/>
    <hyperlink ref="F3338" r:id="rId_hyperlink_3259"/>
    <hyperlink ref="F3339" r:id="rId_hyperlink_3260"/>
    <hyperlink ref="F3340" r:id="rId_hyperlink_3261"/>
    <hyperlink ref="F3341" r:id="rId_hyperlink_3262"/>
    <hyperlink ref="F3342" r:id="rId_hyperlink_3263"/>
    <hyperlink ref="F3343" r:id="rId_hyperlink_3264"/>
    <hyperlink ref="F3344" r:id="rId_hyperlink_3265"/>
    <hyperlink ref="F3345" r:id="rId_hyperlink_3266"/>
    <hyperlink ref="F3346" r:id="rId_hyperlink_3267"/>
    <hyperlink ref="F3347" r:id="rId_hyperlink_3268"/>
    <hyperlink ref="F3348" r:id="rId_hyperlink_3269"/>
    <hyperlink ref="F3349" r:id="rId_hyperlink_3270"/>
    <hyperlink ref="F3350" r:id="rId_hyperlink_3271"/>
    <hyperlink ref="F3351" r:id="rId_hyperlink_3272"/>
    <hyperlink ref="F3352" r:id="rId_hyperlink_3273"/>
    <hyperlink ref="F3353" r:id="rId_hyperlink_3274"/>
    <hyperlink ref="F3354" r:id="rId_hyperlink_3275"/>
    <hyperlink ref="F3355" r:id="rId_hyperlink_3276"/>
    <hyperlink ref="F3356" r:id="rId_hyperlink_3277"/>
    <hyperlink ref="F3357" r:id="rId_hyperlink_3278"/>
    <hyperlink ref="F3358" r:id="rId_hyperlink_3279"/>
    <hyperlink ref="F3359" r:id="rId_hyperlink_3280"/>
    <hyperlink ref="F3360" r:id="rId_hyperlink_3281"/>
    <hyperlink ref="F3361" r:id="rId_hyperlink_3282"/>
    <hyperlink ref="F3362" r:id="rId_hyperlink_3283"/>
    <hyperlink ref="F3363" r:id="rId_hyperlink_3284"/>
    <hyperlink ref="F3364" r:id="rId_hyperlink_3285"/>
    <hyperlink ref="F3365" r:id="rId_hyperlink_3286"/>
    <hyperlink ref="F3366" r:id="rId_hyperlink_3287"/>
    <hyperlink ref="F3367" r:id="rId_hyperlink_3288"/>
    <hyperlink ref="F3368" r:id="rId_hyperlink_3289"/>
    <hyperlink ref="F3369" r:id="rId_hyperlink_3290"/>
    <hyperlink ref="F3370" r:id="rId_hyperlink_3291"/>
    <hyperlink ref="F3371" r:id="rId_hyperlink_3292"/>
    <hyperlink ref="F3372" r:id="rId_hyperlink_3293"/>
    <hyperlink ref="F3373" r:id="rId_hyperlink_3294"/>
    <hyperlink ref="F3374" r:id="rId_hyperlink_3295"/>
    <hyperlink ref="F3375" r:id="rId_hyperlink_3296"/>
    <hyperlink ref="F3376" r:id="rId_hyperlink_3297"/>
    <hyperlink ref="F3377" r:id="rId_hyperlink_3298"/>
    <hyperlink ref="F3378" r:id="rId_hyperlink_3299"/>
    <hyperlink ref="F3379" r:id="rId_hyperlink_3300"/>
    <hyperlink ref="F3380" r:id="rId_hyperlink_3301"/>
    <hyperlink ref="F3381" r:id="rId_hyperlink_3302"/>
    <hyperlink ref="F3382" r:id="rId_hyperlink_3303"/>
    <hyperlink ref="F3383" r:id="rId_hyperlink_3304"/>
    <hyperlink ref="F3384" r:id="rId_hyperlink_3305"/>
    <hyperlink ref="F3385" r:id="rId_hyperlink_3306"/>
    <hyperlink ref="F3386" r:id="rId_hyperlink_3307"/>
    <hyperlink ref="F3387" r:id="rId_hyperlink_3308"/>
    <hyperlink ref="F3388" r:id="rId_hyperlink_3309"/>
    <hyperlink ref="F3389" r:id="rId_hyperlink_3310"/>
    <hyperlink ref="F3390" r:id="rId_hyperlink_3311"/>
    <hyperlink ref="F3391" r:id="rId_hyperlink_3312"/>
    <hyperlink ref="F3392" r:id="rId_hyperlink_3313"/>
    <hyperlink ref="F3393" r:id="rId_hyperlink_3314"/>
    <hyperlink ref="F3394" r:id="rId_hyperlink_3315"/>
    <hyperlink ref="F3395" r:id="rId_hyperlink_3316"/>
    <hyperlink ref="F3396" r:id="rId_hyperlink_3317"/>
    <hyperlink ref="F3397" r:id="rId_hyperlink_3318"/>
    <hyperlink ref="F3398" r:id="rId_hyperlink_3319"/>
    <hyperlink ref="F3399" r:id="rId_hyperlink_3320"/>
    <hyperlink ref="F3400" r:id="rId_hyperlink_3321"/>
    <hyperlink ref="F3401" r:id="rId_hyperlink_3322"/>
    <hyperlink ref="F3402" r:id="rId_hyperlink_3323"/>
    <hyperlink ref="F3403" r:id="rId_hyperlink_3324"/>
    <hyperlink ref="F3404" r:id="rId_hyperlink_3325"/>
    <hyperlink ref="F3405" r:id="rId_hyperlink_3326"/>
    <hyperlink ref="F3406" r:id="rId_hyperlink_3327"/>
    <hyperlink ref="F3407" r:id="rId_hyperlink_3328"/>
    <hyperlink ref="F3408" r:id="rId_hyperlink_3329"/>
    <hyperlink ref="F3409" r:id="rId_hyperlink_3330"/>
    <hyperlink ref="F3410" r:id="rId_hyperlink_3331"/>
    <hyperlink ref="F3411" r:id="rId_hyperlink_3332"/>
    <hyperlink ref="F3412" r:id="rId_hyperlink_3333"/>
    <hyperlink ref="F3413" r:id="rId_hyperlink_3334"/>
    <hyperlink ref="F3414" r:id="rId_hyperlink_3335"/>
    <hyperlink ref="F3415" r:id="rId_hyperlink_3336"/>
    <hyperlink ref="F3416" r:id="rId_hyperlink_3337"/>
    <hyperlink ref="F3417" r:id="rId_hyperlink_3338"/>
    <hyperlink ref="F3418" r:id="rId_hyperlink_3339"/>
    <hyperlink ref="F3419" r:id="rId_hyperlink_3340"/>
    <hyperlink ref="F3420" r:id="rId_hyperlink_3341"/>
    <hyperlink ref="F3421" r:id="rId_hyperlink_3342"/>
    <hyperlink ref="F3422" r:id="rId_hyperlink_3343"/>
    <hyperlink ref="F3423" r:id="rId_hyperlink_3344"/>
    <hyperlink ref="F3424" r:id="rId_hyperlink_3345"/>
    <hyperlink ref="F3425" r:id="rId_hyperlink_3346"/>
    <hyperlink ref="F3426" r:id="rId_hyperlink_3347"/>
    <hyperlink ref="F3427" r:id="rId_hyperlink_3348"/>
    <hyperlink ref="F3428" r:id="rId_hyperlink_3349"/>
    <hyperlink ref="F3429" r:id="rId_hyperlink_3350"/>
    <hyperlink ref="F3430" r:id="rId_hyperlink_3351"/>
    <hyperlink ref="F3431" r:id="rId_hyperlink_3352"/>
    <hyperlink ref="F3432" r:id="rId_hyperlink_3353"/>
    <hyperlink ref="F3433" r:id="rId_hyperlink_3354"/>
    <hyperlink ref="F3434" r:id="rId_hyperlink_3355"/>
    <hyperlink ref="F3435" r:id="rId_hyperlink_3356"/>
    <hyperlink ref="F3436" r:id="rId_hyperlink_3357"/>
    <hyperlink ref="F3437" r:id="rId_hyperlink_3358"/>
    <hyperlink ref="F3438" r:id="rId_hyperlink_3359"/>
    <hyperlink ref="F3439" r:id="rId_hyperlink_3360"/>
    <hyperlink ref="F3440" r:id="rId_hyperlink_3361"/>
    <hyperlink ref="F3441" r:id="rId_hyperlink_3362"/>
    <hyperlink ref="F3442" r:id="rId_hyperlink_3363"/>
    <hyperlink ref="F3443" r:id="rId_hyperlink_3364"/>
    <hyperlink ref="F3444" r:id="rId_hyperlink_3365"/>
    <hyperlink ref="F3445" r:id="rId_hyperlink_3366"/>
    <hyperlink ref="F3446" r:id="rId_hyperlink_3367"/>
    <hyperlink ref="F3447" r:id="rId_hyperlink_3368"/>
    <hyperlink ref="F3448" r:id="rId_hyperlink_3369"/>
    <hyperlink ref="F3449" r:id="rId_hyperlink_3370"/>
    <hyperlink ref="F3450" r:id="rId_hyperlink_3371"/>
    <hyperlink ref="F3451" r:id="rId_hyperlink_3372"/>
    <hyperlink ref="F3452" r:id="rId_hyperlink_3373"/>
    <hyperlink ref="F3453" r:id="rId_hyperlink_3374"/>
    <hyperlink ref="F3454" r:id="rId_hyperlink_3375"/>
    <hyperlink ref="F3455" r:id="rId_hyperlink_3376"/>
    <hyperlink ref="F3456" r:id="rId_hyperlink_3377"/>
    <hyperlink ref="F3457" r:id="rId_hyperlink_3378"/>
    <hyperlink ref="F3458" r:id="rId_hyperlink_3379"/>
    <hyperlink ref="F3459" r:id="rId_hyperlink_3380"/>
    <hyperlink ref="F3460" r:id="rId_hyperlink_3381"/>
    <hyperlink ref="F3461" r:id="rId_hyperlink_3382"/>
    <hyperlink ref="F3462" r:id="rId_hyperlink_3383"/>
    <hyperlink ref="F3463" r:id="rId_hyperlink_3384"/>
    <hyperlink ref="F3464" r:id="rId_hyperlink_3385"/>
    <hyperlink ref="F3465" r:id="rId_hyperlink_3386"/>
    <hyperlink ref="F3466" r:id="rId_hyperlink_3387"/>
    <hyperlink ref="F3467" r:id="rId_hyperlink_3388"/>
    <hyperlink ref="F3468" r:id="rId_hyperlink_3389"/>
    <hyperlink ref="F3469" r:id="rId_hyperlink_3390"/>
    <hyperlink ref="F3470" r:id="rId_hyperlink_3391"/>
    <hyperlink ref="F3471" r:id="rId_hyperlink_3392"/>
    <hyperlink ref="F3472" r:id="rId_hyperlink_3393"/>
    <hyperlink ref="F3473" r:id="rId_hyperlink_3394"/>
    <hyperlink ref="F3474" r:id="rId_hyperlink_3395"/>
    <hyperlink ref="F3475" r:id="rId_hyperlink_3396"/>
    <hyperlink ref="F3476" r:id="rId_hyperlink_3397"/>
    <hyperlink ref="F3477" r:id="rId_hyperlink_3398"/>
    <hyperlink ref="F3478" r:id="rId_hyperlink_3399"/>
    <hyperlink ref="F3479" r:id="rId_hyperlink_3400"/>
    <hyperlink ref="F3480" r:id="rId_hyperlink_3401"/>
    <hyperlink ref="F3481" r:id="rId_hyperlink_3402"/>
    <hyperlink ref="F3482" r:id="rId_hyperlink_3403"/>
    <hyperlink ref="F3483" r:id="rId_hyperlink_3404"/>
    <hyperlink ref="F3484" r:id="rId_hyperlink_3405"/>
    <hyperlink ref="F3485" r:id="rId_hyperlink_3406"/>
    <hyperlink ref="F3486" r:id="rId_hyperlink_3407"/>
    <hyperlink ref="F3487" r:id="rId_hyperlink_3408"/>
    <hyperlink ref="F3488" r:id="rId_hyperlink_3409"/>
    <hyperlink ref="F3489" r:id="rId_hyperlink_3410"/>
    <hyperlink ref="F3490" r:id="rId_hyperlink_3411"/>
    <hyperlink ref="F3491" r:id="rId_hyperlink_3412"/>
    <hyperlink ref="F3492" r:id="rId_hyperlink_3413"/>
    <hyperlink ref="F3493" r:id="rId_hyperlink_3414"/>
    <hyperlink ref="F3494" r:id="rId_hyperlink_3415"/>
    <hyperlink ref="F3495" r:id="rId_hyperlink_3416"/>
    <hyperlink ref="F3496" r:id="rId_hyperlink_3417"/>
    <hyperlink ref="F3497" r:id="rId_hyperlink_3418"/>
    <hyperlink ref="F3498" r:id="rId_hyperlink_3419"/>
    <hyperlink ref="F3499" r:id="rId_hyperlink_3420"/>
    <hyperlink ref="F3500" r:id="rId_hyperlink_3421"/>
    <hyperlink ref="F3501" r:id="rId_hyperlink_3422"/>
    <hyperlink ref="F3502" r:id="rId_hyperlink_3423"/>
    <hyperlink ref="F3503" r:id="rId_hyperlink_3424"/>
    <hyperlink ref="F3504" r:id="rId_hyperlink_3425"/>
    <hyperlink ref="F3505" r:id="rId_hyperlink_3426"/>
    <hyperlink ref="F3506" r:id="rId_hyperlink_3427"/>
    <hyperlink ref="F3507" r:id="rId_hyperlink_3428"/>
    <hyperlink ref="F3508" r:id="rId_hyperlink_3429"/>
    <hyperlink ref="F3509" r:id="rId_hyperlink_3430"/>
    <hyperlink ref="F3510" r:id="rId_hyperlink_3431"/>
    <hyperlink ref="F3511" r:id="rId_hyperlink_3432"/>
    <hyperlink ref="F3512" r:id="rId_hyperlink_3433"/>
    <hyperlink ref="F3513" r:id="rId_hyperlink_3434"/>
    <hyperlink ref="F3514" r:id="rId_hyperlink_3435"/>
    <hyperlink ref="F3515" r:id="rId_hyperlink_3436"/>
    <hyperlink ref="F3516" r:id="rId_hyperlink_3437"/>
    <hyperlink ref="F3517" r:id="rId_hyperlink_3438"/>
    <hyperlink ref="F3518" r:id="rId_hyperlink_3439"/>
    <hyperlink ref="F3519" r:id="rId_hyperlink_3440"/>
    <hyperlink ref="F3520" r:id="rId_hyperlink_3441"/>
    <hyperlink ref="F3521" r:id="rId_hyperlink_3442"/>
    <hyperlink ref="F3522" r:id="rId_hyperlink_3443"/>
    <hyperlink ref="F3523" r:id="rId_hyperlink_3444"/>
    <hyperlink ref="F3524" r:id="rId_hyperlink_3445"/>
    <hyperlink ref="F3525" r:id="rId_hyperlink_3446"/>
    <hyperlink ref="F3526" r:id="rId_hyperlink_3447"/>
    <hyperlink ref="F3527" r:id="rId_hyperlink_3448"/>
    <hyperlink ref="F3528" r:id="rId_hyperlink_3449"/>
    <hyperlink ref="F3529" r:id="rId_hyperlink_3450"/>
    <hyperlink ref="F3530" r:id="rId_hyperlink_3451"/>
    <hyperlink ref="F3531" r:id="rId_hyperlink_3452"/>
    <hyperlink ref="F3532" r:id="rId_hyperlink_3453"/>
    <hyperlink ref="F3533" r:id="rId_hyperlink_3454"/>
    <hyperlink ref="F3534" r:id="rId_hyperlink_3455"/>
    <hyperlink ref="F3535" r:id="rId_hyperlink_3456"/>
    <hyperlink ref="F3536" r:id="rId_hyperlink_3457"/>
    <hyperlink ref="F3537" r:id="rId_hyperlink_3458"/>
    <hyperlink ref="F3538" r:id="rId_hyperlink_3459"/>
    <hyperlink ref="F3539" r:id="rId_hyperlink_3460"/>
    <hyperlink ref="F3540" r:id="rId_hyperlink_3461"/>
    <hyperlink ref="F3541" r:id="rId_hyperlink_3462"/>
    <hyperlink ref="F3542" r:id="rId_hyperlink_3463"/>
    <hyperlink ref="F3543" r:id="rId_hyperlink_3464"/>
    <hyperlink ref="F3544" r:id="rId_hyperlink_3465"/>
    <hyperlink ref="F3545" r:id="rId_hyperlink_3466"/>
    <hyperlink ref="F3546" r:id="rId_hyperlink_3467"/>
    <hyperlink ref="F3547" r:id="rId_hyperlink_3468"/>
    <hyperlink ref="F3548" r:id="rId_hyperlink_3469"/>
    <hyperlink ref="F3549" r:id="rId_hyperlink_3470"/>
    <hyperlink ref="F3550" r:id="rId_hyperlink_3471"/>
    <hyperlink ref="F3551" r:id="rId_hyperlink_3472"/>
    <hyperlink ref="F3552" r:id="rId_hyperlink_3473"/>
    <hyperlink ref="F3553" r:id="rId_hyperlink_3474"/>
    <hyperlink ref="F3554" r:id="rId_hyperlink_3475"/>
    <hyperlink ref="F3555" r:id="rId_hyperlink_3476"/>
    <hyperlink ref="F3556" r:id="rId_hyperlink_3477"/>
    <hyperlink ref="F3557" r:id="rId_hyperlink_3478"/>
    <hyperlink ref="F3558" r:id="rId_hyperlink_3479"/>
    <hyperlink ref="F3559" r:id="rId_hyperlink_3480"/>
    <hyperlink ref="F3560" r:id="rId_hyperlink_3481"/>
    <hyperlink ref="F3561" r:id="rId_hyperlink_3482"/>
    <hyperlink ref="F3562" r:id="rId_hyperlink_3483"/>
    <hyperlink ref="F3563" r:id="rId_hyperlink_3484"/>
    <hyperlink ref="F3565" r:id="rId_hyperlink_3485"/>
    <hyperlink ref="F3566" r:id="rId_hyperlink_3486"/>
    <hyperlink ref="F3567" r:id="rId_hyperlink_3487"/>
    <hyperlink ref="F3568" r:id="rId_hyperlink_3488"/>
    <hyperlink ref="F3569" r:id="rId_hyperlink_3489"/>
    <hyperlink ref="F3570" r:id="rId_hyperlink_3490"/>
    <hyperlink ref="F3571" r:id="rId_hyperlink_3491"/>
    <hyperlink ref="F3572" r:id="rId_hyperlink_3492"/>
    <hyperlink ref="F3573" r:id="rId_hyperlink_3493"/>
    <hyperlink ref="F3574" r:id="rId_hyperlink_3494"/>
    <hyperlink ref="F3575" r:id="rId_hyperlink_3495"/>
    <hyperlink ref="F3576" r:id="rId_hyperlink_3496"/>
    <hyperlink ref="F3577" r:id="rId_hyperlink_3497"/>
    <hyperlink ref="F3578" r:id="rId_hyperlink_3498"/>
    <hyperlink ref="F3579" r:id="rId_hyperlink_3499"/>
    <hyperlink ref="F3580" r:id="rId_hyperlink_3500"/>
    <hyperlink ref="F3581" r:id="rId_hyperlink_3501"/>
    <hyperlink ref="F3582" r:id="rId_hyperlink_3502"/>
    <hyperlink ref="F3583" r:id="rId_hyperlink_3503"/>
    <hyperlink ref="F3584" r:id="rId_hyperlink_3504"/>
    <hyperlink ref="F3585" r:id="rId_hyperlink_3505"/>
    <hyperlink ref="F3586" r:id="rId_hyperlink_3506"/>
    <hyperlink ref="F3587" r:id="rId_hyperlink_3507"/>
    <hyperlink ref="F3588" r:id="rId_hyperlink_3508"/>
    <hyperlink ref="F3589" r:id="rId_hyperlink_3509"/>
    <hyperlink ref="F3590" r:id="rId_hyperlink_3510"/>
    <hyperlink ref="F3591" r:id="rId_hyperlink_3511"/>
    <hyperlink ref="F3592" r:id="rId_hyperlink_3512"/>
    <hyperlink ref="F3593" r:id="rId_hyperlink_3513"/>
    <hyperlink ref="F3594" r:id="rId_hyperlink_3514"/>
    <hyperlink ref="F3595" r:id="rId_hyperlink_3515"/>
    <hyperlink ref="F3596" r:id="rId_hyperlink_3516"/>
    <hyperlink ref="F3597" r:id="rId_hyperlink_3517"/>
    <hyperlink ref="F3598" r:id="rId_hyperlink_3518"/>
    <hyperlink ref="F3599" r:id="rId_hyperlink_3519"/>
    <hyperlink ref="F3600" r:id="rId_hyperlink_3520"/>
    <hyperlink ref="F3601" r:id="rId_hyperlink_3521"/>
    <hyperlink ref="F3602" r:id="rId_hyperlink_3522"/>
    <hyperlink ref="F3603" r:id="rId_hyperlink_3523"/>
    <hyperlink ref="F3604" r:id="rId_hyperlink_3524"/>
    <hyperlink ref="F3605" r:id="rId_hyperlink_3525"/>
    <hyperlink ref="F3606" r:id="rId_hyperlink_3526"/>
    <hyperlink ref="F3607" r:id="rId_hyperlink_3527"/>
    <hyperlink ref="F3608" r:id="rId_hyperlink_3528"/>
    <hyperlink ref="F3609" r:id="rId_hyperlink_3529"/>
    <hyperlink ref="F3610" r:id="rId_hyperlink_3530"/>
    <hyperlink ref="F3611" r:id="rId_hyperlink_3531"/>
    <hyperlink ref="F3612" r:id="rId_hyperlink_3532"/>
    <hyperlink ref="F3613" r:id="rId_hyperlink_3533"/>
    <hyperlink ref="F3614" r:id="rId_hyperlink_3534"/>
    <hyperlink ref="F3615" r:id="rId_hyperlink_3535"/>
    <hyperlink ref="F3616" r:id="rId_hyperlink_3536"/>
    <hyperlink ref="F3617" r:id="rId_hyperlink_3537"/>
    <hyperlink ref="F3618" r:id="rId_hyperlink_3538"/>
    <hyperlink ref="F3619" r:id="rId_hyperlink_3539"/>
    <hyperlink ref="F3620" r:id="rId_hyperlink_3540"/>
    <hyperlink ref="F3621" r:id="rId_hyperlink_3541"/>
    <hyperlink ref="F3622" r:id="rId_hyperlink_3542"/>
    <hyperlink ref="F3623" r:id="rId_hyperlink_3543"/>
    <hyperlink ref="F3624" r:id="rId_hyperlink_3544"/>
    <hyperlink ref="F3625" r:id="rId_hyperlink_3545"/>
    <hyperlink ref="F3626" r:id="rId_hyperlink_3546"/>
    <hyperlink ref="F3627" r:id="rId_hyperlink_3547"/>
    <hyperlink ref="F3628" r:id="rId_hyperlink_3548"/>
    <hyperlink ref="F3629" r:id="rId_hyperlink_3549"/>
    <hyperlink ref="F3630" r:id="rId_hyperlink_3550"/>
    <hyperlink ref="F3631" r:id="rId_hyperlink_3551"/>
    <hyperlink ref="F3632" r:id="rId_hyperlink_3552"/>
    <hyperlink ref="F3633" r:id="rId_hyperlink_3553"/>
    <hyperlink ref="F3634" r:id="rId_hyperlink_3554"/>
    <hyperlink ref="F3635" r:id="rId_hyperlink_3555"/>
    <hyperlink ref="F3636" r:id="rId_hyperlink_3556"/>
    <hyperlink ref="F3637" r:id="rId_hyperlink_3557"/>
    <hyperlink ref="F3638" r:id="rId_hyperlink_3558"/>
    <hyperlink ref="F3639" r:id="rId_hyperlink_3559"/>
    <hyperlink ref="F3640" r:id="rId_hyperlink_3560"/>
    <hyperlink ref="F3641" r:id="rId_hyperlink_3561"/>
    <hyperlink ref="F3642" r:id="rId_hyperlink_3562"/>
    <hyperlink ref="F3643" r:id="rId_hyperlink_3563"/>
    <hyperlink ref="F3644" r:id="rId_hyperlink_3564"/>
    <hyperlink ref="F3645" r:id="rId_hyperlink_3565"/>
    <hyperlink ref="F3646" r:id="rId_hyperlink_3566"/>
    <hyperlink ref="F3647" r:id="rId_hyperlink_3567"/>
    <hyperlink ref="F3648" r:id="rId_hyperlink_3568"/>
    <hyperlink ref="F3649" r:id="rId_hyperlink_3569"/>
    <hyperlink ref="F3650" r:id="rId_hyperlink_3570"/>
    <hyperlink ref="F3651" r:id="rId_hyperlink_3571"/>
    <hyperlink ref="F3652" r:id="rId_hyperlink_3572"/>
    <hyperlink ref="F3653" r:id="rId_hyperlink_3573"/>
    <hyperlink ref="F3654" r:id="rId_hyperlink_3574"/>
    <hyperlink ref="F3655" r:id="rId_hyperlink_3575"/>
    <hyperlink ref="F3656" r:id="rId_hyperlink_3576"/>
    <hyperlink ref="F3657" r:id="rId_hyperlink_3577"/>
    <hyperlink ref="F3658" r:id="rId_hyperlink_3578"/>
    <hyperlink ref="F3659" r:id="rId_hyperlink_3579"/>
    <hyperlink ref="F3660" r:id="rId_hyperlink_3580"/>
    <hyperlink ref="F3661" r:id="rId_hyperlink_3581"/>
    <hyperlink ref="F3662" r:id="rId_hyperlink_3582"/>
    <hyperlink ref="F3663" r:id="rId_hyperlink_3583"/>
    <hyperlink ref="F3664" r:id="rId_hyperlink_3584"/>
    <hyperlink ref="F3665" r:id="rId_hyperlink_3585"/>
    <hyperlink ref="F3666" r:id="rId_hyperlink_3586"/>
    <hyperlink ref="F3667" r:id="rId_hyperlink_3587"/>
    <hyperlink ref="F3668" r:id="rId_hyperlink_3588"/>
    <hyperlink ref="F3669" r:id="rId_hyperlink_3589"/>
    <hyperlink ref="F3670" r:id="rId_hyperlink_3590"/>
    <hyperlink ref="F3671" r:id="rId_hyperlink_3591"/>
    <hyperlink ref="F3672" r:id="rId_hyperlink_3592"/>
    <hyperlink ref="F3673" r:id="rId_hyperlink_3593"/>
    <hyperlink ref="F3674" r:id="rId_hyperlink_3594"/>
    <hyperlink ref="F3675" r:id="rId_hyperlink_3595"/>
    <hyperlink ref="F3676" r:id="rId_hyperlink_3596"/>
    <hyperlink ref="F3677" r:id="rId_hyperlink_3597"/>
    <hyperlink ref="F3678" r:id="rId_hyperlink_3598"/>
    <hyperlink ref="F3679" r:id="rId_hyperlink_3599"/>
    <hyperlink ref="F3680" r:id="rId_hyperlink_3600"/>
    <hyperlink ref="F3681" r:id="rId_hyperlink_3601"/>
    <hyperlink ref="F3682" r:id="rId_hyperlink_3602"/>
    <hyperlink ref="F3683" r:id="rId_hyperlink_3603"/>
    <hyperlink ref="F3684" r:id="rId_hyperlink_3604"/>
    <hyperlink ref="F3685" r:id="rId_hyperlink_3605"/>
    <hyperlink ref="F3686" r:id="rId_hyperlink_3606"/>
    <hyperlink ref="F3687" r:id="rId_hyperlink_3607"/>
    <hyperlink ref="F3688" r:id="rId_hyperlink_3608"/>
    <hyperlink ref="F3689" r:id="rId_hyperlink_3609"/>
    <hyperlink ref="F3690" r:id="rId_hyperlink_3610"/>
    <hyperlink ref="F3691" r:id="rId_hyperlink_3611"/>
    <hyperlink ref="F3692" r:id="rId_hyperlink_3612"/>
    <hyperlink ref="F3693" r:id="rId_hyperlink_3613"/>
    <hyperlink ref="F3694" r:id="rId_hyperlink_3614"/>
    <hyperlink ref="F3695" r:id="rId_hyperlink_3615"/>
    <hyperlink ref="F3696" r:id="rId_hyperlink_3616"/>
    <hyperlink ref="F3697" r:id="rId_hyperlink_3617"/>
    <hyperlink ref="F3698" r:id="rId_hyperlink_3618"/>
    <hyperlink ref="F3699" r:id="rId_hyperlink_3619"/>
    <hyperlink ref="F3700" r:id="rId_hyperlink_3620"/>
    <hyperlink ref="F3701" r:id="rId_hyperlink_3621"/>
    <hyperlink ref="F3702" r:id="rId_hyperlink_3622"/>
    <hyperlink ref="F3703" r:id="rId_hyperlink_3623"/>
    <hyperlink ref="F3704" r:id="rId_hyperlink_3624"/>
    <hyperlink ref="F3705" r:id="rId_hyperlink_3625"/>
    <hyperlink ref="F3706" r:id="rId_hyperlink_3626"/>
    <hyperlink ref="F3707" r:id="rId_hyperlink_3627"/>
    <hyperlink ref="F3708" r:id="rId_hyperlink_3628"/>
    <hyperlink ref="F3709" r:id="rId_hyperlink_3629"/>
    <hyperlink ref="F3710" r:id="rId_hyperlink_3630"/>
    <hyperlink ref="F3711" r:id="rId_hyperlink_3631"/>
    <hyperlink ref="F3712" r:id="rId_hyperlink_3632"/>
    <hyperlink ref="F3713" r:id="rId_hyperlink_3633"/>
    <hyperlink ref="F3714" r:id="rId_hyperlink_3634"/>
    <hyperlink ref="F3715" r:id="rId_hyperlink_3635"/>
    <hyperlink ref="F3716" r:id="rId_hyperlink_3636"/>
    <hyperlink ref="F3717" r:id="rId_hyperlink_3637"/>
    <hyperlink ref="F3718" r:id="rId_hyperlink_3638"/>
    <hyperlink ref="F3719" r:id="rId_hyperlink_3639"/>
    <hyperlink ref="F3720" r:id="rId_hyperlink_3640"/>
    <hyperlink ref="F3721" r:id="rId_hyperlink_3641"/>
    <hyperlink ref="F3722" r:id="rId_hyperlink_3642"/>
    <hyperlink ref="F3723" r:id="rId_hyperlink_3643"/>
    <hyperlink ref="F3724" r:id="rId_hyperlink_3644"/>
    <hyperlink ref="F3725" r:id="rId_hyperlink_3645"/>
    <hyperlink ref="F3726" r:id="rId_hyperlink_3646"/>
    <hyperlink ref="F3727" r:id="rId_hyperlink_3647"/>
    <hyperlink ref="F3728" r:id="rId_hyperlink_3648"/>
    <hyperlink ref="F3729" r:id="rId_hyperlink_3649"/>
    <hyperlink ref="F3730" r:id="rId_hyperlink_3650"/>
    <hyperlink ref="F3731" r:id="rId_hyperlink_3651"/>
    <hyperlink ref="F3732" r:id="rId_hyperlink_3652"/>
    <hyperlink ref="F3733" r:id="rId_hyperlink_3653"/>
    <hyperlink ref="F3734" r:id="rId_hyperlink_3654"/>
    <hyperlink ref="F3735" r:id="rId_hyperlink_3655"/>
    <hyperlink ref="F3736" r:id="rId_hyperlink_3656"/>
    <hyperlink ref="F3737" r:id="rId_hyperlink_3657"/>
    <hyperlink ref="F3738" r:id="rId_hyperlink_3658"/>
    <hyperlink ref="F3739" r:id="rId_hyperlink_3659"/>
    <hyperlink ref="F3740" r:id="rId_hyperlink_3660"/>
    <hyperlink ref="F3741" r:id="rId_hyperlink_3661"/>
    <hyperlink ref="F3742" r:id="rId_hyperlink_3662"/>
    <hyperlink ref="F3743" r:id="rId_hyperlink_3663"/>
    <hyperlink ref="F3744" r:id="rId_hyperlink_3664"/>
    <hyperlink ref="F3745" r:id="rId_hyperlink_3665"/>
    <hyperlink ref="F3746" r:id="rId_hyperlink_3666"/>
    <hyperlink ref="F3747" r:id="rId_hyperlink_3667"/>
    <hyperlink ref="F3748" r:id="rId_hyperlink_3668"/>
    <hyperlink ref="F3749" r:id="rId_hyperlink_3669"/>
    <hyperlink ref="F3750" r:id="rId_hyperlink_3670"/>
    <hyperlink ref="F3751" r:id="rId_hyperlink_3671"/>
    <hyperlink ref="F3752" r:id="rId_hyperlink_3672"/>
    <hyperlink ref="F3753" r:id="rId_hyperlink_3673"/>
    <hyperlink ref="F3754" r:id="rId_hyperlink_3674"/>
    <hyperlink ref="F3755" r:id="rId_hyperlink_3675"/>
    <hyperlink ref="F3756" r:id="rId_hyperlink_3676"/>
    <hyperlink ref="F3757" r:id="rId_hyperlink_3677"/>
    <hyperlink ref="F3759" r:id="rId_hyperlink_3678"/>
    <hyperlink ref="F3760" r:id="rId_hyperlink_3679"/>
    <hyperlink ref="F3761" r:id="rId_hyperlink_3680"/>
    <hyperlink ref="F3762" r:id="rId_hyperlink_3681"/>
    <hyperlink ref="F3763" r:id="rId_hyperlink_3682"/>
    <hyperlink ref="F3764" r:id="rId_hyperlink_3683"/>
    <hyperlink ref="F3765" r:id="rId_hyperlink_3684"/>
    <hyperlink ref="F3766" r:id="rId_hyperlink_3685"/>
    <hyperlink ref="F3767" r:id="rId_hyperlink_3686"/>
    <hyperlink ref="F3768" r:id="rId_hyperlink_3687"/>
    <hyperlink ref="F3769" r:id="rId_hyperlink_3688"/>
    <hyperlink ref="F3770" r:id="rId_hyperlink_3689"/>
    <hyperlink ref="F3771" r:id="rId_hyperlink_3690"/>
    <hyperlink ref="F3772" r:id="rId_hyperlink_3691"/>
    <hyperlink ref="F3773" r:id="rId_hyperlink_3692"/>
    <hyperlink ref="F3774" r:id="rId_hyperlink_3693"/>
    <hyperlink ref="F3775" r:id="rId_hyperlink_3694"/>
    <hyperlink ref="F3776" r:id="rId_hyperlink_3695"/>
    <hyperlink ref="F3777" r:id="rId_hyperlink_3696"/>
    <hyperlink ref="F3778" r:id="rId_hyperlink_3697"/>
    <hyperlink ref="F3779" r:id="rId_hyperlink_3698"/>
    <hyperlink ref="F3780" r:id="rId_hyperlink_3699"/>
    <hyperlink ref="F3781" r:id="rId_hyperlink_3700"/>
    <hyperlink ref="F3782" r:id="rId_hyperlink_3701"/>
    <hyperlink ref="F3783" r:id="rId_hyperlink_3702"/>
    <hyperlink ref="F3784" r:id="rId_hyperlink_3703"/>
    <hyperlink ref="F3785" r:id="rId_hyperlink_3704"/>
    <hyperlink ref="F3786" r:id="rId_hyperlink_3705"/>
    <hyperlink ref="F3787" r:id="rId_hyperlink_3706"/>
    <hyperlink ref="F3788" r:id="rId_hyperlink_3707"/>
    <hyperlink ref="F3789" r:id="rId_hyperlink_3708"/>
    <hyperlink ref="F3790" r:id="rId_hyperlink_3709"/>
    <hyperlink ref="F3791" r:id="rId_hyperlink_3710"/>
    <hyperlink ref="F3792" r:id="rId_hyperlink_3711"/>
    <hyperlink ref="F3793" r:id="rId_hyperlink_3712"/>
    <hyperlink ref="F3794" r:id="rId_hyperlink_3713"/>
    <hyperlink ref="F3795" r:id="rId_hyperlink_3714"/>
    <hyperlink ref="F3796" r:id="rId_hyperlink_3715"/>
    <hyperlink ref="F3797" r:id="rId_hyperlink_3716"/>
    <hyperlink ref="F3798" r:id="rId_hyperlink_3717"/>
    <hyperlink ref="F3799" r:id="rId_hyperlink_3718"/>
    <hyperlink ref="F3800" r:id="rId_hyperlink_3719"/>
    <hyperlink ref="F3801" r:id="rId_hyperlink_3720"/>
    <hyperlink ref="F3802" r:id="rId_hyperlink_3721"/>
    <hyperlink ref="F3803" r:id="rId_hyperlink_3722"/>
    <hyperlink ref="F3804" r:id="rId_hyperlink_3723"/>
    <hyperlink ref="F3805" r:id="rId_hyperlink_3724"/>
    <hyperlink ref="F3806" r:id="rId_hyperlink_3725"/>
    <hyperlink ref="F3807" r:id="rId_hyperlink_3726"/>
    <hyperlink ref="F3808" r:id="rId_hyperlink_3727"/>
    <hyperlink ref="F3809" r:id="rId_hyperlink_3728"/>
    <hyperlink ref="F3810" r:id="rId_hyperlink_3729"/>
    <hyperlink ref="F3811" r:id="rId_hyperlink_3730"/>
    <hyperlink ref="F3812" r:id="rId_hyperlink_3731"/>
    <hyperlink ref="F3813" r:id="rId_hyperlink_3732"/>
    <hyperlink ref="F3814" r:id="rId_hyperlink_3733"/>
    <hyperlink ref="F3815" r:id="rId_hyperlink_3734"/>
    <hyperlink ref="F3816" r:id="rId_hyperlink_3735"/>
    <hyperlink ref="F3817" r:id="rId_hyperlink_3736"/>
    <hyperlink ref="F3818" r:id="rId_hyperlink_3737"/>
    <hyperlink ref="F3819" r:id="rId_hyperlink_3738"/>
    <hyperlink ref="F3820" r:id="rId_hyperlink_3739"/>
    <hyperlink ref="F3821" r:id="rId_hyperlink_3740"/>
    <hyperlink ref="F3822" r:id="rId_hyperlink_3741"/>
    <hyperlink ref="F3823" r:id="rId_hyperlink_3742"/>
    <hyperlink ref="F3824" r:id="rId_hyperlink_3743"/>
    <hyperlink ref="F3825" r:id="rId_hyperlink_3744"/>
    <hyperlink ref="F3826" r:id="rId_hyperlink_3745"/>
    <hyperlink ref="F3827" r:id="rId_hyperlink_3746"/>
    <hyperlink ref="F3828" r:id="rId_hyperlink_3747"/>
    <hyperlink ref="F3829" r:id="rId_hyperlink_3748"/>
    <hyperlink ref="F3830" r:id="rId_hyperlink_3749"/>
    <hyperlink ref="F3831" r:id="rId_hyperlink_3750"/>
    <hyperlink ref="F3832" r:id="rId_hyperlink_3751"/>
    <hyperlink ref="F3833" r:id="rId_hyperlink_3752"/>
    <hyperlink ref="F3834" r:id="rId_hyperlink_3753"/>
    <hyperlink ref="F3835" r:id="rId_hyperlink_3754"/>
    <hyperlink ref="F3836" r:id="rId_hyperlink_3755"/>
    <hyperlink ref="F3837" r:id="rId_hyperlink_3756"/>
    <hyperlink ref="F3838" r:id="rId_hyperlink_3757"/>
    <hyperlink ref="F3839" r:id="rId_hyperlink_3758"/>
    <hyperlink ref="F3840" r:id="rId_hyperlink_3759"/>
    <hyperlink ref="F3841" r:id="rId_hyperlink_3760"/>
    <hyperlink ref="F3842" r:id="rId_hyperlink_3761"/>
    <hyperlink ref="F3843" r:id="rId_hyperlink_3762"/>
    <hyperlink ref="F3844" r:id="rId_hyperlink_3763"/>
    <hyperlink ref="F3845" r:id="rId_hyperlink_3764"/>
    <hyperlink ref="F3846" r:id="rId_hyperlink_3765"/>
    <hyperlink ref="F3847" r:id="rId_hyperlink_3766"/>
    <hyperlink ref="F3848" r:id="rId_hyperlink_3767"/>
    <hyperlink ref="F3849" r:id="rId_hyperlink_3768"/>
    <hyperlink ref="F3850" r:id="rId_hyperlink_3769"/>
    <hyperlink ref="F3851" r:id="rId_hyperlink_3770"/>
    <hyperlink ref="F3852" r:id="rId_hyperlink_3771"/>
    <hyperlink ref="F3853" r:id="rId_hyperlink_3772"/>
    <hyperlink ref="F3854" r:id="rId_hyperlink_3773"/>
    <hyperlink ref="F3855" r:id="rId_hyperlink_3774"/>
    <hyperlink ref="F3856" r:id="rId_hyperlink_3775"/>
    <hyperlink ref="F3857" r:id="rId_hyperlink_3776"/>
    <hyperlink ref="F3858" r:id="rId_hyperlink_3777"/>
    <hyperlink ref="F3859" r:id="rId_hyperlink_3778"/>
    <hyperlink ref="F3860" r:id="rId_hyperlink_3779"/>
    <hyperlink ref="F3861" r:id="rId_hyperlink_3780"/>
    <hyperlink ref="F3862" r:id="rId_hyperlink_3781"/>
    <hyperlink ref="F3863" r:id="rId_hyperlink_3782"/>
    <hyperlink ref="F3864" r:id="rId_hyperlink_3783"/>
    <hyperlink ref="F3865" r:id="rId_hyperlink_3784"/>
    <hyperlink ref="F3866" r:id="rId_hyperlink_3785"/>
    <hyperlink ref="F3867" r:id="rId_hyperlink_3786"/>
    <hyperlink ref="F3868" r:id="rId_hyperlink_3787"/>
    <hyperlink ref="F3869" r:id="rId_hyperlink_3788"/>
    <hyperlink ref="F3870" r:id="rId_hyperlink_3789"/>
    <hyperlink ref="F3871" r:id="rId_hyperlink_3790"/>
    <hyperlink ref="F3872" r:id="rId_hyperlink_3791"/>
    <hyperlink ref="F3873" r:id="rId_hyperlink_3792"/>
    <hyperlink ref="F3874" r:id="rId_hyperlink_3793"/>
    <hyperlink ref="F3875" r:id="rId_hyperlink_3794"/>
    <hyperlink ref="F3876" r:id="rId_hyperlink_3795"/>
    <hyperlink ref="F3877" r:id="rId_hyperlink_3796"/>
    <hyperlink ref="F3878" r:id="rId_hyperlink_3797"/>
    <hyperlink ref="F3879" r:id="rId_hyperlink_3798"/>
    <hyperlink ref="F3880" r:id="rId_hyperlink_3799"/>
    <hyperlink ref="F3881" r:id="rId_hyperlink_3800"/>
    <hyperlink ref="F3882" r:id="rId_hyperlink_3801"/>
    <hyperlink ref="F3883" r:id="rId_hyperlink_3802"/>
    <hyperlink ref="F3884" r:id="rId_hyperlink_3803"/>
    <hyperlink ref="F3885" r:id="rId_hyperlink_3804"/>
    <hyperlink ref="F3886" r:id="rId_hyperlink_3805"/>
    <hyperlink ref="F3887" r:id="rId_hyperlink_3806"/>
    <hyperlink ref="F3888" r:id="rId_hyperlink_3807"/>
    <hyperlink ref="F3889" r:id="rId_hyperlink_3808"/>
    <hyperlink ref="F3890" r:id="rId_hyperlink_3809"/>
    <hyperlink ref="F3891" r:id="rId_hyperlink_3810"/>
    <hyperlink ref="F3892" r:id="rId_hyperlink_3811"/>
    <hyperlink ref="F3893" r:id="rId_hyperlink_3812"/>
    <hyperlink ref="F3894" r:id="rId_hyperlink_3813"/>
    <hyperlink ref="F3895" r:id="rId_hyperlink_3814"/>
    <hyperlink ref="F3896" r:id="rId_hyperlink_3815"/>
    <hyperlink ref="F3897" r:id="rId_hyperlink_3816"/>
    <hyperlink ref="F3898" r:id="rId_hyperlink_3817"/>
    <hyperlink ref="F3899" r:id="rId_hyperlink_3818"/>
    <hyperlink ref="F3900" r:id="rId_hyperlink_3819"/>
    <hyperlink ref="F3901" r:id="rId_hyperlink_3820"/>
    <hyperlink ref="F3902" r:id="rId_hyperlink_3821"/>
    <hyperlink ref="F3903" r:id="rId_hyperlink_3822"/>
    <hyperlink ref="F3904" r:id="rId_hyperlink_3823"/>
    <hyperlink ref="F3905" r:id="rId_hyperlink_3824"/>
    <hyperlink ref="F3906" r:id="rId_hyperlink_3825"/>
    <hyperlink ref="F3907" r:id="rId_hyperlink_3826"/>
    <hyperlink ref="F3908" r:id="rId_hyperlink_3827"/>
    <hyperlink ref="F3909" r:id="rId_hyperlink_3828"/>
    <hyperlink ref="F3910" r:id="rId_hyperlink_3829"/>
    <hyperlink ref="F3911" r:id="rId_hyperlink_3830"/>
    <hyperlink ref="F3912" r:id="rId_hyperlink_3831"/>
    <hyperlink ref="F3913" r:id="rId_hyperlink_3832"/>
    <hyperlink ref="F3914" r:id="rId_hyperlink_3833"/>
    <hyperlink ref="F3915" r:id="rId_hyperlink_3834"/>
    <hyperlink ref="F3916" r:id="rId_hyperlink_3835"/>
    <hyperlink ref="F3917" r:id="rId_hyperlink_3836"/>
    <hyperlink ref="F3918" r:id="rId_hyperlink_3837"/>
    <hyperlink ref="F3919" r:id="rId_hyperlink_3838"/>
    <hyperlink ref="F3920" r:id="rId_hyperlink_3839"/>
    <hyperlink ref="F3921" r:id="rId_hyperlink_3840"/>
    <hyperlink ref="F3922" r:id="rId_hyperlink_3841"/>
    <hyperlink ref="F3923" r:id="rId_hyperlink_3842"/>
    <hyperlink ref="F3924" r:id="rId_hyperlink_3843"/>
    <hyperlink ref="F3925" r:id="rId_hyperlink_3844"/>
    <hyperlink ref="F3926" r:id="rId_hyperlink_3845"/>
    <hyperlink ref="F3927" r:id="rId_hyperlink_3846"/>
    <hyperlink ref="F3928" r:id="rId_hyperlink_3847"/>
    <hyperlink ref="F3929" r:id="rId_hyperlink_3848"/>
    <hyperlink ref="F3930" r:id="rId_hyperlink_3849"/>
    <hyperlink ref="F3931" r:id="rId_hyperlink_3850"/>
    <hyperlink ref="F3932" r:id="rId_hyperlink_3851"/>
    <hyperlink ref="F3933" r:id="rId_hyperlink_3852"/>
    <hyperlink ref="F3934" r:id="rId_hyperlink_3853"/>
    <hyperlink ref="F3935" r:id="rId_hyperlink_3854"/>
    <hyperlink ref="F3936" r:id="rId_hyperlink_3855"/>
    <hyperlink ref="F3937" r:id="rId_hyperlink_3856"/>
    <hyperlink ref="F3938" r:id="rId_hyperlink_3857"/>
    <hyperlink ref="F3939" r:id="rId_hyperlink_3858"/>
    <hyperlink ref="F3940" r:id="rId_hyperlink_3859"/>
    <hyperlink ref="F3941" r:id="rId_hyperlink_3860"/>
    <hyperlink ref="F3942" r:id="rId_hyperlink_3861"/>
    <hyperlink ref="F3943" r:id="rId_hyperlink_3862"/>
    <hyperlink ref="F3944" r:id="rId_hyperlink_3863"/>
    <hyperlink ref="F3945" r:id="rId_hyperlink_3864"/>
    <hyperlink ref="F3946" r:id="rId_hyperlink_3865"/>
    <hyperlink ref="F3947" r:id="rId_hyperlink_3866"/>
    <hyperlink ref="F3948" r:id="rId_hyperlink_3867"/>
    <hyperlink ref="F3949" r:id="rId_hyperlink_3868"/>
    <hyperlink ref="F3950" r:id="rId_hyperlink_3869"/>
    <hyperlink ref="F3951" r:id="rId_hyperlink_3870"/>
    <hyperlink ref="F3952" r:id="rId_hyperlink_3871"/>
    <hyperlink ref="F3953" r:id="rId_hyperlink_3872"/>
    <hyperlink ref="F3954" r:id="rId_hyperlink_3873"/>
    <hyperlink ref="F3955" r:id="rId_hyperlink_3874"/>
    <hyperlink ref="F3956" r:id="rId_hyperlink_3875"/>
    <hyperlink ref="F3957" r:id="rId_hyperlink_3876"/>
    <hyperlink ref="F3958" r:id="rId_hyperlink_3877"/>
    <hyperlink ref="F3959" r:id="rId_hyperlink_3878"/>
    <hyperlink ref="F3960" r:id="rId_hyperlink_3879"/>
    <hyperlink ref="F3961" r:id="rId_hyperlink_3880"/>
    <hyperlink ref="F3962" r:id="rId_hyperlink_3881"/>
    <hyperlink ref="F3963" r:id="rId_hyperlink_3882"/>
    <hyperlink ref="F3964" r:id="rId_hyperlink_3883"/>
    <hyperlink ref="F3965" r:id="rId_hyperlink_3884"/>
    <hyperlink ref="F3966" r:id="rId_hyperlink_3885"/>
    <hyperlink ref="F3967" r:id="rId_hyperlink_3886"/>
    <hyperlink ref="F3968" r:id="rId_hyperlink_3887"/>
    <hyperlink ref="F3969" r:id="rId_hyperlink_3888"/>
    <hyperlink ref="F3970" r:id="rId_hyperlink_3889"/>
    <hyperlink ref="F3971" r:id="rId_hyperlink_3890"/>
    <hyperlink ref="F3972" r:id="rId_hyperlink_3891"/>
    <hyperlink ref="F3973" r:id="rId_hyperlink_3892"/>
    <hyperlink ref="F3974" r:id="rId_hyperlink_3893"/>
    <hyperlink ref="F3975" r:id="rId_hyperlink_3894"/>
    <hyperlink ref="F3976" r:id="rId_hyperlink_3895"/>
    <hyperlink ref="F3977" r:id="rId_hyperlink_3896"/>
    <hyperlink ref="F3978" r:id="rId_hyperlink_3897"/>
    <hyperlink ref="F3979" r:id="rId_hyperlink_3898"/>
    <hyperlink ref="F3980" r:id="rId_hyperlink_3899"/>
    <hyperlink ref="F3981" r:id="rId_hyperlink_3900"/>
    <hyperlink ref="F3982" r:id="rId_hyperlink_3901"/>
    <hyperlink ref="F3983" r:id="rId_hyperlink_3902"/>
    <hyperlink ref="F3984" r:id="rId_hyperlink_3903"/>
    <hyperlink ref="F3985" r:id="rId_hyperlink_3904"/>
    <hyperlink ref="F3986" r:id="rId_hyperlink_3905"/>
    <hyperlink ref="F3987" r:id="rId_hyperlink_3906"/>
    <hyperlink ref="F3988" r:id="rId_hyperlink_3907"/>
    <hyperlink ref="F3989" r:id="rId_hyperlink_3908"/>
    <hyperlink ref="F3990" r:id="rId_hyperlink_3909"/>
    <hyperlink ref="F3991" r:id="rId_hyperlink_3910"/>
    <hyperlink ref="F3992" r:id="rId_hyperlink_3911"/>
    <hyperlink ref="F3993" r:id="rId_hyperlink_3912"/>
    <hyperlink ref="F3994" r:id="rId_hyperlink_3913"/>
    <hyperlink ref="F3995" r:id="rId_hyperlink_3914"/>
    <hyperlink ref="F3996" r:id="rId_hyperlink_3915"/>
    <hyperlink ref="F3997" r:id="rId_hyperlink_3916"/>
    <hyperlink ref="F3998" r:id="rId_hyperlink_3917"/>
    <hyperlink ref="F3999" r:id="rId_hyperlink_3918"/>
    <hyperlink ref="F4000" r:id="rId_hyperlink_3919"/>
    <hyperlink ref="F4001" r:id="rId_hyperlink_3920"/>
    <hyperlink ref="F4002" r:id="rId_hyperlink_3921"/>
    <hyperlink ref="F4003" r:id="rId_hyperlink_3922"/>
    <hyperlink ref="F4004" r:id="rId_hyperlink_3923"/>
    <hyperlink ref="F4005" r:id="rId_hyperlink_3924"/>
    <hyperlink ref="F4006" r:id="rId_hyperlink_3925"/>
    <hyperlink ref="F4007" r:id="rId_hyperlink_3926"/>
    <hyperlink ref="F4008" r:id="rId_hyperlink_3927"/>
    <hyperlink ref="F4009" r:id="rId_hyperlink_3928"/>
    <hyperlink ref="F4010" r:id="rId_hyperlink_3929"/>
    <hyperlink ref="F4011" r:id="rId_hyperlink_3930"/>
    <hyperlink ref="F4012" r:id="rId_hyperlink_3931"/>
    <hyperlink ref="F4013" r:id="rId_hyperlink_3932"/>
    <hyperlink ref="F4014" r:id="rId_hyperlink_3933"/>
    <hyperlink ref="F4015" r:id="rId_hyperlink_3934"/>
    <hyperlink ref="F4016" r:id="rId_hyperlink_3935"/>
    <hyperlink ref="F4017" r:id="rId_hyperlink_3936"/>
    <hyperlink ref="F4018" r:id="rId_hyperlink_3937"/>
    <hyperlink ref="F4019" r:id="rId_hyperlink_3938"/>
    <hyperlink ref="F4020" r:id="rId_hyperlink_3939"/>
    <hyperlink ref="F4021" r:id="rId_hyperlink_3940"/>
    <hyperlink ref="F4022" r:id="rId_hyperlink_3941"/>
    <hyperlink ref="F4023" r:id="rId_hyperlink_3942"/>
    <hyperlink ref="F4024" r:id="rId_hyperlink_3943"/>
    <hyperlink ref="F4025" r:id="rId_hyperlink_3944"/>
    <hyperlink ref="F4026" r:id="rId_hyperlink_3945"/>
    <hyperlink ref="F4027" r:id="rId_hyperlink_3946"/>
    <hyperlink ref="F4028" r:id="rId_hyperlink_3947"/>
    <hyperlink ref="F4029" r:id="rId_hyperlink_3948"/>
    <hyperlink ref="F4030" r:id="rId_hyperlink_3949"/>
    <hyperlink ref="F4031" r:id="rId_hyperlink_3950"/>
    <hyperlink ref="F4032" r:id="rId_hyperlink_3951"/>
    <hyperlink ref="F4033" r:id="rId_hyperlink_3952"/>
    <hyperlink ref="F4034" r:id="rId_hyperlink_3953"/>
    <hyperlink ref="F4035" r:id="rId_hyperlink_3954"/>
    <hyperlink ref="F4036" r:id="rId_hyperlink_3955"/>
    <hyperlink ref="F4037" r:id="rId_hyperlink_3956"/>
    <hyperlink ref="F4038" r:id="rId_hyperlink_3957"/>
    <hyperlink ref="F4039" r:id="rId_hyperlink_3958"/>
    <hyperlink ref="F4040" r:id="rId_hyperlink_3959"/>
    <hyperlink ref="F4041" r:id="rId_hyperlink_3960"/>
    <hyperlink ref="F4042" r:id="rId_hyperlink_3961"/>
    <hyperlink ref="F4043" r:id="rId_hyperlink_3962"/>
    <hyperlink ref="F4044" r:id="rId_hyperlink_3963"/>
    <hyperlink ref="F4045" r:id="rId_hyperlink_3964"/>
    <hyperlink ref="F4046" r:id="rId_hyperlink_3965"/>
    <hyperlink ref="F4047" r:id="rId_hyperlink_3966"/>
    <hyperlink ref="F4048" r:id="rId_hyperlink_3967"/>
    <hyperlink ref="F4049" r:id="rId_hyperlink_3968"/>
    <hyperlink ref="F4050" r:id="rId_hyperlink_3969"/>
    <hyperlink ref="F4051" r:id="rId_hyperlink_3970"/>
    <hyperlink ref="F4052" r:id="rId_hyperlink_3971"/>
    <hyperlink ref="F4053" r:id="rId_hyperlink_3972"/>
    <hyperlink ref="F4054" r:id="rId_hyperlink_3973"/>
    <hyperlink ref="F4055" r:id="rId_hyperlink_3974"/>
    <hyperlink ref="F4056" r:id="rId_hyperlink_3975"/>
    <hyperlink ref="F4057" r:id="rId_hyperlink_3976"/>
    <hyperlink ref="F4058" r:id="rId_hyperlink_3977"/>
    <hyperlink ref="F4059" r:id="rId_hyperlink_3978"/>
    <hyperlink ref="F4060" r:id="rId_hyperlink_3979"/>
    <hyperlink ref="F4061" r:id="rId_hyperlink_3980"/>
    <hyperlink ref="F4062" r:id="rId_hyperlink_3981"/>
    <hyperlink ref="F4063" r:id="rId_hyperlink_3982"/>
    <hyperlink ref="F4064" r:id="rId_hyperlink_3983"/>
    <hyperlink ref="F4065" r:id="rId_hyperlink_3984"/>
    <hyperlink ref="F4066" r:id="rId_hyperlink_3985"/>
    <hyperlink ref="F4067" r:id="rId_hyperlink_3986"/>
    <hyperlink ref="F4068" r:id="rId_hyperlink_3987"/>
    <hyperlink ref="F4069" r:id="rId_hyperlink_3988"/>
    <hyperlink ref="F4070" r:id="rId_hyperlink_3989"/>
    <hyperlink ref="F4071" r:id="rId_hyperlink_3990"/>
    <hyperlink ref="F4072" r:id="rId_hyperlink_3991"/>
    <hyperlink ref="F4073" r:id="rId_hyperlink_3992"/>
    <hyperlink ref="F4074" r:id="rId_hyperlink_3993"/>
    <hyperlink ref="F4075" r:id="rId_hyperlink_3994"/>
    <hyperlink ref="F4076" r:id="rId_hyperlink_3995"/>
    <hyperlink ref="F4077" r:id="rId_hyperlink_3996"/>
    <hyperlink ref="F4078" r:id="rId_hyperlink_3997"/>
    <hyperlink ref="F4079" r:id="rId_hyperlink_3998"/>
    <hyperlink ref="F4080" r:id="rId_hyperlink_3999"/>
    <hyperlink ref="F4081" r:id="rId_hyperlink_4000"/>
    <hyperlink ref="F4082" r:id="rId_hyperlink_4001"/>
    <hyperlink ref="F4083" r:id="rId_hyperlink_4002"/>
    <hyperlink ref="F4084" r:id="rId_hyperlink_4003"/>
    <hyperlink ref="F4085" r:id="rId_hyperlink_4004"/>
    <hyperlink ref="F4086" r:id="rId_hyperlink_4005"/>
    <hyperlink ref="F4087" r:id="rId_hyperlink_4006"/>
    <hyperlink ref="F4088" r:id="rId_hyperlink_4007"/>
    <hyperlink ref="F4089" r:id="rId_hyperlink_4008"/>
    <hyperlink ref="F4090" r:id="rId_hyperlink_4009"/>
    <hyperlink ref="F4091" r:id="rId_hyperlink_4010"/>
    <hyperlink ref="F4092" r:id="rId_hyperlink_4011"/>
    <hyperlink ref="F4093" r:id="rId_hyperlink_4012"/>
    <hyperlink ref="F4094" r:id="rId_hyperlink_4013"/>
    <hyperlink ref="F4095" r:id="rId_hyperlink_4014"/>
    <hyperlink ref="F4096" r:id="rId_hyperlink_4015"/>
    <hyperlink ref="F4097" r:id="rId_hyperlink_4016"/>
    <hyperlink ref="F4098" r:id="rId_hyperlink_4017"/>
    <hyperlink ref="F4099" r:id="rId_hyperlink_4018"/>
    <hyperlink ref="F4100" r:id="rId_hyperlink_4019"/>
    <hyperlink ref="F4101" r:id="rId_hyperlink_4020"/>
    <hyperlink ref="F4102" r:id="rId_hyperlink_4021"/>
    <hyperlink ref="F4103" r:id="rId_hyperlink_4022"/>
    <hyperlink ref="F4104" r:id="rId_hyperlink_4023"/>
    <hyperlink ref="F4105" r:id="rId_hyperlink_4024"/>
    <hyperlink ref="F4106" r:id="rId_hyperlink_4025"/>
    <hyperlink ref="F4107" r:id="rId_hyperlink_4026"/>
    <hyperlink ref="F4108" r:id="rId_hyperlink_4027"/>
    <hyperlink ref="F4109" r:id="rId_hyperlink_4028"/>
    <hyperlink ref="F4110" r:id="rId_hyperlink_4029"/>
    <hyperlink ref="F4111" r:id="rId_hyperlink_4030"/>
    <hyperlink ref="F4112" r:id="rId_hyperlink_4031"/>
    <hyperlink ref="F4113" r:id="rId_hyperlink_4032"/>
    <hyperlink ref="F4114" r:id="rId_hyperlink_4033"/>
    <hyperlink ref="F4115" r:id="rId_hyperlink_4034"/>
    <hyperlink ref="F4116" r:id="rId_hyperlink_4035"/>
    <hyperlink ref="F4117" r:id="rId_hyperlink_4036"/>
    <hyperlink ref="F4118" r:id="rId_hyperlink_4037"/>
    <hyperlink ref="F4119" r:id="rId_hyperlink_4038"/>
    <hyperlink ref="F4120" r:id="rId_hyperlink_4039"/>
    <hyperlink ref="F4121" r:id="rId_hyperlink_4040"/>
    <hyperlink ref="F4122" r:id="rId_hyperlink_4041"/>
    <hyperlink ref="F4123" r:id="rId_hyperlink_4042"/>
    <hyperlink ref="F4124" r:id="rId_hyperlink_4043"/>
    <hyperlink ref="F4125" r:id="rId_hyperlink_4044"/>
    <hyperlink ref="F4126" r:id="rId_hyperlink_4045"/>
    <hyperlink ref="F4127" r:id="rId_hyperlink_4046"/>
    <hyperlink ref="F4128" r:id="rId_hyperlink_4047"/>
    <hyperlink ref="F4129" r:id="rId_hyperlink_4048"/>
    <hyperlink ref="F4130" r:id="rId_hyperlink_4049"/>
    <hyperlink ref="F4131" r:id="rId_hyperlink_4050"/>
    <hyperlink ref="F4132" r:id="rId_hyperlink_4051"/>
    <hyperlink ref="F4133" r:id="rId_hyperlink_4052"/>
    <hyperlink ref="F4134" r:id="rId_hyperlink_4053"/>
    <hyperlink ref="F4135" r:id="rId_hyperlink_4054"/>
    <hyperlink ref="F4136" r:id="rId_hyperlink_4055"/>
    <hyperlink ref="F4137" r:id="rId_hyperlink_4056"/>
    <hyperlink ref="F4138" r:id="rId_hyperlink_4057"/>
    <hyperlink ref="F4139" r:id="rId_hyperlink_4058"/>
    <hyperlink ref="F4140" r:id="rId_hyperlink_4059"/>
    <hyperlink ref="F4141" r:id="rId_hyperlink_4060"/>
    <hyperlink ref="F4142" r:id="rId_hyperlink_4061"/>
    <hyperlink ref="F4143" r:id="rId_hyperlink_4062"/>
    <hyperlink ref="F4144" r:id="rId_hyperlink_4063"/>
    <hyperlink ref="F4145" r:id="rId_hyperlink_4064"/>
    <hyperlink ref="F4146" r:id="rId_hyperlink_4065"/>
    <hyperlink ref="F4147" r:id="rId_hyperlink_4066"/>
    <hyperlink ref="F4148" r:id="rId_hyperlink_4067"/>
    <hyperlink ref="F4149" r:id="rId_hyperlink_4068"/>
    <hyperlink ref="F4150" r:id="rId_hyperlink_4069"/>
    <hyperlink ref="F4151" r:id="rId_hyperlink_4070"/>
    <hyperlink ref="F4152" r:id="rId_hyperlink_4071"/>
    <hyperlink ref="F4153" r:id="rId_hyperlink_4072"/>
    <hyperlink ref="F4154" r:id="rId_hyperlink_4073"/>
    <hyperlink ref="F4155" r:id="rId_hyperlink_4074"/>
    <hyperlink ref="F4156" r:id="rId_hyperlink_4075"/>
    <hyperlink ref="F4157" r:id="rId_hyperlink_4076"/>
    <hyperlink ref="F4158" r:id="rId_hyperlink_4077"/>
    <hyperlink ref="F4159" r:id="rId_hyperlink_4078"/>
    <hyperlink ref="F4160" r:id="rId_hyperlink_4079"/>
    <hyperlink ref="F4161" r:id="rId_hyperlink_4080"/>
    <hyperlink ref="F4162" r:id="rId_hyperlink_4081"/>
    <hyperlink ref="F4163" r:id="rId_hyperlink_4082"/>
    <hyperlink ref="F4164" r:id="rId_hyperlink_4083"/>
    <hyperlink ref="F4165" r:id="rId_hyperlink_4084"/>
    <hyperlink ref="F4166" r:id="rId_hyperlink_4085"/>
    <hyperlink ref="F4167" r:id="rId_hyperlink_4086"/>
    <hyperlink ref="F4168" r:id="rId_hyperlink_4087"/>
    <hyperlink ref="F4169" r:id="rId_hyperlink_4088"/>
    <hyperlink ref="F4170" r:id="rId_hyperlink_4089"/>
    <hyperlink ref="F4171" r:id="rId_hyperlink_4090"/>
    <hyperlink ref="F4172" r:id="rId_hyperlink_4091"/>
    <hyperlink ref="F4173" r:id="rId_hyperlink_4092"/>
    <hyperlink ref="F4174" r:id="rId_hyperlink_4093"/>
    <hyperlink ref="F4175" r:id="rId_hyperlink_4094"/>
    <hyperlink ref="F4176" r:id="rId_hyperlink_4095"/>
    <hyperlink ref="F4177" r:id="rId_hyperlink_4096"/>
    <hyperlink ref="F4178" r:id="rId_hyperlink_4097"/>
    <hyperlink ref="F4179" r:id="rId_hyperlink_4098"/>
    <hyperlink ref="F4180" r:id="rId_hyperlink_4099"/>
    <hyperlink ref="F4181" r:id="rId_hyperlink_4100"/>
    <hyperlink ref="F4182" r:id="rId_hyperlink_4101"/>
    <hyperlink ref="F4183" r:id="rId_hyperlink_4102"/>
    <hyperlink ref="F4184" r:id="rId_hyperlink_4103"/>
    <hyperlink ref="F4185" r:id="rId_hyperlink_4104"/>
    <hyperlink ref="F4186" r:id="rId_hyperlink_4105"/>
    <hyperlink ref="F4187" r:id="rId_hyperlink_4106"/>
    <hyperlink ref="F4188" r:id="rId_hyperlink_4107"/>
    <hyperlink ref="F4189" r:id="rId_hyperlink_4108"/>
    <hyperlink ref="F4190" r:id="rId_hyperlink_4109"/>
    <hyperlink ref="F4191" r:id="rId_hyperlink_4110"/>
    <hyperlink ref="F4192" r:id="rId_hyperlink_4111"/>
    <hyperlink ref="F4193" r:id="rId_hyperlink_4112"/>
    <hyperlink ref="F4194" r:id="rId_hyperlink_4113"/>
    <hyperlink ref="F4195" r:id="rId_hyperlink_4114"/>
    <hyperlink ref="F4196" r:id="rId_hyperlink_4115"/>
    <hyperlink ref="F4197" r:id="rId_hyperlink_4116"/>
    <hyperlink ref="F4198" r:id="rId_hyperlink_4117"/>
    <hyperlink ref="F4199" r:id="rId_hyperlink_4118"/>
    <hyperlink ref="F4200" r:id="rId_hyperlink_4119"/>
    <hyperlink ref="F4201" r:id="rId_hyperlink_4120"/>
    <hyperlink ref="F4202" r:id="rId_hyperlink_4121"/>
    <hyperlink ref="F4203" r:id="rId_hyperlink_4122"/>
    <hyperlink ref="F4204" r:id="rId_hyperlink_4123"/>
    <hyperlink ref="F4205" r:id="rId_hyperlink_4124"/>
    <hyperlink ref="F4206" r:id="rId_hyperlink_4125"/>
    <hyperlink ref="F4207" r:id="rId_hyperlink_4126"/>
    <hyperlink ref="F4208" r:id="rId_hyperlink_4127"/>
    <hyperlink ref="F4209" r:id="rId_hyperlink_4128"/>
    <hyperlink ref="F4210" r:id="rId_hyperlink_4129"/>
    <hyperlink ref="F4211" r:id="rId_hyperlink_4130"/>
    <hyperlink ref="F4212" r:id="rId_hyperlink_4131"/>
    <hyperlink ref="F4213" r:id="rId_hyperlink_4132"/>
    <hyperlink ref="F4214" r:id="rId_hyperlink_4133"/>
    <hyperlink ref="F4215" r:id="rId_hyperlink_4134"/>
    <hyperlink ref="F4216" r:id="rId_hyperlink_4135"/>
    <hyperlink ref="F4217" r:id="rId_hyperlink_4136"/>
    <hyperlink ref="F4218" r:id="rId_hyperlink_4137"/>
    <hyperlink ref="F4219" r:id="rId_hyperlink_4138"/>
    <hyperlink ref="F4220" r:id="rId_hyperlink_4139"/>
    <hyperlink ref="F4221" r:id="rId_hyperlink_4140"/>
    <hyperlink ref="F4222" r:id="rId_hyperlink_4141"/>
    <hyperlink ref="F4223" r:id="rId_hyperlink_4142"/>
    <hyperlink ref="F4224" r:id="rId_hyperlink_4143"/>
    <hyperlink ref="F4225" r:id="rId_hyperlink_4144"/>
    <hyperlink ref="F4226" r:id="rId_hyperlink_4145"/>
    <hyperlink ref="F4227" r:id="rId_hyperlink_4146"/>
    <hyperlink ref="F4228" r:id="rId_hyperlink_4147"/>
    <hyperlink ref="F4229" r:id="rId_hyperlink_4148"/>
    <hyperlink ref="F4230" r:id="rId_hyperlink_4149"/>
    <hyperlink ref="F4231" r:id="rId_hyperlink_4150"/>
    <hyperlink ref="F4232" r:id="rId_hyperlink_4151"/>
    <hyperlink ref="F4233" r:id="rId_hyperlink_4152"/>
    <hyperlink ref="F4234" r:id="rId_hyperlink_4153"/>
    <hyperlink ref="F4235" r:id="rId_hyperlink_4154"/>
    <hyperlink ref="F4236" r:id="rId_hyperlink_4155"/>
    <hyperlink ref="F4237" r:id="rId_hyperlink_4156"/>
    <hyperlink ref="F4238" r:id="rId_hyperlink_4157"/>
    <hyperlink ref="F4239" r:id="rId_hyperlink_4158"/>
    <hyperlink ref="F4240" r:id="rId_hyperlink_4159"/>
    <hyperlink ref="F4241" r:id="rId_hyperlink_4160"/>
    <hyperlink ref="F4242" r:id="rId_hyperlink_4161"/>
    <hyperlink ref="F4243" r:id="rId_hyperlink_4162"/>
    <hyperlink ref="F4244" r:id="rId_hyperlink_4163"/>
    <hyperlink ref="F4245" r:id="rId_hyperlink_4164"/>
    <hyperlink ref="F4246" r:id="rId_hyperlink_4165"/>
    <hyperlink ref="F4247" r:id="rId_hyperlink_4166"/>
    <hyperlink ref="F4248" r:id="rId_hyperlink_4167"/>
    <hyperlink ref="F4249" r:id="rId_hyperlink_4168"/>
    <hyperlink ref="F4250" r:id="rId_hyperlink_4169"/>
    <hyperlink ref="F4251" r:id="rId_hyperlink_4170"/>
    <hyperlink ref="F4252" r:id="rId_hyperlink_4171"/>
    <hyperlink ref="F4253" r:id="rId_hyperlink_4172"/>
    <hyperlink ref="F4254" r:id="rId_hyperlink_4173"/>
    <hyperlink ref="F4255" r:id="rId_hyperlink_4174"/>
    <hyperlink ref="F4256" r:id="rId_hyperlink_4175"/>
    <hyperlink ref="F4257" r:id="rId_hyperlink_4176"/>
    <hyperlink ref="F4258" r:id="rId_hyperlink_4177"/>
    <hyperlink ref="F4259" r:id="rId_hyperlink_4178"/>
    <hyperlink ref="F4260" r:id="rId_hyperlink_4179"/>
    <hyperlink ref="F4261" r:id="rId_hyperlink_4180"/>
    <hyperlink ref="F4262" r:id="rId_hyperlink_4181"/>
    <hyperlink ref="F4263" r:id="rId_hyperlink_4182"/>
    <hyperlink ref="F4264" r:id="rId_hyperlink_4183"/>
    <hyperlink ref="F4265" r:id="rId_hyperlink_4184"/>
    <hyperlink ref="F4266" r:id="rId_hyperlink_4185"/>
    <hyperlink ref="F4267" r:id="rId_hyperlink_4186"/>
    <hyperlink ref="F4268" r:id="rId_hyperlink_4187"/>
    <hyperlink ref="F4269" r:id="rId_hyperlink_4188"/>
    <hyperlink ref="F4270" r:id="rId_hyperlink_4189"/>
    <hyperlink ref="F4271" r:id="rId_hyperlink_4190"/>
    <hyperlink ref="F4272" r:id="rId_hyperlink_4191"/>
    <hyperlink ref="F4273" r:id="rId_hyperlink_4192"/>
    <hyperlink ref="F4274" r:id="rId_hyperlink_4193"/>
    <hyperlink ref="F4275" r:id="rId_hyperlink_4194"/>
    <hyperlink ref="F4276" r:id="rId_hyperlink_4195"/>
    <hyperlink ref="F4277" r:id="rId_hyperlink_4196"/>
    <hyperlink ref="F4278" r:id="rId_hyperlink_4197"/>
    <hyperlink ref="F4279" r:id="rId_hyperlink_4198"/>
    <hyperlink ref="F4280" r:id="rId_hyperlink_4199"/>
    <hyperlink ref="F4281" r:id="rId_hyperlink_4200"/>
    <hyperlink ref="F4282" r:id="rId_hyperlink_4201"/>
    <hyperlink ref="F4283" r:id="rId_hyperlink_4202"/>
    <hyperlink ref="F4284" r:id="rId_hyperlink_4203"/>
    <hyperlink ref="F4285" r:id="rId_hyperlink_4204"/>
    <hyperlink ref="F4286" r:id="rId_hyperlink_4205"/>
    <hyperlink ref="F4287" r:id="rId_hyperlink_4206"/>
    <hyperlink ref="F4288" r:id="rId_hyperlink_4207"/>
    <hyperlink ref="F4289" r:id="rId_hyperlink_4208"/>
    <hyperlink ref="F4290" r:id="rId_hyperlink_4209"/>
    <hyperlink ref="F4291" r:id="rId_hyperlink_4210"/>
    <hyperlink ref="F4292" r:id="rId_hyperlink_4211"/>
    <hyperlink ref="F4293" r:id="rId_hyperlink_4212"/>
    <hyperlink ref="F4294" r:id="rId_hyperlink_4213"/>
    <hyperlink ref="F4295" r:id="rId_hyperlink_4214"/>
    <hyperlink ref="F4296" r:id="rId_hyperlink_4215"/>
    <hyperlink ref="F4297" r:id="rId_hyperlink_4216"/>
    <hyperlink ref="F4298" r:id="rId_hyperlink_4217"/>
    <hyperlink ref="F4299" r:id="rId_hyperlink_4218"/>
    <hyperlink ref="F4300" r:id="rId_hyperlink_4219"/>
    <hyperlink ref="F4301" r:id="rId_hyperlink_4220"/>
    <hyperlink ref="F4302" r:id="rId_hyperlink_4221"/>
    <hyperlink ref="F4303" r:id="rId_hyperlink_4222"/>
    <hyperlink ref="F4304" r:id="rId_hyperlink_4223"/>
    <hyperlink ref="F4305" r:id="rId_hyperlink_4224"/>
    <hyperlink ref="F4306" r:id="rId_hyperlink_4225"/>
    <hyperlink ref="F4307" r:id="rId_hyperlink_4226"/>
    <hyperlink ref="F4308" r:id="rId_hyperlink_4227"/>
    <hyperlink ref="F4309" r:id="rId_hyperlink_4228"/>
    <hyperlink ref="F4310" r:id="rId_hyperlink_4229"/>
    <hyperlink ref="F4311" r:id="rId_hyperlink_4230"/>
    <hyperlink ref="F4312" r:id="rId_hyperlink_4231"/>
    <hyperlink ref="F4313" r:id="rId_hyperlink_4232"/>
    <hyperlink ref="F4314" r:id="rId_hyperlink_4233"/>
    <hyperlink ref="F4315" r:id="rId_hyperlink_4234"/>
    <hyperlink ref="F4316" r:id="rId_hyperlink_4235"/>
    <hyperlink ref="F4317" r:id="rId_hyperlink_4236"/>
    <hyperlink ref="F4318" r:id="rId_hyperlink_4237"/>
    <hyperlink ref="F4319" r:id="rId_hyperlink_4238"/>
    <hyperlink ref="F4320" r:id="rId_hyperlink_4239"/>
    <hyperlink ref="F4321" r:id="rId_hyperlink_4240"/>
    <hyperlink ref="F4322" r:id="rId_hyperlink_4241"/>
    <hyperlink ref="F4323" r:id="rId_hyperlink_4242"/>
    <hyperlink ref="F4324" r:id="rId_hyperlink_4243"/>
    <hyperlink ref="F4325" r:id="rId_hyperlink_4244"/>
    <hyperlink ref="F4326" r:id="rId_hyperlink_4245"/>
    <hyperlink ref="F4327" r:id="rId_hyperlink_4246"/>
    <hyperlink ref="F4328" r:id="rId_hyperlink_4247"/>
    <hyperlink ref="F4329" r:id="rId_hyperlink_4248"/>
    <hyperlink ref="F4330" r:id="rId_hyperlink_4249"/>
    <hyperlink ref="F4331" r:id="rId_hyperlink_4250"/>
    <hyperlink ref="F4332" r:id="rId_hyperlink_4251"/>
    <hyperlink ref="F4333" r:id="rId_hyperlink_4252"/>
    <hyperlink ref="F4334" r:id="rId_hyperlink_4253"/>
    <hyperlink ref="F4335" r:id="rId_hyperlink_4254"/>
    <hyperlink ref="F4336" r:id="rId_hyperlink_4255"/>
    <hyperlink ref="F4337" r:id="rId_hyperlink_4256"/>
    <hyperlink ref="F4338" r:id="rId_hyperlink_4257"/>
    <hyperlink ref="F4339" r:id="rId_hyperlink_4258"/>
    <hyperlink ref="F4340" r:id="rId_hyperlink_4259"/>
    <hyperlink ref="F4341" r:id="rId_hyperlink_4260"/>
    <hyperlink ref="F4342" r:id="rId_hyperlink_4261"/>
    <hyperlink ref="F4343" r:id="rId_hyperlink_4262"/>
    <hyperlink ref="F4344" r:id="rId_hyperlink_4263"/>
    <hyperlink ref="F4345" r:id="rId_hyperlink_4264"/>
    <hyperlink ref="F4346" r:id="rId_hyperlink_4265"/>
    <hyperlink ref="F4347" r:id="rId_hyperlink_4266"/>
    <hyperlink ref="F4348" r:id="rId_hyperlink_4267"/>
    <hyperlink ref="F4349" r:id="rId_hyperlink_4268"/>
    <hyperlink ref="F4350" r:id="rId_hyperlink_4269"/>
    <hyperlink ref="F4351" r:id="rId_hyperlink_4270"/>
    <hyperlink ref="F4352" r:id="rId_hyperlink_4271"/>
    <hyperlink ref="F4353" r:id="rId_hyperlink_4272"/>
    <hyperlink ref="F4354" r:id="rId_hyperlink_4273"/>
    <hyperlink ref="F4355" r:id="rId_hyperlink_4274"/>
    <hyperlink ref="F4356" r:id="rId_hyperlink_4275"/>
    <hyperlink ref="F4357" r:id="rId_hyperlink_4276"/>
    <hyperlink ref="F4358" r:id="rId_hyperlink_4277"/>
    <hyperlink ref="F4359" r:id="rId_hyperlink_4278"/>
    <hyperlink ref="F4360" r:id="rId_hyperlink_4279"/>
    <hyperlink ref="F4361" r:id="rId_hyperlink_4280"/>
    <hyperlink ref="F4362" r:id="rId_hyperlink_4281"/>
    <hyperlink ref="F4363" r:id="rId_hyperlink_4282"/>
    <hyperlink ref="F4364" r:id="rId_hyperlink_4283"/>
    <hyperlink ref="F4365" r:id="rId_hyperlink_4284"/>
    <hyperlink ref="F4366" r:id="rId_hyperlink_4285"/>
    <hyperlink ref="F4367" r:id="rId_hyperlink_4286"/>
    <hyperlink ref="F4368" r:id="rId_hyperlink_4287"/>
    <hyperlink ref="F4369" r:id="rId_hyperlink_4288"/>
    <hyperlink ref="F4370" r:id="rId_hyperlink_4289"/>
    <hyperlink ref="F4371" r:id="rId_hyperlink_4290"/>
    <hyperlink ref="F4372" r:id="rId_hyperlink_4291"/>
    <hyperlink ref="F4373" r:id="rId_hyperlink_4292"/>
    <hyperlink ref="F4374" r:id="rId_hyperlink_4293"/>
    <hyperlink ref="F4375" r:id="rId_hyperlink_4294"/>
    <hyperlink ref="F4376" r:id="rId_hyperlink_4295"/>
    <hyperlink ref="F4377" r:id="rId_hyperlink_4296"/>
    <hyperlink ref="F4378" r:id="rId_hyperlink_4297"/>
    <hyperlink ref="F4379" r:id="rId_hyperlink_4298"/>
    <hyperlink ref="F4380" r:id="rId_hyperlink_4299"/>
    <hyperlink ref="F4381" r:id="rId_hyperlink_4300"/>
    <hyperlink ref="F4382" r:id="rId_hyperlink_4301"/>
    <hyperlink ref="F4383" r:id="rId_hyperlink_4302"/>
    <hyperlink ref="F4384" r:id="rId_hyperlink_4303"/>
    <hyperlink ref="F4385" r:id="rId_hyperlink_4304"/>
    <hyperlink ref="F4386" r:id="rId_hyperlink_4305"/>
    <hyperlink ref="F4387" r:id="rId_hyperlink_4306"/>
    <hyperlink ref="F4388" r:id="rId_hyperlink_4307"/>
    <hyperlink ref="F4389" r:id="rId_hyperlink_4308"/>
    <hyperlink ref="F4390" r:id="rId_hyperlink_4309"/>
    <hyperlink ref="F4391" r:id="rId_hyperlink_4310"/>
    <hyperlink ref="F4392" r:id="rId_hyperlink_4311"/>
    <hyperlink ref="F4393" r:id="rId_hyperlink_4312"/>
    <hyperlink ref="F4394" r:id="rId_hyperlink_4313"/>
    <hyperlink ref="F4395" r:id="rId_hyperlink_4314"/>
    <hyperlink ref="F4396" r:id="rId_hyperlink_4315"/>
    <hyperlink ref="F4397" r:id="rId_hyperlink_4316"/>
    <hyperlink ref="F4398" r:id="rId_hyperlink_4317"/>
    <hyperlink ref="F4399" r:id="rId_hyperlink_4318"/>
    <hyperlink ref="F4400" r:id="rId_hyperlink_4319"/>
    <hyperlink ref="F4401" r:id="rId_hyperlink_4320"/>
    <hyperlink ref="F4402" r:id="rId_hyperlink_4321"/>
    <hyperlink ref="F4403" r:id="rId_hyperlink_4322"/>
    <hyperlink ref="F4404" r:id="rId_hyperlink_4323"/>
    <hyperlink ref="F4405" r:id="rId_hyperlink_4324"/>
    <hyperlink ref="F4406" r:id="rId_hyperlink_4325"/>
    <hyperlink ref="F4407" r:id="rId_hyperlink_4326"/>
    <hyperlink ref="F4408" r:id="rId_hyperlink_4327"/>
    <hyperlink ref="F4409" r:id="rId_hyperlink_4328"/>
    <hyperlink ref="F4410" r:id="rId_hyperlink_4329"/>
    <hyperlink ref="F4411" r:id="rId_hyperlink_4330"/>
    <hyperlink ref="F4412" r:id="rId_hyperlink_4331"/>
    <hyperlink ref="F4413" r:id="rId_hyperlink_4332"/>
    <hyperlink ref="F4414" r:id="rId_hyperlink_4333"/>
    <hyperlink ref="F4415" r:id="rId_hyperlink_4334"/>
    <hyperlink ref="F4416" r:id="rId_hyperlink_4335"/>
    <hyperlink ref="F4417" r:id="rId_hyperlink_4336"/>
    <hyperlink ref="F4418" r:id="rId_hyperlink_4337"/>
    <hyperlink ref="F4419" r:id="rId_hyperlink_4338"/>
    <hyperlink ref="F4420" r:id="rId_hyperlink_4339"/>
    <hyperlink ref="F4421" r:id="rId_hyperlink_4340"/>
    <hyperlink ref="F4422" r:id="rId_hyperlink_4341"/>
    <hyperlink ref="F4423" r:id="rId_hyperlink_4342"/>
    <hyperlink ref="F4424" r:id="rId_hyperlink_4343"/>
    <hyperlink ref="F4425" r:id="rId_hyperlink_4344"/>
    <hyperlink ref="F4426" r:id="rId_hyperlink_4345"/>
    <hyperlink ref="F4427" r:id="rId_hyperlink_4346"/>
    <hyperlink ref="F4428" r:id="rId_hyperlink_4347"/>
    <hyperlink ref="F4429" r:id="rId_hyperlink_4348"/>
    <hyperlink ref="F4430" r:id="rId_hyperlink_4349"/>
    <hyperlink ref="F4431" r:id="rId_hyperlink_4350"/>
    <hyperlink ref="F4432" r:id="rId_hyperlink_4351"/>
    <hyperlink ref="F4433" r:id="rId_hyperlink_4352"/>
    <hyperlink ref="F4434" r:id="rId_hyperlink_4353"/>
    <hyperlink ref="F4435" r:id="rId_hyperlink_4354"/>
    <hyperlink ref="F4436" r:id="rId_hyperlink_4355"/>
    <hyperlink ref="F4437" r:id="rId_hyperlink_4356"/>
    <hyperlink ref="F4438" r:id="rId_hyperlink_4357"/>
    <hyperlink ref="F4439" r:id="rId_hyperlink_4358"/>
    <hyperlink ref="F4440" r:id="rId_hyperlink_4359"/>
    <hyperlink ref="F4441" r:id="rId_hyperlink_4360"/>
    <hyperlink ref="F4442" r:id="rId_hyperlink_4361"/>
    <hyperlink ref="F4443" r:id="rId_hyperlink_4362"/>
    <hyperlink ref="F4444" r:id="rId_hyperlink_4363"/>
    <hyperlink ref="F4445" r:id="rId_hyperlink_4364"/>
    <hyperlink ref="F4446" r:id="rId_hyperlink_4365"/>
    <hyperlink ref="F4447" r:id="rId_hyperlink_4366"/>
    <hyperlink ref="F4448" r:id="rId_hyperlink_4367"/>
    <hyperlink ref="F4449" r:id="rId_hyperlink_4368"/>
    <hyperlink ref="F4450" r:id="rId_hyperlink_4369"/>
    <hyperlink ref="F4451" r:id="rId_hyperlink_4370"/>
    <hyperlink ref="F4452" r:id="rId_hyperlink_4371"/>
    <hyperlink ref="F4453" r:id="rId_hyperlink_4372"/>
    <hyperlink ref="F4454" r:id="rId_hyperlink_4373"/>
    <hyperlink ref="F4455" r:id="rId_hyperlink_4374"/>
    <hyperlink ref="F4456" r:id="rId_hyperlink_4375"/>
    <hyperlink ref="F4457" r:id="rId_hyperlink_4376"/>
    <hyperlink ref="F4458" r:id="rId_hyperlink_4377"/>
    <hyperlink ref="F4459" r:id="rId_hyperlink_4378"/>
    <hyperlink ref="F4460" r:id="rId_hyperlink_4379"/>
    <hyperlink ref="F4461" r:id="rId_hyperlink_4380"/>
    <hyperlink ref="F4462" r:id="rId_hyperlink_4381"/>
    <hyperlink ref="F4463" r:id="rId_hyperlink_4382"/>
    <hyperlink ref="F4464" r:id="rId_hyperlink_4383"/>
    <hyperlink ref="F4465" r:id="rId_hyperlink_4384"/>
    <hyperlink ref="F4466" r:id="rId_hyperlink_4385"/>
    <hyperlink ref="F4467" r:id="rId_hyperlink_4386"/>
    <hyperlink ref="F4468" r:id="rId_hyperlink_4387"/>
    <hyperlink ref="F4469" r:id="rId_hyperlink_4388"/>
    <hyperlink ref="F4470" r:id="rId_hyperlink_4389"/>
    <hyperlink ref="F4471" r:id="rId_hyperlink_4390"/>
    <hyperlink ref="F4472" r:id="rId_hyperlink_4391"/>
    <hyperlink ref="F4473" r:id="rId_hyperlink_4392"/>
    <hyperlink ref="F4474" r:id="rId_hyperlink_4393"/>
    <hyperlink ref="F4475" r:id="rId_hyperlink_4394"/>
    <hyperlink ref="F4476" r:id="rId_hyperlink_4395"/>
    <hyperlink ref="F4477" r:id="rId_hyperlink_4396"/>
    <hyperlink ref="F4478" r:id="rId_hyperlink_4397"/>
    <hyperlink ref="F4479" r:id="rId_hyperlink_4398"/>
    <hyperlink ref="F4480" r:id="rId_hyperlink_4399"/>
    <hyperlink ref="F4481" r:id="rId_hyperlink_4400"/>
    <hyperlink ref="F4482" r:id="rId_hyperlink_4401"/>
    <hyperlink ref="F4483" r:id="rId_hyperlink_4402"/>
    <hyperlink ref="F4484" r:id="rId_hyperlink_4403"/>
    <hyperlink ref="F4485" r:id="rId_hyperlink_4404"/>
    <hyperlink ref="F4486" r:id="rId_hyperlink_4405"/>
    <hyperlink ref="F4487" r:id="rId_hyperlink_4406"/>
    <hyperlink ref="F4488" r:id="rId_hyperlink_4407"/>
    <hyperlink ref="F4489" r:id="rId_hyperlink_4408"/>
    <hyperlink ref="F4490" r:id="rId_hyperlink_4409"/>
    <hyperlink ref="F4491" r:id="rId_hyperlink_4410"/>
    <hyperlink ref="F4492" r:id="rId_hyperlink_4411"/>
    <hyperlink ref="F4493" r:id="rId_hyperlink_4412"/>
    <hyperlink ref="F4494" r:id="rId_hyperlink_4413"/>
    <hyperlink ref="F4495" r:id="rId_hyperlink_4414"/>
    <hyperlink ref="F4496" r:id="rId_hyperlink_4415"/>
    <hyperlink ref="F4497" r:id="rId_hyperlink_4416"/>
    <hyperlink ref="F4498" r:id="rId_hyperlink_4417"/>
    <hyperlink ref="F4499" r:id="rId_hyperlink_4418"/>
    <hyperlink ref="F4500" r:id="rId_hyperlink_4419"/>
    <hyperlink ref="F4501" r:id="rId_hyperlink_4420"/>
    <hyperlink ref="F4502" r:id="rId_hyperlink_4421"/>
    <hyperlink ref="F4503" r:id="rId_hyperlink_4422"/>
    <hyperlink ref="F4504" r:id="rId_hyperlink_4423"/>
    <hyperlink ref="F4505" r:id="rId_hyperlink_4424"/>
    <hyperlink ref="F4506" r:id="rId_hyperlink_4425"/>
    <hyperlink ref="F4507" r:id="rId_hyperlink_4426"/>
    <hyperlink ref="F4508" r:id="rId_hyperlink_4427"/>
    <hyperlink ref="F4509" r:id="rId_hyperlink_4428"/>
    <hyperlink ref="F4510" r:id="rId_hyperlink_4429"/>
    <hyperlink ref="F4511" r:id="rId_hyperlink_4430"/>
    <hyperlink ref="F4512" r:id="rId_hyperlink_4431"/>
    <hyperlink ref="F4513" r:id="rId_hyperlink_4432"/>
    <hyperlink ref="F4514" r:id="rId_hyperlink_4433"/>
    <hyperlink ref="F4515" r:id="rId_hyperlink_4434"/>
    <hyperlink ref="F4516" r:id="rId_hyperlink_4435"/>
    <hyperlink ref="F4517" r:id="rId_hyperlink_4436"/>
    <hyperlink ref="F4518" r:id="rId_hyperlink_4437"/>
    <hyperlink ref="F4519" r:id="rId_hyperlink_4438"/>
    <hyperlink ref="F4520" r:id="rId_hyperlink_4439"/>
    <hyperlink ref="F4521" r:id="rId_hyperlink_4440"/>
    <hyperlink ref="F4522" r:id="rId_hyperlink_4441"/>
    <hyperlink ref="F4523" r:id="rId_hyperlink_4442"/>
    <hyperlink ref="F4524" r:id="rId_hyperlink_4443"/>
    <hyperlink ref="F4525" r:id="rId_hyperlink_4444"/>
    <hyperlink ref="F4526" r:id="rId_hyperlink_4445"/>
    <hyperlink ref="F4527" r:id="rId_hyperlink_4446"/>
    <hyperlink ref="F4528" r:id="rId_hyperlink_4447"/>
    <hyperlink ref="F4529" r:id="rId_hyperlink_4448"/>
    <hyperlink ref="F4530" r:id="rId_hyperlink_4449"/>
    <hyperlink ref="F4531" r:id="rId_hyperlink_4450"/>
    <hyperlink ref="F4532" r:id="rId_hyperlink_4451"/>
    <hyperlink ref="F4533" r:id="rId_hyperlink_4452"/>
    <hyperlink ref="F4534" r:id="rId_hyperlink_4453"/>
    <hyperlink ref="F4535" r:id="rId_hyperlink_4454"/>
    <hyperlink ref="F4536" r:id="rId_hyperlink_4455"/>
    <hyperlink ref="F4537" r:id="rId_hyperlink_4456"/>
    <hyperlink ref="F4538" r:id="rId_hyperlink_4457"/>
    <hyperlink ref="F4539" r:id="rId_hyperlink_4458"/>
    <hyperlink ref="F4540" r:id="rId_hyperlink_4459"/>
    <hyperlink ref="F4541" r:id="rId_hyperlink_4460"/>
    <hyperlink ref="F4542" r:id="rId_hyperlink_4461"/>
    <hyperlink ref="F4543" r:id="rId_hyperlink_4462"/>
    <hyperlink ref="F4544" r:id="rId_hyperlink_4463"/>
    <hyperlink ref="F4545" r:id="rId_hyperlink_4464"/>
    <hyperlink ref="F4546" r:id="rId_hyperlink_4465"/>
    <hyperlink ref="F4547" r:id="rId_hyperlink_4466"/>
    <hyperlink ref="F4548" r:id="rId_hyperlink_4467"/>
    <hyperlink ref="F4549" r:id="rId_hyperlink_4468"/>
    <hyperlink ref="F4550" r:id="rId_hyperlink_4469"/>
    <hyperlink ref="F4551" r:id="rId_hyperlink_4470"/>
    <hyperlink ref="F4552" r:id="rId_hyperlink_4471"/>
    <hyperlink ref="F4553" r:id="rId_hyperlink_4472"/>
    <hyperlink ref="F4554" r:id="rId_hyperlink_4473"/>
    <hyperlink ref="F4555" r:id="rId_hyperlink_4474"/>
    <hyperlink ref="F4556" r:id="rId_hyperlink_4475"/>
    <hyperlink ref="F4557" r:id="rId_hyperlink_4476"/>
    <hyperlink ref="F4558" r:id="rId_hyperlink_4477"/>
    <hyperlink ref="F4559" r:id="rId_hyperlink_4478"/>
    <hyperlink ref="F4560" r:id="rId_hyperlink_4479"/>
    <hyperlink ref="F4561" r:id="rId_hyperlink_4480"/>
    <hyperlink ref="F4562" r:id="rId_hyperlink_4481"/>
    <hyperlink ref="F4563" r:id="rId_hyperlink_4482"/>
    <hyperlink ref="F4564" r:id="rId_hyperlink_4483"/>
    <hyperlink ref="F4565" r:id="rId_hyperlink_4484"/>
    <hyperlink ref="F4566" r:id="rId_hyperlink_4485"/>
    <hyperlink ref="F4567" r:id="rId_hyperlink_4486"/>
    <hyperlink ref="F4568" r:id="rId_hyperlink_4487"/>
    <hyperlink ref="F4569" r:id="rId_hyperlink_4488"/>
    <hyperlink ref="F4570" r:id="rId_hyperlink_4489"/>
    <hyperlink ref="F4571" r:id="rId_hyperlink_4490"/>
    <hyperlink ref="F4572" r:id="rId_hyperlink_4491"/>
    <hyperlink ref="F4573" r:id="rId_hyperlink_4492"/>
    <hyperlink ref="F4574" r:id="rId_hyperlink_4493"/>
    <hyperlink ref="F4575" r:id="rId_hyperlink_4494"/>
    <hyperlink ref="F4576" r:id="rId_hyperlink_4495"/>
    <hyperlink ref="F4577" r:id="rId_hyperlink_4496"/>
    <hyperlink ref="F4578" r:id="rId_hyperlink_4497"/>
    <hyperlink ref="F4579" r:id="rId_hyperlink_4498"/>
    <hyperlink ref="F4580" r:id="rId_hyperlink_4499"/>
    <hyperlink ref="F4581" r:id="rId_hyperlink_4500"/>
    <hyperlink ref="F4582" r:id="rId_hyperlink_4501"/>
    <hyperlink ref="F4583" r:id="rId_hyperlink_4502"/>
    <hyperlink ref="F4584" r:id="rId_hyperlink_4503"/>
    <hyperlink ref="F4585" r:id="rId_hyperlink_4504"/>
    <hyperlink ref="F4586" r:id="rId_hyperlink_4505"/>
    <hyperlink ref="F4587" r:id="rId_hyperlink_4506"/>
    <hyperlink ref="F4588" r:id="rId_hyperlink_4507"/>
    <hyperlink ref="F4589" r:id="rId_hyperlink_4508"/>
    <hyperlink ref="F4590" r:id="rId_hyperlink_4509"/>
    <hyperlink ref="F4591" r:id="rId_hyperlink_4510"/>
    <hyperlink ref="F4592" r:id="rId_hyperlink_4511"/>
    <hyperlink ref="F4593" r:id="rId_hyperlink_4512"/>
    <hyperlink ref="F4594" r:id="rId_hyperlink_4513"/>
    <hyperlink ref="F4595" r:id="rId_hyperlink_4514"/>
    <hyperlink ref="F4596" r:id="rId_hyperlink_4515"/>
    <hyperlink ref="F4597" r:id="rId_hyperlink_4516"/>
    <hyperlink ref="F4598" r:id="rId_hyperlink_4517"/>
    <hyperlink ref="F4599" r:id="rId_hyperlink_4518"/>
    <hyperlink ref="F4600" r:id="rId_hyperlink_4519"/>
    <hyperlink ref="F4601" r:id="rId_hyperlink_4520"/>
    <hyperlink ref="F4602" r:id="rId_hyperlink_4521"/>
    <hyperlink ref="F4603" r:id="rId_hyperlink_4522"/>
    <hyperlink ref="F4604" r:id="rId_hyperlink_4523"/>
    <hyperlink ref="F4605" r:id="rId_hyperlink_4524"/>
    <hyperlink ref="F4606" r:id="rId_hyperlink_4525"/>
    <hyperlink ref="F4607" r:id="rId_hyperlink_4526"/>
    <hyperlink ref="F4608" r:id="rId_hyperlink_4527"/>
    <hyperlink ref="F4609" r:id="rId_hyperlink_4528"/>
    <hyperlink ref="F4610" r:id="rId_hyperlink_4529"/>
    <hyperlink ref="F4611" r:id="rId_hyperlink_4530"/>
    <hyperlink ref="F4612" r:id="rId_hyperlink_4531"/>
    <hyperlink ref="F4613" r:id="rId_hyperlink_4532"/>
    <hyperlink ref="F4614" r:id="rId_hyperlink_4533"/>
    <hyperlink ref="F4615" r:id="rId_hyperlink_4534"/>
    <hyperlink ref="F4616" r:id="rId_hyperlink_4535"/>
    <hyperlink ref="F4617" r:id="rId_hyperlink_4536"/>
    <hyperlink ref="F4618" r:id="rId_hyperlink_4537"/>
    <hyperlink ref="F4619" r:id="rId_hyperlink_4538"/>
    <hyperlink ref="F4620" r:id="rId_hyperlink_4539"/>
    <hyperlink ref="F4621" r:id="rId_hyperlink_4540"/>
    <hyperlink ref="F4622" r:id="rId_hyperlink_4541"/>
    <hyperlink ref="F4623" r:id="rId_hyperlink_4542"/>
    <hyperlink ref="F4624" r:id="rId_hyperlink_4543"/>
    <hyperlink ref="F4625" r:id="rId_hyperlink_4544"/>
    <hyperlink ref="F4626" r:id="rId_hyperlink_4545"/>
    <hyperlink ref="F4627" r:id="rId_hyperlink_4546"/>
    <hyperlink ref="F4628" r:id="rId_hyperlink_4547"/>
    <hyperlink ref="F4629" r:id="rId_hyperlink_4548"/>
    <hyperlink ref="F4630" r:id="rId_hyperlink_4549"/>
    <hyperlink ref="F4631" r:id="rId_hyperlink_4550"/>
    <hyperlink ref="F4632" r:id="rId_hyperlink_4551"/>
    <hyperlink ref="F4633" r:id="rId_hyperlink_4552"/>
    <hyperlink ref="F4634" r:id="rId_hyperlink_4553"/>
    <hyperlink ref="F4635" r:id="rId_hyperlink_4554"/>
    <hyperlink ref="F4636" r:id="rId_hyperlink_4555"/>
    <hyperlink ref="F4637" r:id="rId_hyperlink_4556"/>
    <hyperlink ref="F4638" r:id="rId_hyperlink_4557"/>
    <hyperlink ref="F4639" r:id="rId_hyperlink_4558"/>
    <hyperlink ref="F4640" r:id="rId_hyperlink_4559"/>
    <hyperlink ref="F4641" r:id="rId_hyperlink_4560"/>
    <hyperlink ref="F4642" r:id="rId_hyperlink_4561"/>
    <hyperlink ref="F4643" r:id="rId_hyperlink_4562"/>
    <hyperlink ref="F4644" r:id="rId_hyperlink_4563"/>
    <hyperlink ref="F4645" r:id="rId_hyperlink_4564"/>
    <hyperlink ref="F4646" r:id="rId_hyperlink_4565"/>
    <hyperlink ref="F4647" r:id="rId_hyperlink_4566"/>
    <hyperlink ref="F4648" r:id="rId_hyperlink_4567"/>
    <hyperlink ref="F4649" r:id="rId_hyperlink_4568"/>
    <hyperlink ref="F4650" r:id="rId_hyperlink_4569"/>
    <hyperlink ref="F4651" r:id="rId_hyperlink_4570"/>
    <hyperlink ref="F4652" r:id="rId_hyperlink_4571"/>
    <hyperlink ref="F4653" r:id="rId_hyperlink_4572"/>
    <hyperlink ref="F4654" r:id="rId_hyperlink_4573"/>
    <hyperlink ref="F4655" r:id="rId_hyperlink_4574"/>
    <hyperlink ref="F4656" r:id="rId_hyperlink_4575"/>
    <hyperlink ref="F4657" r:id="rId_hyperlink_4576"/>
    <hyperlink ref="F4658" r:id="rId_hyperlink_4577"/>
    <hyperlink ref="F4659" r:id="rId_hyperlink_4578"/>
    <hyperlink ref="F4660" r:id="rId_hyperlink_4579"/>
    <hyperlink ref="F4661" r:id="rId_hyperlink_4580"/>
    <hyperlink ref="F4662" r:id="rId_hyperlink_4581"/>
    <hyperlink ref="F4663" r:id="rId_hyperlink_4582"/>
    <hyperlink ref="F4664" r:id="rId_hyperlink_4583"/>
    <hyperlink ref="F4665" r:id="rId_hyperlink_4584"/>
    <hyperlink ref="F4666" r:id="rId_hyperlink_4585"/>
    <hyperlink ref="F4667" r:id="rId_hyperlink_4586"/>
    <hyperlink ref="F4668" r:id="rId_hyperlink_4587"/>
    <hyperlink ref="F4669" r:id="rId_hyperlink_4588"/>
    <hyperlink ref="F4670" r:id="rId_hyperlink_4589"/>
    <hyperlink ref="F4671" r:id="rId_hyperlink_4590"/>
    <hyperlink ref="F4672" r:id="rId_hyperlink_4591"/>
    <hyperlink ref="F4673" r:id="rId_hyperlink_4592"/>
    <hyperlink ref="F4674" r:id="rId_hyperlink_4593"/>
    <hyperlink ref="F4675" r:id="rId_hyperlink_4594"/>
    <hyperlink ref="F4676" r:id="rId_hyperlink_4595"/>
    <hyperlink ref="F4677" r:id="rId_hyperlink_4596"/>
    <hyperlink ref="F4678" r:id="rId_hyperlink_4597"/>
    <hyperlink ref="F4679" r:id="rId_hyperlink_4598"/>
    <hyperlink ref="F4680" r:id="rId_hyperlink_4599"/>
    <hyperlink ref="F4681" r:id="rId_hyperlink_4600"/>
    <hyperlink ref="F4682" r:id="rId_hyperlink_4601"/>
    <hyperlink ref="F4683" r:id="rId_hyperlink_4602"/>
    <hyperlink ref="F4684" r:id="rId_hyperlink_4603"/>
    <hyperlink ref="F4685" r:id="rId_hyperlink_4604"/>
    <hyperlink ref="F4686" r:id="rId_hyperlink_4605"/>
    <hyperlink ref="F4687" r:id="rId_hyperlink_4606"/>
    <hyperlink ref="F4688" r:id="rId_hyperlink_4607"/>
    <hyperlink ref="F4689" r:id="rId_hyperlink_4608"/>
    <hyperlink ref="F4690" r:id="rId_hyperlink_4609"/>
    <hyperlink ref="F4691" r:id="rId_hyperlink_4610"/>
    <hyperlink ref="F4692" r:id="rId_hyperlink_4611"/>
    <hyperlink ref="F4693" r:id="rId_hyperlink_4612"/>
    <hyperlink ref="F4694" r:id="rId_hyperlink_4613"/>
    <hyperlink ref="F4695" r:id="rId_hyperlink_4614"/>
    <hyperlink ref="F4696" r:id="rId_hyperlink_4615"/>
    <hyperlink ref="F4697" r:id="rId_hyperlink_4616"/>
    <hyperlink ref="F4698" r:id="rId_hyperlink_4617"/>
    <hyperlink ref="F4699" r:id="rId_hyperlink_4618"/>
    <hyperlink ref="F4700" r:id="rId_hyperlink_4619"/>
    <hyperlink ref="F4701" r:id="rId_hyperlink_4620"/>
    <hyperlink ref="F4702" r:id="rId_hyperlink_4621"/>
    <hyperlink ref="F4703" r:id="rId_hyperlink_4622"/>
    <hyperlink ref="F4704" r:id="rId_hyperlink_4623"/>
    <hyperlink ref="F4705" r:id="rId_hyperlink_4624"/>
    <hyperlink ref="F4706" r:id="rId_hyperlink_4625"/>
    <hyperlink ref="F4707" r:id="rId_hyperlink_4626"/>
    <hyperlink ref="F4708" r:id="rId_hyperlink_4627"/>
    <hyperlink ref="F4709" r:id="rId_hyperlink_4628"/>
    <hyperlink ref="F4710" r:id="rId_hyperlink_4629"/>
    <hyperlink ref="F4711" r:id="rId_hyperlink_4630"/>
    <hyperlink ref="F4712" r:id="rId_hyperlink_4631"/>
    <hyperlink ref="F4713" r:id="rId_hyperlink_4632"/>
    <hyperlink ref="F4714" r:id="rId_hyperlink_4633"/>
    <hyperlink ref="F4715" r:id="rId_hyperlink_4634"/>
    <hyperlink ref="F4716" r:id="rId_hyperlink_4635"/>
    <hyperlink ref="F4717" r:id="rId_hyperlink_4636"/>
    <hyperlink ref="F4718" r:id="rId_hyperlink_4637"/>
    <hyperlink ref="F4719" r:id="rId_hyperlink_4638"/>
    <hyperlink ref="F4720" r:id="rId_hyperlink_4639"/>
    <hyperlink ref="F4721" r:id="rId_hyperlink_4640"/>
    <hyperlink ref="F4722" r:id="rId_hyperlink_4641"/>
    <hyperlink ref="F4723" r:id="rId_hyperlink_4642"/>
    <hyperlink ref="F4724" r:id="rId_hyperlink_4643"/>
    <hyperlink ref="F4725" r:id="rId_hyperlink_4644"/>
    <hyperlink ref="F4726" r:id="rId_hyperlink_4645"/>
    <hyperlink ref="F4727" r:id="rId_hyperlink_4646"/>
    <hyperlink ref="F4728" r:id="rId_hyperlink_4647"/>
    <hyperlink ref="F4729" r:id="rId_hyperlink_4648"/>
    <hyperlink ref="F4730" r:id="rId_hyperlink_4649"/>
    <hyperlink ref="F4731" r:id="rId_hyperlink_4650"/>
    <hyperlink ref="F4732" r:id="rId_hyperlink_4651"/>
    <hyperlink ref="F4733" r:id="rId_hyperlink_4652"/>
    <hyperlink ref="F4734" r:id="rId_hyperlink_4653"/>
    <hyperlink ref="F4735" r:id="rId_hyperlink_4654"/>
    <hyperlink ref="F4736" r:id="rId_hyperlink_4655"/>
    <hyperlink ref="F4737" r:id="rId_hyperlink_4656"/>
    <hyperlink ref="F4738" r:id="rId_hyperlink_4657"/>
    <hyperlink ref="F4739" r:id="rId_hyperlink_4658"/>
    <hyperlink ref="F4740" r:id="rId_hyperlink_4659"/>
    <hyperlink ref="F4741" r:id="rId_hyperlink_4660"/>
    <hyperlink ref="F4742" r:id="rId_hyperlink_4661"/>
    <hyperlink ref="F4743" r:id="rId_hyperlink_4662"/>
    <hyperlink ref="F4744" r:id="rId_hyperlink_4663"/>
    <hyperlink ref="F4745" r:id="rId_hyperlink_4664"/>
    <hyperlink ref="F4746" r:id="rId_hyperlink_4665"/>
    <hyperlink ref="F4747" r:id="rId_hyperlink_4666"/>
    <hyperlink ref="F4748" r:id="rId_hyperlink_4667"/>
    <hyperlink ref="F4749" r:id="rId_hyperlink_4668"/>
    <hyperlink ref="F4750" r:id="rId_hyperlink_4669"/>
    <hyperlink ref="F4751" r:id="rId_hyperlink_4670"/>
    <hyperlink ref="F4752" r:id="rId_hyperlink_4671"/>
    <hyperlink ref="F4753" r:id="rId_hyperlink_4672"/>
    <hyperlink ref="F4754" r:id="rId_hyperlink_4673"/>
    <hyperlink ref="F4755" r:id="rId_hyperlink_4674"/>
    <hyperlink ref="F4756" r:id="rId_hyperlink_4675"/>
    <hyperlink ref="F4757" r:id="rId_hyperlink_4676"/>
    <hyperlink ref="F4758" r:id="rId_hyperlink_4677"/>
    <hyperlink ref="F4759" r:id="rId_hyperlink_4678"/>
    <hyperlink ref="F4760" r:id="rId_hyperlink_4679"/>
    <hyperlink ref="F4761" r:id="rId_hyperlink_4680"/>
    <hyperlink ref="F4762" r:id="rId_hyperlink_4681"/>
    <hyperlink ref="F4763" r:id="rId_hyperlink_4682"/>
    <hyperlink ref="F4764" r:id="rId_hyperlink_4683"/>
    <hyperlink ref="F4765" r:id="rId_hyperlink_4684"/>
    <hyperlink ref="F4766" r:id="rId_hyperlink_4685"/>
    <hyperlink ref="F4767" r:id="rId_hyperlink_4686"/>
    <hyperlink ref="F4768" r:id="rId_hyperlink_4687"/>
    <hyperlink ref="F4769" r:id="rId_hyperlink_4688"/>
    <hyperlink ref="F4770" r:id="rId_hyperlink_4689"/>
    <hyperlink ref="F4771" r:id="rId_hyperlink_4690"/>
    <hyperlink ref="F4772" r:id="rId_hyperlink_4691"/>
    <hyperlink ref="F4773" r:id="rId_hyperlink_4692"/>
    <hyperlink ref="F4774" r:id="rId_hyperlink_4693"/>
    <hyperlink ref="F4775" r:id="rId_hyperlink_4694"/>
    <hyperlink ref="F4776" r:id="rId_hyperlink_4695"/>
    <hyperlink ref="F4777" r:id="rId_hyperlink_4696"/>
    <hyperlink ref="F4778" r:id="rId_hyperlink_4697"/>
    <hyperlink ref="F4779" r:id="rId_hyperlink_4698"/>
    <hyperlink ref="F4780" r:id="rId_hyperlink_4699"/>
    <hyperlink ref="F4781" r:id="rId_hyperlink_4700"/>
    <hyperlink ref="F4782" r:id="rId_hyperlink_4701"/>
    <hyperlink ref="F4783" r:id="rId_hyperlink_4702"/>
    <hyperlink ref="F4784" r:id="rId_hyperlink_4703"/>
    <hyperlink ref="F4785" r:id="rId_hyperlink_4704"/>
    <hyperlink ref="F4786" r:id="rId_hyperlink_4705"/>
    <hyperlink ref="F4787" r:id="rId_hyperlink_4706"/>
    <hyperlink ref="F4788" r:id="rId_hyperlink_4707"/>
    <hyperlink ref="F4789" r:id="rId_hyperlink_4708"/>
    <hyperlink ref="F4790" r:id="rId_hyperlink_4709"/>
    <hyperlink ref="F4791" r:id="rId_hyperlink_4710"/>
    <hyperlink ref="F4792" r:id="rId_hyperlink_4711"/>
    <hyperlink ref="F4793" r:id="rId_hyperlink_4712"/>
    <hyperlink ref="F4794" r:id="rId_hyperlink_4713"/>
    <hyperlink ref="F4795" r:id="rId_hyperlink_4714"/>
    <hyperlink ref="F4796" r:id="rId_hyperlink_4715"/>
    <hyperlink ref="F4797" r:id="rId_hyperlink_4716"/>
    <hyperlink ref="F4798" r:id="rId_hyperlink_4717"/>
    <hyperlink ref="F4799" r:id="rId_hyperlink_4718"/>
    <hyperlink ref="F4800" r:id="rId_hyperlink_4719"/>
    <hyperlink ref="F4801" r:id="rId_hyperlink_4720"/>
    <hyperlink ref="F4802" r:id="rId_hyperlink_4721"/>
    <hyperlink ref="F4803" r:id="rId_hyperlink_4722"/>
    <hyperlink ref="F4804" r:id="rId_hyperlink_4723"/>
    <hyperlink ref="F4805" r:id="rId_hyperlink_4724"/>
    <hyperlink ref="F4806" r:id="rId_hyperlink_4725"/>
    <hyperlink ref="F4807" r:id="rId_hyperlink_4726"/>
    <hyperlink ref="F4808" r:id="rId_hyperlink_4727"/>
    <hyperlink ref="F4809" r:id="rId_hyperlink_4728"/>
    <hyperlink ref="F4810" r:id="rId_hyperlink_4729"/>
    <hyperlink ref="F4811" r:id="rId_hyperlink_4730"/>
    <hyperlink ref="F4812" r:id="rId_hyperlink_4731"/>
    <hyperlink ref="F4813" r:id="rId_hyperlink_4732"/>
    <hyperlink ref="F4814" r:id="rId_hyperlink_4733"/>
    <hyperlink ref="F4815" r:id="rId_hyperlink_4734"/>
    <hyperlink ref="F4816" r:id="rId_hyperlink_4735"/>
    <hyperlink ref="F4817" r:id="rId_hyperlink_4736"/>
    <hyperlink ref="F4818" r:id="rId_hyperlink_4737"/>
    <hyperlink ref="F4819" r:id="rId_hyperlink_4738"/>
    <hyperlink ref="F4820" r:id="rId_hyperlink_4739"/>
    <hyperlink ref="F4821" r:id="rId_hyperlink_4740"/>
    <hyperlink ref="F4822" r:id="rId_hyperlink_4741"/>
    <hyperlink ref="F4823" r:id="rId_hyperlink_4742"/>
    <hyperlink ref="F4824" r:id="rId_hyperlink_4743"/>
    <hyperlink ref="F4825" r:id="rId_hyperlink_4744"/>
    <hyperlink ref="F4826" r:id="rId_hyperlink_4745"/>
    <hyperlink ref="F4827" r:id="rId_hyperlink_4746"/>
    <hyperlink ref="F4828" r:id="rId_hyperlink_4747"/>
    <hyperlink ref="F4829" r:id="rId_hyperlink_4748"/>
    <hyperlink ref="F4830" r:id="rId_hyperlink_4749"/>
    <hyperlink ref="F4831" r:id="rId_hyperlink_4750"/>
    <hyperlink ref="F4832" r:id="rId_hyperlink_4751"/>
    <hyperlink ref="F4833" r:id="rId_hyperlink_4752"/>
    <hyperlink ref="F4834" r:id="rId_hyperlink_4753"/>
    <hyperlink ref="F4835" r:id="rId_hyperlink_4754"/>
    <hyperlink ref="F4836" r:id="rId_hyperlink_4755"/>
    <hyperlink ref="F4837" r:id="rId_hyperlink_4756"/>
    <hyperlink ref="F4838" r:id="rId_hyperlink_4757"/>
    <hyperlink ref="F4839" r:id="rId_hyperlink_4758"/>
    <hyperlink ref="F4840" r:id="rId_hyperlink_4759"/>
    <hyperlink ref="F4841" r:id="rId_hyperlink_4760"/>
    <hyperlink ref="F4842" r:id="rId_hyperlink_4761"/>
    <hyperlink ref="F4843" r:id="rId_hyperlink_4762"/>
    <hyperlink ref="F4844" r:id="rId_hyperlink_4763"/>
    <hyperlink ref="F4845" r:id="rId_hyperlink_4764"/>
    <hyperlink ref="F4846" r:id="rId_hyperlink_4765"/>
    <hyperlink ref="F4847" r:id="rId_hyperlink_4766"/>
    <hyperlink ref="F4848" r:id="rId_hyperlink_4767"/>
    <hyperlink ref="F4849" r:id="rId_hyperlink_4768"/>
    <hyperlink ref="F4850" r:id="rId_hyperlink_4769"/>
    <hyperlink ref="F4851" r:id="rId_hyperlink_4770"/>
    <hyperlink ref="F4852" r:id="rId_hyperlink_4771"/>
    <hyperlink ref="F4853" r:id="rId_hyperlink_4772"/>
    <hyperlink ref="F4854" r:id="rId_hyperlink_4773"/>
    <hyperlink ref="F4855" r:id="rId_hyperlink_4774"/>
    <hyperlink ref="F4856" r:id="rId_hyperlink_4775"/>
    <hyperlink ref="F4857" r:id="rId_hyperlink_4776"/>
    <hyperlink ref="F4858" r:id="rId_hyperlink_4777"/>
    <hyperlink ref="F4859" r:id="rId_hyperlink_4778"/>
    <hyperlink ref="F4860" r:id="rId_hyperlink_4779"/>
    <hyperlink ref="F4861" r:id="rId_hyperlink_4780"/>
    <hyperlink ref="F4862" r:id="rId_hyperlink_4781"/>
    <hyperlink ref="F4863" r:id="rId_hyperlink_4782"/>
    <hyperlink ref="F4864" r:id="rId_hyperlink_4783"/>
    <hyperlink ref="F4865" r:id="rId_hyperlink_4784"/>
    <hyperlink ref="F4866" r:id="rId_hyperlink_4785"/>
    <hyperlink ref="F4867" r:id="rId_hyperlink_4786"/>
    <hyperlink ref="F4868" r:id="rId_hyperlink_4787"/>
    <hyperlink ref="F4869" r:id="rId_hyperlink_4788"/>
    <hyperlink ref="F4870" r:id="rId_hyperlink_4789"/>
    <hyperlink ref="F4871" r:id="rId_hyperlink_4790"/>
    <hyperlink ref="F4872" r:id="rId_hyperlink_4791"/>
    <hyperlink ref="F4873" r:id="rId_hyperlink_4792"/>
    <hyperlink ref="F4874" r:id="rId_hyperlink_4793"/>
    <hyperlink ref="F4875" r:id="rId_hyperlink_4794"/>
    <hyperlink ref="F4876" r:id="rId_hyperlink_4795"/>
    <hyperlink ref="F4877" r:id="rId_hyperlink_4796"/>
    <hyperlink ref="F4878" r:id="rId_hyperlink_4797"/>
    <hyperlink ref="F4879" r:id="rId_hyperlink_4798"/>
    <hyperlink ref="F4880" r:id="rId_hyperlink_4799"/>
    <hyperlink ref="F4881" r:id="rId_hyperlink_4800"/>
    <hyperlink ref="F4882" r:id="rId_hyperlink_4801"/>
    <hyperlink ref="F4883" r:id="rId_hyperlink_4802"/>
    <hyperlink ref="F4884" r:id="rId_hyperlink_4803"/>
    <hyperlink ref="F4885" r:id="rId_hyperlink_4804"/>
    <hyperlink ref="F4886" r:id="rId_hyperlink_4805"/>
    <hyperlink ref="F4887" r:id="rId_hyperlink_4806"/>
    <hyperlink ref="F4888" r:id="rId_hyperlink_4807"/>
    <hyperlink ref="F4889" r:id="rId_hyperlink_4808"/>
    <hyperlink ref="F4890" r:id="rId_hyperlink_4809"/>
    <hyperlink ref="F4891" r:id="rId_hyperlink_4810"/>
    <hyperlink ref="F4892" r:id="rId_hyperlink_4811"/>
    <hyperlink ref="F4893" r:id="rId_hyperlink_4812"/>
    <hyperlink ref="F4894" r:id="rId_hyperlink_4813"/>
    <hyperlink ref="F4895" r:id="rId_hyperlink_4814"/>
    <hyperlink ref="F4896" r:id="rId_hyperlink_4815"/>
    <hyperlink ref="F4897" r:id="rId_hyperlink_4816"/>
    <hyperlink ref="F4898" r:id="rId_hyperlink_4817"/>
    <hyperlink ref="F4899" r:id="rId_hyperlink_4818"/>
    <hyperlink ref="F4900" r:id="rId_hyperlink_4819"/>
    <hyperlink ref="F4901" r:id="rId_hyperlink_4820"/>
    <hyperlink ref="F4902" r:id="rId_hyperlink_4821"/>
    <hyperlink ref="F4903" r:id="rId_hyperlink_4822"/>
    <hyperlink ref="F4904" r:id="rId_hyperlink_4823"/>
    <hyperlink ref="F4905" r:id="rId_hyperlink_4824"/>
    <hyperlink ref="F4906" r:id="rId_hyperlink_4825"/>
    <hyperlink ref="F4907" r:id="rId_hyperlink_4826"/>
    <hyperlink ref="F4908" r:id="rId_hyperlink_4827"/>
    <hyperlink ref="F4909" r:id="rId_hyperlink_4828"/>
    <hyperlink ref="F4910" r:id="rId_hyperlink_4829"/>
    <hyperlink ref="F4911" r:id="rId_hyperlink_4830"/>
    <hyperlink ref="F4912" r:id="rId_hyperlink_4831"/>
    <hyperlink ref="F4913" r:id="rId_hyperlink_4832"/>
    <hyperlink ref="F4914" r:id="rId_hyperlink_4833"/>
    <hyperlink ref="F4915" r:id="rId_hyperlink_4834"/>
    <hyperlink ref="F4916" r:id="rId_hyperlink_4835"/>
    <hyperlink ref="F4917" r:id="rId_hyperlink_4836"/>
    <hyperlink ref="F4918" r:id="rId_hyperlink_4837"/>
    <hyperlink ref="F4919" r:id="rId_hyperlink_4838"/>
    <hyperlink ref="F4920" r:id="rId_hyperlink_4839"/>
    <hyperlink ref="F4921" r:id="rId_hyperlink_4840"/>
    <hyperlink ref="F4922" r:id="rId_hyperlink_4841"/>
    <hyperlink ref="F4923" r:id="rId_hyperlink_4842"/>
    <hyperlink ref="F4924" r:id="rId_hyperlink_4843"/>
    <hyperlink ref="F4925" r:id="rId_hyperlink_4844"/>
    <hyperlink ref="F4926" r:id="rId_hyperlink_4845"/>
    <hyperlink ref="F4927" r:id="rId_hyperlink_4846"/>
    <hyperlink ref="F4928" r:id="rId_hyperlink_4847"/>
    <hyperlink ref="F4929" r:id="rId_hyperlink_4848"/>
    <hyperlink ref="F4930" r:id="rId_hyperlink_4849"/>
    <hyperlink ref="F4931" r:id="rId_hyperlink_4850"/>
    <hyperlink ref="F4932" r:id="rId_hyperlink_4851"/>
    <hyperlink ref="F4933" r:id="rId_hyperlink_4852"/>
    <hyperlink ref="F4934" r:id="rId_hyperlink_4853"/>
    <hyperlink ref="F4935" r:id="rId_hyperlink_4854"/>
    <hyperlink ref="F4936" r:id="rId_hyperlink_4855"/>
    <hyperlink ref="F4937" r:id="rId_hyperlink_4856"/>
    <hyperlink ref="F4938" r:id="rId_hyperlink_4857"/>
    <hyperlink ref="F4939" r:id="rId_hyperlink_4858"/>
    <hyperlink ref="F4940" r:id="rId_hyperlink_4859"/>
    <hyperlink ref="F4941" r:id="rId_hyperlink_4860"/>
    <hyperlink ref="F4942" r:id="rId_hyperlink_4861"/>
    <hyperlink ref="F4943" r:id="rId_hyperlink_4862"/>
    <hyperlink ref="F4944" r:id="rId_hyperlink_4863"/>
    <hyperlink ref="F4945" r:id="rId_hyperlink_4864"/>
    <hyperlink ref="F4946" r:id="rId_hyperlink_4865"/>
    <hyperlink ref="F4947" r:id="rId_hyperlink_4866"/>
    <hyperlink ref="F4948" r:id="rId_hyperlink_4867"/>
    <hyperlink ref="F4949" r:id="rId_hyperlink_4868"/>
    <hyperlink ref="F4950" r:id="rId_hyperlink_4869"/>
    <hyperlink ref="F4951" r:id="rId_hyperlink_4870"/>
    <hyperlink ref="F4952" r:id="rId_hyperlink_4871"/>
    <hyperlink ref="F4953" r:id="rId_hyperlink_4872"/>
    <hyperlink ref="F4954" r:id="rId_hyperlink_4873"/>
    <hyperlink ref="F4955" r:id="rId_hyperlink_4874"/>
    <hyperlink ref="F4956" r:id="rId_hyperlink_4875"/>
    <hyperlink ref="F4957" r:id="rId_hyperlink_4876"/>
    <hyperlink ref="F4958" r:id="rId_hyperlink_4877"/>
    <hyperlink ref="F4959" r:id="rId_hyperlink_4878"/>
    <hyperlink ref="F4960" r:id="rId_hyperlink_4879"/>
    <hyperlink ref="F4961" r:id="rId_hyperlink_4880"/>
    <hyperlink ref="F4962" r:id="rId_hyperlink_4881"/>
    <hyperlink ref="F4963" r:id="rId_hyperlink_4882"/>
    <hyperlink ref="F4964" r:id="rId_hyperlink_4883"/>
    <hyperlink ref="F4965" r:id="rId_hyperlink_4884"/>
    <hyperlink ref="F4966" r:id="rId_hyperlink_4885"/>
    <hyperlink ref="F4967" r:id="rId_hyperlink_4886"/>
    <hyperlink ref="F4968" r:id="rId_hyperlink_4887"/>
    <hyperlink ref="F4969" r:id="rId_hyperlink_4888"/>
    <hyperlink ref="F4970" r:id="rId_hyperlink_4889"/>
    <hyperlink ref="F4971" r:id="rId_hyperlink_4890"/>
    <hyperlink ref="F4972" r:id="rId_hyperlink_4891"/>
    <hyperlink ref="F4973" r:id="rId_hyperlink_4892"/>
    <hyperlink ref="F4974" r:id="rId_hyperlink_4893"/>
    <hyperlink ref="F4975" r:id="rId_hyperlink_4894"/>
    <hyperlink ref="F4976" r:id="rId_hyperlink_4895"/>
    <hyperlink ref="F4977" r:id="rId_hyperlink_4896"/>
    <hyperlink ref="F4978" r:id="rId_hyperlink_4897"/>
    <hyperlink ref="F4979" r:id="rId_hyperlink_4898"/>
    <hyperlink ref="F4980" r:id="rId_hyperlink_4899"/>
    <hyperlink ref="F4981" r:id="rId_hyperlink_4900"/>
    <hyperlink ref="F4982" r:id="rId_hyperlink_4901"/>
    <hyperlink ref="F4983" r:id="rId_hyperlink_4902"/>
    <hyperlink ref="F4984" r:id="rId_hyperlink_4903"/>
    <hyperlink ref="F4985" r:id="rId_hyperlink_4904"/>
    <hyperlink ref="F4986" r:id="rId_hyperlink_4905"/>
    <hyperlink ref="F4987" r:id="rId_hyperlink_4906"/>
    <hyperlink ref="F4988" r:id="rId_hyperlink_4907"/>
    <hyperlink ref="F4989" r:id="rId_hyperlink_4908"/>
    <hyperlink ref="F4990" r:id="rId_hyperlink_4909"/>
    <hyperlink ref="F4991" r:id="rId_hyperlink_4910"/>
    <hyperlink ref="F4992" r:id="rId_hyperlink_4911"/>
    <hyperlink ref="F4993" r:id="rId_hyperlink_4912"/>
    <hyperlink ref="F4994" r:id="rId_hyperlink_4913"/>
    <hyperlink ref="F4995" r:id="rId_hyperlink_4914"/>
    <hyperlink ref="F4996" r:id="rId_hyperlink_4915"/>
    <hyperlink ref="F4997" r:id="rId_hyperlink_4916"/>
    <hyperlink ref="F4998" r:id="rId_hyperlink_4917"/>
    <hyperlink ref="F4999" r:id="rId_hyperlink_4918"/>
    <hyperlink ref="F5000" r:id="rId_hyperlink_4919"/>
    <hyperlink ref="F5001" r:id="rId_hyperlink_4920"/>
    <hyperlink ref="F5002" r:id="rId_hyperlink_4921"/>
    <hyperlink ref="F5003" r:id="rId_hyperlink_4922"/>
    <hyperlink ref="F5004" r:id="rId_hyperlink_4923"/>
    <hyperlink ref="F5005" r:id="rId_hyperlink_4924"/>
    <hyperlink ref="F5006" r:id="rId_hyperlink_4925"/>
    <hyperlink ref="F5007" r:id="rId_hyperlink_4926"/>
    <hyperlink ref="F5008" r:id="rId_hyperlink_4927"/>
    <hyperlink ref="F5009" r:id="rId_hyperlink_4928"/>
    <hyperlink ref="F5010" r:id="rId_hyperlink_4929"/>
    <hyperlink ref="F5011" r:id="rId_hyperlink_4930"/>
    <hyperlink ref="F5012" r:id="rId_hyperlink_4931"/>
    <hyperlink ref="F5013" r:id="rId_hyperlink_4932"/>
    <hyperlink ref="F5014" r:id="rId_hyperlink_4933"/>
    <hyperlink ref="F5015" r:id="rId_hyperlink_4934"/>
    <hyperlink ref="F5016" r:id="rId_hyperlink_4935"/>
    <hyperlink ref="F5017" r:id="rId_hyperlink_4936"/>
    <hyperlink ref="F5018" r:id="rId_hyperlink_4937"/>
    <hyperlink ref="F5019" r:id="rId_hyperlink_4938"/>
    <hyperlink ref="F5020" r:id="rId_hyperlink_4939"/>
    <hyperlink ref="F5021" r:id="rId_hyperlink_4940"/>
    <hyperlink ref="F5022" r:id="rId_hyperlink_4941"/>
    <hyperlink ref="F5023" r:id="rId_hyperlink_4942"/>
    <hyperlink ref="F5024" r:id="rId_hyperlink_4943"/>
    <hyperlink ref="F5025" r:id="rId_hyperlink_4944"/>
    <hyperlink ref="F5026" r:id="rId_hyperlink_4945"/>
    <hyperlink ref="F5027" r:id="rId_hyperlink_4946"/>
    <hyperlink ref="F5028" r:id="rId_hyperlink_4947"/>
    <hyperlink ref="F5029" r:id="rId_hyperlink_4948"/>
    <hyperlink ref="F5030" r:id="rId_hyperlink_4949"/>
    <hyperlink ref="F5031" r:id="rId_hyperlink_4950"/>
    <hyperlink ref="F5032" r:id="rId_hyperlink_4951"/>
    <hyperlink ref="F5033" r:id="rId_hyperlink_4952"/>
    <hyperlink ref="F5034" r:id="rId_hyperlink_4953"/>
    <hyperlink ref="F5035" r:id="rId_hyperlink_4954"/>
    <hyperlink ref="F5036" r:id="rId_hyperlink_4955"/>
    <hyperlink ref="F5037" r:id="rId_hyperlink_4956"/>
    <hyperlink ref="F5038" r:id="rId_hyperlink_4957"/>
    <hyperlink ref="F5039" r:id="rId_hyperlink_4958"/>
    <hyperlink ref="F5040" r:id="rId_hyperlink_4959"/>
    <hyperlink ref="F5041" r:id="rId_hyperlink_4960"/>
    <hyperlink ref="F5042" r:id="rId_hyperlink_4961"/>
    <hyperlink ref="F5043" r:id="rId_hyperlink_4962"/>
    <hyperlink ref="F5044" r:id="rId_hyperlink_4963"/>
    <hyperlink ref="F5045" r:id="rId_hyperlink_4964"/>
    <hyperlink ref="F5046" r:id="rId_hyperlink_4965"/>
    <hyperlink ref="F5047" r:id="rId_hyperlink_4966"/>
    <hyperlink ref="F5048" r:id="rId_hyperlink_4967"/>
    <hyperlink ref="F5049" r:id="rId_hyperlink_4968"/>
    <hyperlink ref="F5050" r:id="rId_hyperlink_4969"/>
    <hyperlink ref="F5051" r:id="rId_hyperlink_4970"/>
    <hyperlink ref="F5052" r:id="rId_hyperlink_4971"/>
    <hyperlink ref="F5053" r:id="rId_hyperlink_4972"/>
    <hyperlink ref="F5054" r:id="rId_hyperlink_4973"/>
    <hyperlink ref="F5055" r:id="rId_hyperlink_4974"/>
    <hyperlink ref="F5056" r:id="rId_hyperlink_4975"/>
    <hyperlink ref="F5057" r:id="rId_hyperlink_4976"/>
    <hyperlink ref="F5058" r:id="rId_hyperlink_4977"/>
    <hyperlink ref="F5059" r:id="rId_hyperlink_4978"/>
    <hyperlink ref="F5060" r:id="rId_hyperlink_4979"/>
    <hyperlink ref="F5061" r:id="rId_hyperlink_4980"/>
    <hyperlink ref="F5062" r:id="rId_hyperlink_4981"/>
    <hyperlink ref="F5063" r:id="rId_hyperlink_4982"/>
    <hyperlink ref="F5064" r:id="rId_hyperlink_4983"/>
    <hyperlink ref="F5065" r:id="rId_hyperlink_4984"/>
    <hyperlink ref="F5066" r:id="rId_hyperlink_4985"/>
    <hyperlink ref="F5067" r:id="rId_hyperlink_4986"/>
    <hyperlink ref="F5068" r:id="rId_hyperlink_4987"/>
    <hyperlink ref="F5069" r:id="rId_hyperlink_4988"/>
    <hyperlink ref="F5070" r:id="rId_hyperlink_4989"/>
    <hyperlink ref="F5071" r:id="rId_hyperlink_4990"/>
    <hyperlink ref="F5072" r:id="rId_hyperlink_4991"/>
    <hyperlink ref="F5073" r:id="rId_hyperlink_4992"/>
    <hyperlink ref="F5074" r:id="rId_hyperlink_4993"/>
    <hyperlink ref="F5075" r:id="rId_hyperlink_4994"/>
    <hyperlink ref="F5076" r:id="rId_hyperlink_4995"/>
    <hyperlink ref="F5077" r:id="rId_hyperlink_4996"/>
    <hyperlink ref="F5078" r:id="rId_hyperlink_4997"/>
    <hyperlink ref="F5079" r:id="rId_hyperlink_4998"/>
    <hyperlink ref="F5080" r:id="rId_hyperlink_4999"/>
    <hyperlink ref="F5081" r:id="rId_hyperlink_5000"/>
    <hyperlink ref="F5082" r:id="rId_hyperlink_5001"/>
    <hyperlink ref="F5083" r:id="rId_hyperlink_5002"/>
    <hyperlink ref="F5084" r:id="rId_hyperlink_5003"/>
    <hyperlink ref="F5085" r:id="rId_hyperlink_5004"/>
    <hyperlink ref="F5086" r:id="rId_hyperlink_5005"/>
    <hyperlink ref="F5087" r:id="rId_hyperlink_5006"/>
    <hyperlink ref="F5088" r:id="rId_hyperlink_5007"/>
    <hyperlink ref="F5089" r:id="rId_hyperlink_5008"/>
    <hyperlink ref="F5090" r:id="rId_hyperlink_5009"/>
    <hyperlink ref="F5091" r:id="rId_hyperlink_5010"/>
    <hyperlink ref="F5092" r:id="rId_hyperlink_5011"/>
    <hyperlink ref="F5093" r:id="rId_hyperlink_5012"/>
    <hyperlink ref="F5094" r:id="rId_hyperlink_5013"/>
    <hyperlink ref="F5095" r:id="rId_hyperlink_5014"/>
    <hyperlink ref="F5096" r:id="rId_hyperlink_5015"/>
    <hyperlink ref="F5097" r:id="rId_hyperlink_5016"/>
    <hyperlink ref="F5098" r:id="rId_hyperlink_5017"/>
    <hyperlink ref="F5099" r:id="rId_hyperlink_5018"/>
    <hyperlink ref="F5100" r:id="rId_hyperlink_5019"/>
    <hyperlink ref="F5101" r:id="rId_hyperlink_5020"/>
    <hyperlink ref="F5102" r:id="rId_hyperlink_5021"/>
    <hyperlink ref="F5103" r:id="rId_hyperlink_5022"/>
    <hyperlink ref="F5104" r:id="rId_hyperlink_5023"/>
    <hyperlink ref="F5105" r:id="rId_hyperlink_5024"/>
    <hyperlink ref="F5106" r:id="rId_hyperlink_5025"/>
    <hyperlink ref="F5107" r:id="rId_hyperlink_5026"/>
    <hyperlink ref="F5108" r:id="rId_hyperlink_5027"/>
    <hyperlink ref="F5109" r:id="rId_hyperlink_5028"/>
    <hyperlink ref="F5110" r:id="rId_hyperlink_5029"/>
    <hyperlink ref="F5111" r:id="rId_hyperlink_5030"/>
    <hyperlink ref="F5112" r:id="rId_hyperlink_5031"/>
    <hyperlink ref="F5113" r:id="rId_hyperlink_5032"/>
    <hyperlink ref="F5114" r:id="rId_hyperlink_5033"/>
    <hyperlink ref="F5115" r:id="rId_hyperlink_5034"/>
    <hyperlink ref="F5116" r:id="rId_hyperlink_5035"/>
    <hyperlink ref="F5117" r:id="rId_hyperlink_5036"/>
    <hyperlink ref="F5118" r:id="rId_hyperlink_5037"/>
    <hyperlink ref="F5119" r:id="rId_hyperlink_5038"/>
    <hyperlink ref="F5120" r:id="rId_hyperlink_5039"/>
    <hyperlink ref="F5121" r:id="rId_hyperlink_5040"/>
    <hyperlink ref="F5122" r:id="rId_hyperlink_5041"/>
    <hyperlink ref="F5123" r:id="rId_hyperlink_5042"/>
    <hyperlink ref="F5124" r:id="rId_hyperlink_5043"/>
    <hyperlink ref="F5125" r:id="rId_hyperlink_5044"/>
    <hyperlink ref="F5126" r:id="rId_hyperlink_5045"/>
    <hyperlink ref="F5127" r:id="rId_hyperlink_5046"/>
    <hyperlink ref="F5128" r:id="rId_hyperlink_5047"/>
    <hyperlink ref="F5129" r:id="rId_hyperlink_5048"/>
    <hyperlink ref="F5130" r:id="rId_hyperlink_5049"/>
    <hyperlink ref="F5131" r:id="rId_hyperlink_5050"/>
    <hyperlink ref="F5132" r:id="rId_hyperlink_5051"/>
    <hyperlink ref="F5133" r:id="rId_hyperlink_5052"/>
    <hyperlink ref="F5134" r:id="rId_hyperlink_5053"/>
    <hyperlink ref="F5135" r:id="rId_hyperlink_5054"/>
    <hyperlink ref="F5136" r:id="rId_hyperlink_5055"/>
    <hyperlink ref="F5137" r:id="rId_hyperlink_5056"/>
    <hyperlink ref="F5138" r:id="rId_hyperlink_5057"/>
    <hyperlink ref="F5139" r:id="rId_hyperlink_5058"/>
    <hyperlink ref="F5140" r:id="rId_hyperlink_5059"/>
    <hyperlink ref="F5141" r:id="rId_hyperlink_5060"/>
    <hyperlink ref="F5142" r:id="rId_hyperlink_5061"/>
    <hyperlink ref="F5143" r:id="rId_hyperlink_5062"/>
    <hyperlink ref="F5144" r:id="rId_hyperlink_5063"/>
    <hyperlink ref="F5145" r:id="rId_hyperlink_5064"/>
    <hyperlink ref="F5146" r:id="rId_hyperlink_5065"/>
    <hyperlink ref="F5147" r:id="rId_hyperlink_5066"/>
    <hyperlink ref="F5148" r:id="rId_hyperlink_5067"/>
    <hyperlink ref="F5149" r:id="rId_hyperlink_5068"/>
    <hyperlink ref="F5150" r:id="rId_hyperlink_5069"/>
    <hyperlink ref="F5151" r:id="rId_hyperlink_5070"/>
    <hyperlink ref="F5152" r:id="rId_hyperlink_5071"/>
    <hyperlink ref="F5153" r:id="rId_hyperlink_5072"/>
    <hyperlink ref="F5154" r:id="rId_hyperlink_5073"/>
    <hyperlink ref="F5155" r:id="rId_hyperlink_5074"/>
    <hyperlink ref="F5156" r:id="rId_hyperlink_5075"/>
    <hyperlink ref="F5157" r:id="rId_hyperlink_5076"/>
    <hyperlink ref="F5158" r:id="rId_hyperlink_5077"/>
    <hyperlink ref="F5159" r:id="rId_hyperlink_5078"/>
    <hyperlink ref="F5160" r:id="rId_hyperlink_5079"/>
    <hyperlink ref="F5161" r:id="rId_hyperlink_5080"/>
    <hyperlink ref="F5162" r:id="rId_hyperlink_5081"/>
    <hyperlink ref="F5163" r:id="rId_hyperlink_5082"/>
    <hyperlink ref="F5164" r:id="rId_hyperlink_5083"/>
    <hyperlink ref="F5165" r:id="rId_hyperlink_5084"/>
    <hyperlink ref="F5166" r:id="rId_hyperlink_5085"/>
    <hyperlink ref="F5167" r:id="rId_hyperlink_5086"/>
    <hyperlink ref="F5168" r:id="rId_hyperlink_5087"/>
    <hyperlink ref="F5169" r:id="rId_hyperlink_5088"/>
    <hyperlink ref="F5170" r:id="rId_hyperlink_5089"/>
    <hyperlink ref="F5171" r:id="rId_hyperlink_5090"/>
    <hyperlink ref="F5172" r:id="rId_hyperlink_5091"/>
    <hyperlink ref="F5173" r:id="rId_hyperlink_5092"/>
    <hyperlink ref="F5174" r:id="rId_hyperlink_5093"/>
    <hyperlink ref="F5175" r:id="rId_hyperlink_5094"/>
    <hyperlink ref="F5176" r:id="rId_hyperlink_5095"/>
    <hyperlink ref="F5177" r:id="rId_hyperlink_5096"/>
    <hyperlink ref="F5178" r:id="rId_hyperlink_5097"/>
    <hyperlink ref="F5179" r:id="rId_hyperlink_5098"/>
    <hyperlink ref="F5180" r:id="rId_hyperlink_5099"/>
    <hyperlink ref="F5181" r:id="rId_hyperlink_5100"/>
    <hyperlink ref="F5182" r:id="rId_hyperlink_5101"/>
    <hyperlink ref="F5183" r:id="rId_hyperlink_5102"/>
    <hyperlink ref="F5184" r:id="rId_hyperlink_5103"/>
    <hyperlink ref="F5185" r:id="rId_hyperlink_5104"/>
    <hyperlink ref="F5186" r:id="rId_hyperlink_5105"/>
    <hyperlink ref="F5187" r:id="rId_hyperlink_5106"/>
    <hyperlink ref="F5188" r:id="rId_hyperlink_5107"/>
    <hyperlink ref="F5189" r:id="rId_hyperlink_5108"/>
    <hyperlink ref="F5190" r:id="rId_hyperlink_5109"/>
    <hyperlink ref="F5191" r:id="rId_hyperlink_5110"/>
    <hyperlink ref="F5192" r:id="rId_hyperlink_5111"/>
    <hyperlink ref="F5193" r:id="rId_hyperlink_5112"/>
    <hyperlink ref="F5194" r:id="rId_hyperlink_5113"/>
    <hyperlink ref="F5195" r:id="rId_hyperlink_5114"/>
    <hyperlink ref="F5196" r:id="rId_hyperlink_5115"/>
    <hyperlink ref="F5197" r:id="rId_hyperlink_5116"/>
    <hyperlink ref="F5198" r:id="rId_hyperlink_5117"/>
    <hyperlink ref="F5199" r:id="rId_hyperlink_5118"/>
    <hyperlink ref="F5200" r:id="rId_hyperlink_5119"/>
    <hyperlink ref="F5201" r:id="rId_hyperlink_5120"/>
    <hyperlink ref="F5202" r:id="rId_hyperlink_5121"/>
    <hyperlink ref="F5203" r:id="rId_hyperlink_5122"/>
    <hyperlink ref="F5204" r:id="rId_hyperlink_5123"/>
    <hyperlink ref="F5205" r:id="rId_hyperlink_5124"/>
    <hyperlink ref="F5206" r:id="rId_hyperlink_5125"/>
    <hyperlink ref="F5207" r:id="rId_hyperlink_5126"/>
    <hyperlink ref="F5208" r:id="rId_hyperlink_5127"/>
    <hyperlink ref="F5209" r:id="rId_hyperlink_5128"/>
    <hyperlink ref="F5210" r:id="rId_hyperlink_5129"/>
    <hyperlink ref="F5211" r:id="rId_hyperlink_5130"/>
    <hyperlink ref="F5212" r:id="rId_hyperlink_5131"/>
    <hyperlink ref="F5213" r:id="rId_hyperlink_5132"/>
    <hyperlink ref="F5214" r:id="rId_hyperlink_5133"/>
    <hyperlink ref="F5215" r:id="rId_hyperlink_5134"/>
    <hyperlink ref="F5216" r:id="rId_hyperlink_5135"/>
    <hyperlink ref="F5217" r:id="rId_hyperlink_5136"/>
    <hyperlink ref="F5218" r:id="rId_hyperlink_5137"/>
    <hyperlink ref="F5219" r:id="rId_hyperlink_5138"/>
    <hyperlink ref="F5220" r:id="rId_hyperlink_5139"/>
    <hyperlink ref="F5221" r:id="rId_hyperlink_5140"/>
    <hyperlink ref="F5222" r:id="rId_hyperlink_5141"/>
    <hyperlink ref="F5223" r:id="rId_hyperlink_5142"/>
    <hyperlink ref="F5224" r:id="rId_hyperlink_5143"/>
    <hyperlink ref="F5225" r:id="rId_hyperlink_5144"/>
    <hyperlink ref="F5226" r:id="rId_hyperlink_5145"/>
    <hyperlink ref="F5227" r:id="rId_hyperlink_5146"/>
    <hyperlink ref="F5228" r:id="rId_hyperlink_5147"/>
    <hyperlink ref="F5229" r:id="rId_hyperlink_5148"/>
    <hyperlink ref="F5230" r:id="rId_hyperlink_5149"/>
    <hyperlink ref="F5231" r:id="rId_hyperlink_5150"/>
    <hyperlink ref="F5232" r:id="rId_hyperlink_5151"/>
    <hyperlink ref="F5233" r:id="rId_hyperlink_5152"/>
    <hyperlink ref="F5234" r:id="rId_hyperlink_5153"/>
    <hyperlink ref="F5235" r:id="rId_hyperlink_5154"/>
    <hyperlink ref="F5236" r:id="rId_hyperlink_5155"/>
    <hyperlink ref="F5237" r:id="rId_hyperlink_5156"/>
    <hyperlink ref="F5238" r:id="rId_hyperlink_5157"/>
    <hyperlink ref="F5239" r:id="rId_hyperlink_5158"/>
    <hyperlink ref="F5240" r:id="rId_hyperlink_5159"/>
    <hyperlink ref="F5241" r:id="rId_hyperlink_5160"/>
    <hyperlink ref="F5242" r:id="rId_hyperlink_5161"/>
    <hyperlink ref="F5243" r:id="rId_hyperlink_5162"/>
    <hyperlink ref="F5244" r:id="rId_hyperlink_5163"/>
    <hyperlink ref="F5245" r:id="rId_hyperlink_5164"/>
    <hyperlink ref="F5246" r:id="rId_hyperlink_5165"/>
    <hyperlink ref="F5247" r:id="rId_hyperlink_5166"/>
    <hyperlink ref="F5248" r:id="rId_hyperlink_5167"/>
    <hyperlink ref="F5249" r:id="rId_hyperlink_5168"/>
    <hyperlink ref="F5250" r:id="rId_hyperlink_5169"/>
    <hyperlink ref="F5251" r:id="rId_hyperlink_5170"/>
    <hyperlink ref="F5252" r:id="rId_hyperlink_5171"/>
    <hyperlink ref="F5253" r:id="rId_hyperlink_5172"/>
    <hyperlink ref="F5254" r:id="rId_hyperlink_5173"/>
    <hyperlink ref="F5255" r:id="rId_hyperlink_5174"/>
    <hyperlink ref="F5256" r:id="rId_hyperlink_5175"/>
    <hyperlink ref="F5257" r:id="rId_hyperlink_5176"/>
    <hyperlink ref="F5258" r:id="rId_hyperlink_5177"/>
    <hyperlink ref="F5259" r:id="rId_hyperlink_5178"/>
    <hyperlink ref="F5260" r:id="rId_hyperlink_5179"/>
    <hyperlink ref="F5261" r:id="rId_hyperlink_5180"/>
    <hyperlink ref="F5262" r:id="rId_hyperlink_5181"/>
    <hyperlink ref="F5263" r:id="rId_hyperlink_5182"/>
    <hyperlink ref="F5264" r:id="rId_hyperlink_5183"/>
    <hyperlink ref="F5265" r:id="rId_hyperlink_5184"/>
    <hyperlink ref="F5266" r:id="rId_hyperlink_5185"/>
    <hyperlink ref="F5267" r:id="rId_hyperlink_5186"/>
    <hyperlink ref="F5268" r:id="rId_hyperlink_5187"/>
    <hyperlink ref="F5269" r:id="rId_hyperlink_5188"/>
    <hyperlink ref="F5270" r:id="rId_hyperlink_5189"/>
    <hyperlink ref="F5280" r:id="rId_hyperlink_5190"/>
    <hyperlink ref="F5281" r:id="rId_hyperlink_5191"/>
    <hyperlink ref="F5282" r:id="rId_hyperlink_5192"/>
    <hyperlink ref="F5283" r:id="rId_hyperlink_5193"/>
    <hyperlink ref="F5284" r:id="rId_hyperlink_5194"/>
    <hyperlink ref="F5285" r:id="rId_hyperlink_5195"/>
    <hyperlink ref="F5286" r:id="rId_hyperlink_5196"/>
    <hyperlink ref="F5287" r:id="rId_hyperlink_5197"/>
    <hyperlink ref="F5290" r:id="rId_hyperlink_5198"/>
    <hyperlink ref="F5291" r:id="rId_hyperlink_5199"/>
    <hyperlink ref="F5292" r:id="rId_hyperlink_5200"/>
    <hyperlink ref="F5293" r:id="rId_hyperlink_5201"/>
    <hyperlink ref="F5294" r:id="rId_hyperlink_5202"/>
    <hyperlink ref="F5295" r:id="rId_hyperlink_5203"/>
    <hyperlink ref="F5296" r:id="rId_hyperlink_5204"/>
    <hyperlink ref="F5297" r:id="rId_hyperlink_5205"/>
    <hyperlink ref="F5298" r:id="rId_hyperlink_5206"/>
    <hyperlink ref="F5299" r:id="rId_hyperlink_5207"/>
    <hyperlink ref="F5300" r:id="rId_hyperlink_5208"/>
    <hyperlink ref="F5301" r:id="rId_hyperlink_5209"/>
    <hyperlink ref="F5302" r:id="rId_hyperlink_5210"/>
    <hyperlink ref="F5303" r:id="rId_hyperlink_5211"/>
    <hyperlink ref="F5304" r:id="rId_hyperlink_5212"/>
    <hyperlink ref="F5305" r:id="rId_hyperlink_5213"/>
    <hyperlink ref="F5306" r:id="rId_hyperlink_5214"/>
    <hyperlink ref="F5307" r:id="rId_hyperlink_5215"/>
    <hyperlink ref="F5308" r:id="rId_hyperlink_5216"/>
    <hyperlink ref="F5309" r:id="rId_hyperlink_5217"/>
    <hyperlink ref="F5310" r:id="rId_hyperlink_5218"/>
    <hyperlink ref="F5311" r:id="rId_hyperlink_5219"/>
    <hyperlink ref="F5312" r:id="rId_hyperlink_5220"/>
    <hyperlink ref="F5313" r:id="rId_hyperlink_5221"/>
    <hyperlink ref="F5314" r:id="rId_hyperlink_5222"/>
    <hyperlink ref="F5315" r:id="rId_hyperlink_5223"/>
    <hyperlink ref="F5316" r:id="rId_hyperlink_5224"/>
    <hyperlink ref="F5317" r:id="rId_hyperlink_5225"/>
    <hyperlink ref="F5318" r:id="rId_hyperlink_5226"/>
    <hyperlink ref="F5319" r:id="rId_hyperlink_5227"/>
    <hyperlink ref="F5320" r:id="rId_hyperlink_5228"/>
    <hyperlink ref="F5321" r:id="rId_hyperlink_5229"/>
    <hyperlink ref="F5322" r:id="rId_hyperlink_5230"/>
    <hyperlink ref="F5323" r:id="rId_hyperlink_5231"/>
    <hyperlink ref="F5324" r:id="rId_hyperlink_5232"/>
    <hyperlink ref="F5325" r:id="rId_hyperlink_5233"/>
    <hyperlink ref="F5326" r:id="rId_hyperlink_5234"/>
    <hyperlink ref="F5327" r:id="rId_hyperlink_5235"/>
    <hyperlink ref="F5328" r:id="rId_hyperlink_5236"/>
    <hyperlink ref="F5329" r:id="rId_hyperlink_5237"/>
    <hyperlink ref="F5330" r:id="rId_hyperlink_5238"/>
    <hyperlink ref="F5331" r:id="rId_hyperlink_5239"/>
    <hyperlink ref="F5332" r:id="rId_hyperlink_5240"/>
    <hyperlink ref="F5333" r:id="rId_hyperlink_5241"/>
    <hyperlink ref="F5334" r:id="rId_hyperlink_5242"/>
    <hyperlink ref="F5335" r:id="rId_hyperlink_5243"/>
    <hyperlink ref="F5336" r:id="rId_hyperlink_5244"/>
    <hyperlink ref="F5337" r:id="rId_hyperlink_5245"/>
    <hyperlink ref="F5338" r:id="rId_hyperlink_5246"/>
    <hyperlink ref="F5339" r:id="rId_hyperlink_5247"/>
    <hyperlink ref="F5340" r:id="rId_hyperlink_5248"/>
    <hyperlink ref="F5341" r:id="rId_hyperlink_5249"/>
    <hyperlink ref="F5342" r:id="rId_hyperlink_5250"/>
    <hyperlink ref="F5343" r:id="rId_hyperlink_5251"/>
    <hyperlink ref="F5344" r:id="rId_hyperlink_5252"/>
    <hyperlink ref="F5345" r:id="rId_hyperlink_5253"/>
    <hyperlink ref="F5346" r:id="rId_hyperlink_5254"/>
    <hyperlink ref="F5347" r:id="rId_hyperlink_5255"/>
    <hyperlink ref="F5348" r:id="rId_hyperlink_5256"/>
    <hyperlink ref="F5349" r:id="rId_hyperlink_5257"/>
    <hyperlink ref="F5350" r:id="rId_hyperlink_5258"/>
    <hyperlink ref="F5351" r:id="rId_hyperlink_5259"/>
    <hyperlink ref="F5352" r:id="rId_hyperlink_5260"/>
    <hyperlink ref="F5353" r:id="rId_hyperlink_5261"/>
    <hyperlink ref="F5354" r:id="rId_hyperlink_5262"/>
    <hyperlink ref="F5355" r:id="rId_hyperlink_5263"/>
    <hyperlink ref="F5356" r:id="rId_hyperlink_5264"/>
    <hyperlink ref="F5357" r:id="rId_hyperlink_5265"/>
    <hyperlink ref="F5358" r:id="rId_hyperlink_5266"/>
    <hyperlink ref="F5359" r:id="rId_hyperlink_5267"/>
    <hyperlink ref="F5360" r:id="rId_hyperlink_5268"/>
    <hyperlink ref="F5361" r:id="rId_hyperlink_5269"/>
    <hyperlink ref="F5362" r:id="rId_hyperlink_5270"/>
    <hyperlink ref="F5363" r:id="rId_hyperlink_5271"/>
    <hyperlink ref="F5364" r:id="rId_hyperlink_5272"/>
    <hyperlink ref="F5365" r:id="rId_hyperlink_5273"/>
    <hyperlink ref="F5366" r:id="rId_hyperlink_5274"/>
    <hyperlink ref="F5367" r:id="rId_hyperlink_5275"/>
    <hyperlink ref="F5369" r:id="rId_hyperlink_5276"/>
    <hyperlink ref="F5370" r:id="rId_hyperlink_5277"/>
    <hyperlink ref="F5371" r:id="rId_hyperlink_5278"/>
    <hyperlink ref="F5375" r:id="rId_hyperlink_5279"/>
    <hyperlink ref="F5376" r:id="rId_hyperlink_5280"/>
    <hyperlink ref="F5379" r:id="rId_hyperlink_5281"/>
    <hyperlink ref="F5380" r:id="rId_hyperlink_5282"/>
    <hyperlink ref="F5381" r:id="rId_hyperlink_5283"/>
    <hyperlink ref="F5382" r:id="rId_hyperlink_5284"/>
    <hyperlink ref="F5383" r:id="rId_hyperlink_5285"/>
    <hyperlink ref="F5384" r:id="rId_hyperlink_5286"/>
    <hyperlink ref="F5386" r:id="rId_hyperlink_5287"/>
    <hyperlink ref="F5388" r:id="rId_hyperlink_5288"/>
    <hyperlink ref="F5390" r:id="rId_hyperlink_5289"/>
    <hyperlink ref="F5392" r:id="rId_hyperlink_5290"/>
    <hyperlink ref="F5393" r:id="rId_hyperlink_5291"/>
    <hyperlink ref="F5395" r:id="rId_hyperlink_5292"/>
    <hyperlink ref="F5396" r:id="rId_hyperlink_5293"/>
    <hyperlink ref="F5397" r:id="rId_hyperlink_5294"/>
    <hyperlink ref="F5398" r:id="rId_hyperlink_5295"/>
    <hyperlink ref="F5399" r:id="rId_hyperlink_5296"/>
    <hyperlink ref="F5400" r:id="rId_hyperlink_5297"/>
    <hyperlink ref="F5401" r:id="rId_hyperlink_5298"/>
    <hyperlink ref="F5402" r:id="rId_hyperlink_5299"/>
    <hyperlink ref="F5403" r:id="rId_hyperlink_5300"/>
    <hyperlink ref="F5405" r:id="rId_hyperlink_5301"/>
    <hyperlink ref="F5414" r:id="rId_hyperlink_5302"/>
    <hyperlink ref="F5425" r:id="rId_hyperlink_5303"/>
    <hyperlink ref="F5426" r:id="rId_hyperlink_5304"/>
    <hyperlink ref="F5427" r:id="rId_hyperlink_5305"/>
    <hyperlink ref="F5428" r:id="rId_hyperlink_5306"/>
    <hyperlink ref="F5429" r:id="rId_hyperlink_5307"/>
    <hyperlink ref="F5430" r:id="rId_hyperlink_5308"/>
    <hyperlink ref="F5431" r:id="rId_hyperlink_5309"/>
    <hyperlink ref="F5432" r:id="rId_hyperlink_5310"/>
    <hyperlink ref="F5433" r:id="rId_hyperlink_5311"/>
    <hyperlink ref="F5434" r:id="rId_hyperlink_5312"/>
    <hyperlink ref="F5435" r:id="rId_hyperlink_5313"/>
    <hyperlink ref="F5438" r:id="rId_hyperlink_5314"/>
    <hyperlink ref="F5442" r:id="rId_hyperlink_5315"/>
    <hyperlink ref="F5443" r:id="rId_hyperlink_5316"/>
    <hyperlink ref="F5444" r:id="rId_hyperlink_5317"/>
    <hyperlink ref="F5445" r:id="rId_hyperlink_5318"/>
    <hyperlink ref="F5446" r:id="rId_hyperlink_5319"/>
    <hyperlink ref="F5447" r:id="rId_hyperlink_5320"/>
    <hyperlink ref="F5448" r:id="rId_hyperlink_5321"/>
    <hyperlink ref="F5449" r:id="rId_hyperlink_5322"/>
    <hyperlink ref="F5450" r:id="rId_hyperlink_5323"/>
    <hyperlink ref="F5451" r:id="rId_hyperlink_5324"/>
    <hyperlink ref="F5452" r:id="rId_hyperlink_5325"/>
    <hyperlink ref="F5454" r:id="rId_hyperlink_5326"/>
    <hyperlink ref="F5455" r:id="rId_hyperlink_5327"/>
    <hyperlink ref="F5459" r:id="rId_hyperlink_5328"/>
    <hyperlink ref="F5460" r:id="rId_hyperlink_5329"/>
    <hyperlink ref="F5461" r:id="rId_hyperlink_5330"/>
    <hyperlink ref="F5463" r:id="rId_hyperlink_5331"/>
    <hyperlink ref="F5464" r:id="rId_hyperlink_5332"/>
    <hyperlink ref="F5465" r:id="rId_hyperlink_5333"/>
    <hyperlink ref="F5466" r:id="rId_hyperlink_5334"/>
    <hyperlink ref="F5467" r:id="rId_hyperlink_5335"/>
    <hyperlink ref="F5468" r:id="rId_hyperlink_5336"/>
    <hyperlink ref="F5469" r:id="rId_hyperlink_5337"/>
    <hyperlink ref="F5471" r:id="rId_hyperlink_5338"/>
    <hyperlink ref="F5472" r:id="rId_hyperlink_5339"/>
    <hyperlink ref="F5473" r:id="rId_hyperlink_5340"/>
    <hyperlink ref="F5474" r:id="rId_hyperlink_5341"/>
    <hyperlink ref="F5475" r:id="rId_hyperlink_5342"/>
    <hyperlink ref="F5476" r:id="rId_hyperlink_5343"/>
    <hyperlink ref="F5477" r:id="rId_hyperlink_5344"/>
    <hyperlink ref="F5478" r:id="rId_hyperlink_5345"/>
    <hyperlink ref="F5479" r:id="rId_hyperlink_5346"/>
    <hyperlink ref="F5482" r:id="rId_hyperlink_5347"/>
    <hyperlink ref="F5483" r:id="rId_hyperlink_5348"/>
    <hyperlink ref="F5484" r:id="rId_hyperlink_5349"/>
    <hyperlink ref="F5485" r:id="rId_hyperlink_5350"/>
    <hyperlink ref="F5486" r:id="rId_hyperlink_5351"/>
    <hyperlink ref="F5487" r:id="rId_hyperlink_5352"/>
    <hyperlink ref="F5488" r:id="rId_hyperlink_5353"/>
    <hyperlink ref="F5491" r:id="rId_hyperlink_5354"/>
    <hyperlink ref="F5492" r:id="rId_hyperlink_5355"/>
    <hyperlink ref="F5493" r:id="rId_hyperlink_5356"/>
    <hyperlink ref="F5494" r:id="rId_hyperlink_5357"/>
    <hyperlink ref="F5495" r:id="rId_hyperlink_5358"/>
    <hyperlink ref="F5496" r:id="rId_hyperlink_5359"/>
    <hyperlink ref="F5497" r:id="rId_hyperlink_5360"/>
    <hyperlink ref="F5498" r:id="rId_hyperlink_5361"/>
    <hyperlink ref="F5499" r:id="rId_hyperlink_5362"/>
    <hyperlink ref="F5500" r:id="rId_hyperlink_5363"/>
    <hyperlink ref="F5501" r:id="rId_hyperlink_5364"/>
    <hyperlink ref="F5502" r:id="rId_hyperlink_5365"/>
    <hyperlink ref="F5503" r:id="rId_hyperlink_5366"/>
    <hyperlink ref="F5504" r:id="rId_hyperlink_5367"/>
    <hyperlink ref="F5505" r:id="rId_hyperlink_5368"/>
    <hyperlink ref="F5506" r:id="rId_hyperlink_5369"/>
    <hyperlink ref="F5507" r:id="rId_hyperlink_5370"/>
    <hyperlink ref="F5508" r:id="rId_hyperlink_5371"/>
    <hyperlink ref="F5509" r:id="rId_hyperlink_5372"/>
    <hyperlink ref="F5511" r:id="rId_hyperlink_5373"/>
    <hyperlink ref="F5512" r:id="rId_hyperlink_5374"/>
    <hyperlink ref="F5513" r:id="rId_hyperlink_5375"/>
    <hyperlink ref="F5514" r:id="rId_hyperlink_5376"/>
    <hyperlink ref="F5515" r:id="rId_hyperlink_5377"/>
    <hyperlink ref="F5516" r:id="rId_hyperlink_5378"/>
    <hyperlink ref="F5518" r:id="rId_hyperlink_5379"/>
    <hyperlink ref="F5519" r:id="rId_hyperlink_5380"/>
    <hyperlink ref="F5520" r:id="rId_hyperlink_5381"/>
    <hyperlink ref="F5521" r:id="rId_hyperlink_5382"/>
    <hyperlink ref="F5522" r:id="rId_hyperlink_5383"/>
    <hyperlink ref="F5523" r:id="rId_hyperlink_5384"/>
    <hyperlink ref="F5524" r:id="rId_hyperlink_5385"/>
    <hyperlink ref="F5525" r:id="rId_hyperlink_5386"/>
    <hyperlink ref="F5526" r:id="rId_hyperlink_5387"/>
    <hyperlink ref="F5528" r:id="rId_hyperlink_5388"/>
    <hyperlink ref="F5530" r:id="rId_hyperlink_5389"/>
    <hyperlink ref="F5531" r:id="rId_hyperlink_5390"/>
    <hyperlink ref="F5532" r:id="rId_hyperlink_5391"/>
    <hyperlink ref="F5533" r:id="rId_hyperlink_5392"/>
    <hyperlink ref="F5534" r:id="rId_hyperlink_5393"/>
    <hyperlink ref="F5535" r:id="rId_hyperlink_5394"/>
    <hyperlink ref="F5536" r:id="rId_hyperlink_5395"/>
    <hyperlink ref="F5537" r:id="rId_hyperlink_5396"/>
    <hyperlink ref="F5538" r:id="rId_hyperlink_5397"/>
    <hyperlink ref="F5539" r:id="rId_hyperlink_5398"/>
    <hyperlink ref="F5540" r:id="rId_hyperlink_5399"/>
    <hyperlink ref="F5541" r:id="rId_hyperlink_5400"/>
    <hyperlink ref="F5542" r:id="rId_hyperlink_5401"/>
    <hyperlink ref="F5543" r:id="rId_hyperlink_5402"/>
    <hyperlink ref="F5544" r:id="rId_hyperlink_5403"/>
    <hyperlink ref="F5545" r:id="rId_hyperlink_5404"/>
    <hyperlink ref="F5546" r:id="rId_hyperlink_5405"/>
    <hyperlink ref="F5547" r:id="rId_hyperlink_5406"/>
    <hyperlink ref="F5548" r:id="rId_hyperlink_5407"/>
    <hyperlink ref="F5549" r:id="rId_hyperlink_5408"/>
    <hyperlink ref="F5551" r:id="rId_hyperlink_5409"/>
    <hyperlink ref="F5552" r:id="rId_hyperlink_5410"/>
    <hyperlink ref="F5553" r:id="rId_hyperlink_5411"/>
    <hyperlink ref="F5554" r:id="rId_hyperlink_5412"/>
    <hyperlink ref="F5555" r:id="rId_hyperlink_5413"/>
    <hyperlink ref="F5556" r:id="rId_hyperlink_5414"/>
    <hyperlink ref="F5557" r:id="rId_hyperlink_5415"/>
    <hyperlink ref="F5560" r:id="rId_hyperlink_5416"/>
    <hyperlink ref="F5561" r:id="rId_hyperlink_5417"/>
    <hyperlink ref="F5562" r:id="rId_hyperlink_5418"/>
    <hyperlink ref="F5563" r:id="rId_hyperlink_5419"/>
    <hyperlink ref="F5564" r:id="rId_hyperlink_5420"/>
    <hyperlink ref="F5565" r:id="rId_hyperlink_5421"/>
    <hyperlink ref="F5566" r:id="rId_hyperlink_5422"/>
    <hyperlink ref="F5567" r:id="rId_hyperlink_5423"/>
    <hyperlink ref="F5568" r:id="rId_hyperlink_5424"/>
    <hyperlink ref="F5569" r:id="rId_hyperlink_5425"/>
    <hyperlink ref="F5570" r:id="rId_hyperlink_5426"/>
    <hyperlink ref="F5571" r:id="rId_hyperlink_5427"/>
    <hyperlink ref="F5572" r:id="rId_hyperlink_5428"/>
    <hyperlink ref="F5573" r:id="rId_hyperlink_5429"/>
    <hyperlink ref="F5576" r:id="rId_hyperlink_5430"/>
    <hyperlink ref="F5583" r:id="rId_hyperlink_5431"/>
    <hyperlink ref="F5593" r:id="rId_hyperlink_5432"/>
    <hyperlink ref="F5594" r:id="rId_hyperlink_5433"/>
    <hyperlink ref="F5595" r:id="rId_hyperlink_5434"/>
    <hyperlink ref="F5596" r:id="rId_hyperlink_5435"/>
    <hyperlink ref="F5601" r:id="rId_hyperlink_5436"/>
    <hyperlink ref="F5602" r:id="rId_hyperlink_5437"/>
    <hyperlink ref="F5603" r:id="rId_hyperlink_5438"/>
    <hyperlink ref="F5604" r:id="rId_hyperlink_5439"/>
    <hyperlink ref="F5605" r:id="rId_hyperlink_5440"/>
    <hyperlink ref="F5606" r:id="rId_hyperlink_5441"/>
    <hyperlink ref="F5607" r:id="rId_hyperlink_5442"/>
    <hyperlink ref="F5608" r:id="rId_hyperlink_5443"/>
    <hyperlink ref="F5609" r:id="rId_hyperlink_5444"/>
    <hyperlink ref="F5610" r:id="rId_hyperlink_5445"/>
    <hyperlink ref="F5611" r:id="rId_hyperlink_5446"/>
    <hyperlink ref="F5612" r:id="rId_hyperlink_5447"/>
    <hyperlink ref="F5613" r:id="rId_hyperlink_5448"/>
    <hyperlink ref="F5614" r:id="rId_hyperlink_5449"/>
    <hyperlink ref="F5615" r:id="rId_hyperlink_5450"/>
    <hyperlink ref="F5616" r:id="rId_hyperlink_5451"/>
    <hyperlink ref="F5617" r:id="rId_hyperlink_5452"/>
    <hyperlink ref="F5618" r:id="rId_hyperlink_5453"/>
    <hyperlink ref="F5619" r:id="rId_hyperlink_5454"/>
    <hyperlink ref="F5620" r:id="rId_hyperlink_5455"/>
    <hyperlink ref="F5621" r:id="rId_hyperlink_5456"/>
    <hyperlink ref="F5622" r:id="rId_hyperlink_5457"/>
    <hyperlink ref="F5623" r:id="rId_hyperlink_5458"/>
    <hyperlink ref="F5624" r:id="rId_hyperlink_5459"/>
    <hyperlink ref="F5625" r:id="rId_hyperlink_5460"/>
    <hyperlink ref="F5626" r:id="rId_hyperlink_5461"/>
    <hyperlink ref="F5627" r:id="rId_hyperlink_5462"/>
    <hyperlink ref="F5628" r:id="rId_hyperlink_5463"/>
    <hyperlink ref="F5629" r:id="rId_hyperlink_5464"/>
    <hyperlink ref="F5630" r:id="rId_hyperlink_5465"/>
    <hyperlink ref="F5631" r:id="rId_hyperlink_5466"/>
    <hyperlink ref="F5632" r:id="rId_hyperlink_5467"/>
    <hyperlink ref="F5633" r:id="rId_hyperlink_5468"/>
    <hyperlink ref="F5634" r:id="rId_hyperlink_5469"/>
    <hyperlink ref="F5635" r:id="rId_hyperlink_5470"/>
    <hyperlink ref="F5636" r:id="rId_hyperlink_5471"/>
    <hyperlink ref="F5637" r:id="rId_hyperlink_5472"/>
    <hyperlink ref="F5638" r:id="rId_hyperlink_5473"/>
    <hyperlink ref="F5639" r:id="rId_hyperlink_5474"/>
    <hyperlink ref="F5640" r:id="rId_hyperlink_5475"/>
    <hyperlink ref="F5641" r:id="rId_hyperlink_5476"/>
    <hyperlink ref="F5642" r:id="rId_hyperlink_5477"/>
    <hyperlink ref="F5643" r:id="rId_hyperlink_5478"/>
    <hyperlink ref="F5644" r:id="rId_hyperlink_5479"/>
    <hyperlink ref="F5645" r:id="rId_hyperlink_5480"/>
    <hyperlink ref="F5646" r:id="rId_hyperlink_5481"/>
    <hyperlink ref="F5647" r:id="rId_hyperlink_5482"/>
    <hyperlink ref="F5648" r:id="rId_hyperlink_5483"/>
    <hyperlink ref="F5649" r:id="rId_hyperlink_5484"/>
    <hyperlink ref="F5650" r:id="rId_hyperlink_5485"/>
    <hyperlink ref="F5651" r:id="rId_hyperlink_5486"/>
    <hyperlink ref="F5652" r:id="rId_hyperlink_5487"/>
    <hyperlink ref="F5653" r:id="rId_hyperlink_5488"/>
    <hyperlink ref="F5654" r:id="rId_hyperlink_5489"/>
    <hyperlink ref="F5655" r:id="rId_hyperlink_5490"/>
    <hyperlink ref="F5656" r:id="rId_hyperlink_5491"/>
    <hyperlink ref="F5657" r:id="rId_hyperlink_5492"/>
    <hyperlink ref="F5658" r:id="rId_hyperlink_5493"/>
    <hyperlink ref="F5659" r:id="rId_hyperlink_5494"/>
    <hyperlink ref="F5660" r:id="rId_hyperlink_5495"/>
    <hyperlink ref="F5661" r:id="rId_hyperlink_5496"/>
    <hyperlink ref="F5662" r:id="rId_hyperlink_5497"/>
    <hyperlink ref="F5663" r:id="rId_hyperlink_5498"/>
    <hyperlink ref="F5664" r:id="rId_hyperlink_5499"/>
    <hyperlink ref="F5665" r:id="rId_hyperlink_5500"/>
    <hyperlink ref="F5666" r:id="rId_hyperlink_5501"/>
    <hyperlink ref="F5667" r:id="rId_hyperlink_5502"/>
    <hyperlink ref="F5668" r:id="rId_hyperlink_5503"/>
    <hyperlink ref="F5669" r:id="rId_hyperlink_5504"/>
    <hyperlink ref="F5670" r:id="rId_hyperlink_5505"/>
    <hyperlink ref="F5671" r:id="rId_hyperlink_5506"/>
    <hyperlink ref="F5672" r:id="rId_hyperlink_5507"/>
    <hyperlink ref="F5673" r:id="rId_hyperlink_5508"/>
    <hyperlink ref="F5674" r:id="rId_hyperlink_5509"/>
    <hyperlink ref="F5675" r:id="rId_hyperlink_5510"/>
    <hyperlink ref="F5676" r:id="rId_hyperlink_5511"/>
    <hyperlink ref="F5677" r:id="rId_hyperlink_5512"/>
    <hyperlink ref="F5678" r:id="rId_hyperlink_5513"/>
    <hyperlink ref="F5679" r:id="rId_hyperlink_5514"/>
    <hyperlink ref="F5680" r:id="rId_hyperlink_5515"/>
    <hyperlink ref="F5681" r:id="rId_hyperlink_5516"/>
    <hyperlink ref="F5682" r:id="rId_hyperlink_5517"/>
    <hyperlink ref="F5683" r:id="rId_hyperlink_5518"/>
    <hyperlink ref="F5684" r:id="rId_hyperlink_5519"/>
    <hyperlink ref="F5685" r:id="rId_hyperlink_5520"/>
    <hyperlink ref="F5686" r:id="rId_hyperlink_5521"/>
    <hyperlink ref="F5687" r:id="rId_hyperlink_5522"/>
    <hyperlink ref="F5688" r:id="rId_hyperlink_5523"/>
    <hyperlink ref="F5689" r:id="rId_hyperlink_5524"/>
    <hyperlink ref="F5690" r:id="rId_hyperlink_5525"/>
    <hyperlink ref="F5691" r:id="rId_hyperlink_5526"/>
    <hyperlink ref="F5692" r:id="rId_hyperlink_5527"/>
    <hyperlink ref="F5693" r:id="rId_hyperlink_5528"/>
    <hyperlink ref="F5694" r:id="rId_hyperlink_5529"/>
    <hyperlink ref="F5695" r:id="rId_hyperlink_5530"/>
    <hyperlink ref="F5696" r:id="rId_hyperlink_5531"/>
    <hyperlink ref="F5697" r:id="rId_hyperlink_5532"/>
    <hyperlink ref="F5698" r:id="rId_hyperlink_5533"/>
    <hyperlink ref="F5699" r:id="rId_hyperlink_5534"/>
    <hyperlink ref="F5700" r:id="rId_hyperlink_5535"/>
    <hyperlink ref="F5701" r:id="rId_hyperlink_5536"/>
    <hyperlink ref="F5702" r:id="rId_hyperlink_5537"/>
    <hyperlink ref="F5703" r:id="rId_hyperlink_5538"/>
    <hyperlink ref="F5704" r:id="rId_hyperlink_5539"/>
    <hyperlink ref="F5705" r:id="rId_hyperlink_5540"/>
    <hyperlink ref="F5706" r:id="rId_hyperlink_5541"/>
    <hyperlink ref="F5707" r:id="rId_hyperlink_5542"/>
    <hyperlink ref="F5708" r:id="rId_hyperlink_5543"/>
    <hyperlink ref="F5709" r:id="rId_hyperlink_5544"/>
    <hyperlink ref="F5710" r:id="rId_hyperlink_5545"/>
    <hyperlink ref="F5711" r:id="rId_hyperlink_5546"/>
    <hyperlink ref="F5712" r:id="rId_hyperlink_5547"/>
    <hyperlink ref="F5713" r:id="rId_hyperlink_5548"/>
    <hyperlink ref="F5714" r:id="rId_hyperlink_5549"/>
    <hyperlink ref="F5715" r:id="rId_hyperlink_5550"/>
    <hyperlink ref="F5716" r:id="rId_hyperlink_5551"/>
    <hyperlink ref="F5717" r:id="rId_hyperlink_5552"/>
    <hyperlink ref="F5718" r:id="rId_hyperlink_5553"/>
    <hyperlink ref="F5719" r:id="rId_hyperlink_5554"/>
    <hyperlink ref="F5720" r:id="rId_hyperlink_5555"/>
    <hyperlink ref="F5721" r:id="rId_hyperlink_5556"/>
    <hyperlink ref="F5722" r:id="rId_hyperlink_5557"/>
    <hyperlink ref="F5723" r:id="rId_hyperlink_5558"/>
    <hyperlink ref="F5724" r:id="rId_hyperlink_5559"/>
    <hyperlink ref="F5725" r:id="rId_hyperlink_5560"/>
    <hyperlink ref="F5726" r:id="rId_hyperlink_5561"/>
    <hyperlink ref="F5727" r:id="rId_hyperlink_5562"/>
    <hyperlink ref="F5728" r:id="rId_hyperlink_5563"/>
    <hyperlink ref="F5729" r:id="rId_hyperlink_5564"/>
    <hyperlink ref="F5730" r:id="rId_hyperlink_5565"/>
    <hyperlink ref="F5731" r:id="rId_hyperlink_5566"/>
    <hyperlink ref="F5732" r:id="rId_hyperlink_5567"/>
    <hyperlink ref="F5733" r:id="rId_hyperlink_5568"/>
    <hyperlink ref="F5734" r:id="rId_hyperlink_5569"/>
    <hyperlink ref="F5735" r:id="rId_hyperlink_5570"/>
    <hyperlink ref="F5736" r:id="rId_hyperlink_5571"/>
    <hyperlink ref="F5737" r:id="rId_hyperlink_5572"/>
    <hyperlink ref="F5738" r:id="rId_hyperlink_5573"/>
    <hyperlink ref="F5739" r:id="rId_hyperlink_5574"/>
    <hyperlink ref="F5740" r:id="rId_hyperlink_5575"/>
    <hyperlink ref="F5741" r:id="rId_hyperlink_5576"/>
    <hyperlink ref="F5742" r:id="rId_hyperlink_5577"/>
    <hyperlink ref="F5743" r:id="rId_hyperlink_5578"/>
    <hyperlink ref="F5744" r:id="rId_hyperlink_5579"/>
    <hyperlink ref="F5745" r:id="rId_hyperlink_5580"/>
    <hyperlink ref="F5746" r:id="rId_hyperlink_5581"/>
    <hyperlink ref="F5747" r:id="rId_hyperlink_5582"/>
    <hyperlink ref="F5748" r:id="rId_hyperlink_5583"/>
    <hyperlink ref="F5749" r:id="rId_hyperlink_5584"/>
    <hyperlink ref="F5750" r:id="rId_hyperlink_5585"/>
    <hyperlink ref="F5751" r:id="rId_hyperlink_5586"/>
    <hyperlink ref="F5752" r:id="rId_hyperlink_5587"/>
    <hyperlink ref="F5753" r:id="rId_hyperlink_5588"/>
    <hyperlink ref="F5754" r:id="rId_hyperlink_5589"/>
    <hyperlink ref="F5755" r:id="rId_hyperlink_5590"/>
    <hyperlink ref="F5756" r:id="rId_hyperlink_5591"/>
    <hyperlink ref="F5757" r:id="rId_hyperlink_5592"/>
    <hyperlink ref="F5758" r:id="rId_hyperlink_5593"/>
    <hyperlink ref="F5759" r:id="rId_hyperlink_5594"/>
    <hyperlink ref="F5760" r:id="rId_hyperlink_5595"/>
    <hyperlink ref="F5761" r:id="rId_hyperlink_5596"/>
    <hyperlink ref="F5762" r:id="rId_hyperlink_5597"/>
    <hyperlink ref="F5763" r:id="rId_hyperlink_5598"/>
    <hyperlink ref="F5764" r:id="rId_hyperlink_5599"/>
    <hyperlink ref="F5765" r:id="rId_hyperlink_5600"/>
    <hyperlink ref="F5766" r:id="rId_hyperlink_5601"/>
    <hyperlink ref="F5767" r:id="rId_hyperlink_5602"/>
    <hyperlink ref="F5768" r:id="rId_hyperlink_5603"/>
    <hyperlink ref="F5769" r:id="rId_hyperlink_5604"/>
    <hyperlink ref="F5770" r:id="rId_hyperlink_5605"/>
    <hyperlink ref="F5771" r:id="rId_hyperlink_5606"/>
    <hyperlink ref="F5772" r:id="rId_hyperlink_5607"/>
    <hyperlink ref="F5773" r:id="rId_hyperlink_5608"/>
    <hyperlink ref="F5774" r:id="rId_hyperlink_5609"/>
    <hyperlink ref="F5775" r:id="rId_hyperlink_5610"/>
    <hyperlink ref="F5776" r:id="rId_hyperlink_5611"/>
    <hyperlink ref="F5777" r:id="rId_hyperlink_5612"/>
    <hyperlink ref="F5778" r:id="rId_hyperlink_5613"/>
    <hyperlink ref="F5779" r:id="rId_hyperlink_5614"/>
    <hyperlink ref="F5780" r:id="rId_hyperlink_5615"/>
    <hyperlink ref="F5781" r:id="rId_hyperlink_5616"/>
    <hyperlink ref="F5782" r:id="rId_hyperlink_5617"/>
    <hyperlink ref="F5783" r:id="rId_hyperlink_5618"/>
    <hyperlink ref="F5784" r:id="rId_hyperlink_5619"/>
    <hyperlink ref="F5785" r:id="rId_hyperlink_5620"/>
    <hyperlink ref="F5786" r:id="rId_hyperlink_5621"/>
    <hyperlink ref="F5787" r:id="rId_hyperlink_5622"/>
    <hyperlink ref="F5788" r:id="rId_hyperlink_5623"/>
    <hyperlink ref="F5789" r:id="rId_hyperlink_5624"/>
    <hyperlink ref="F5790" r:id="rId_hyperlink_5625"/>
    <hyperlink ref="F5791" r:id="rId_hyperlink_5626"/>
    <hyperlink ref="F5792" r:id="rId_hyperlink_5627"/>
    <hyperlink ref="F5793" r:id="rId_hyperlink_5628"/>
    <hyperlink ref="F5794" r:id="rId_hyperlink_5629"/>
    <hyperlink ref="F5795" r:id="rId_hyperlink_5630"/>
    <hyperlink ref="F5796" r:id="rId_hyperlink_5631"/>
    <hyperlink ref="F5797" r:id="rId_hyperlink_5632"/>
    <hyperlink ref="F5798" r:id="rId_hyperlink_5633"/>
    <hyperlink ref="F5799" r:id="rId_hyperlink_5634"/>
    <hyperlink ref="F5800" r:id="rId_hyperlink_5635"/>
    <hyperlink ref="F5801" r:id="rId_hyperlink_5636"/>
    <hyperlink ref="F5802" r:id="rId_hyperlink_5637"/>
    <hyperlink ref="F5803" r:id="rId_hyperlink_5638"/>
    <hyperlink ref="F5804" r:id="rId_hyperlink_5639"/>
    <hyperlink ref="F5805" r:id="rId_hyperlink_5640"/>
    <hyperlink ref="F5806" r:id="rId_hyperlink_5641"/>
    <hyperlink ref="F5807" r:id="rId_hyperlink_5642"/>
    <hyperlink ref="F5808" r:id="rId_hyperlink_5643"/>
    <hyperlink ref="F5809" r:id="rId_hyperlink_5644"/>
    <hyperlink ref="F5810" r:id="rId_hyperlink_5645"/>
    <hyperlink ref="F5811" r:id="rId_hyperlink_5646"/>
    <hyperlink ref="F5812" r:id="rId_hyperlink_5647"/>
    <hyperlink ref="F5813" r:id="rId_hyperlink_5648"/>
    <hyperlink ref="F5814" r:id="rId_hyperlink_5649"/>
    <hyperlink ref="F5815" r:id="rId_hyperlink_5650"/>
    <hyperlink ref="F5816" r:id="rId_hyperlink_5651"/>
    <hyperlink ref="F5817" r:id="rId_hyperlink_5652"/>
    <hyperlink ref="F5818" r:id="rId_hyperlink_5653"/>
    <hyperlink ref="F5819" r:id="rId_hyperlink_5654"/>
    <hyperlink ref="F5820" r:id="rId_hyperlink_5655"/>
    <hyperlink ref="F5821" r:id="rId_hyperlink_5656"/>
    <hyperlink ref="F5822" r:id="rId_hyperlink_5657"/>
    <hyperlink ref="F5823" r:id="rId_hyperlink_5658"/>
    <hyperlink ref="F5824" r:id="rId_hyperlink_5659"/>
    <hyperlink ref="F5825" r:id="rId_hyperlink_5660"/>
    <hyperlink ref="F5826" r:id="rId_hyperlink_5661"/>
    <hyperlink ref="F5827" r:id="rId_hyperlink_5662"/>
    <hyperlink ref="F5828" r:id="rId_hyperlink_5663"/>
    <hyperlink ref="F5829" r:id="rId_hyperlink_5664"/>
    <hyperlink ref="F5830" r:id="rId_hyperlink_5665"/>
    <hyperlink ref="F5831" r:id="rId_hyperlink_5666"/>
    <hyperlink ref="F5832" r:id="rId_hyperlink_5667"/>
    <hyperlink ref="F5833" r:id="rId_hyperlink_5668"/>
    <hyperlink ref="F5834" r:id="rId_hyperlink_5669"/>
    <hyperlink ref="F5835" r:id="rId_hyperlink_5670"/>
    <hyperlink ref="F5836" r:id="rId_hyperlink_5671"/>
    <hyperlink ref="F5837" r:id="rId_hyperlink_5672"/>
    <hyperlink ref="F5838" r:id="rId_hyperlink_5673"/>
    <hyperlink ref="F5839" r:id="rId_hyperlink_5674"/>
    <hyperlink ref="F5840" r:id="rId_hyperlink_5675"/>
    <hyperlink ref="F5841" r:id="rId_hyperlink_5676"/>
    <hyperlink ref="F5842" r:id="rId_hyperlink_5677"/>
    <hyperlink ref="F5843" r:id="rId_hyperlink_5678"/>
    <hyperlink ref="F5844" r:id="rId_hyperlink_5679"/>
    <hyperlink ref="F5845" r:id="rId_hyperlink_5680"/>
    <hyperlink ref="F5846" r:id="rId_hyperlink_5681"/>
    <hyperlink ref="F5847" r:id="rId_hyperlink_5682"/>
    <hyperlink ref="F5848" r:id="rId_hyperlink_5683"/>
    <hyperlink ref="F5849" r:id="rId_hyperlink_5684"/>
    <hyperlink ref="F5850" r:id="rId_hyperlink_5685"/>
    <hyperlink ref="F5851" r:id="rId_hyperlink_5686"/>
    <hyperlink ref="F5852" r:id="rId_hyperlink_5687"/>
    <hyperlink ref="F5853" r:id="rId_hyperlink_5688"/>
    <hyperlink ref="F5854" r:id="rId_hyperlink_5689"/>
    <hyperlink ref="F5855" r:id="rId_hyperlink_5690"/>
    <hyperlink ref="F5856" r:id="rId_hyperlink_5691"/>
    <hyperlink ref="F5857" r:id="rId_hyperlink_5692"/>
    <hyperlink ref="F5858" r:id="rId_hyperlink_5693"/>
    <hyperlink ref="F5859" r:id="rId_hyperlink_5694"/>
    <hyperlink ref="F5860" r:id="rId_hyperlink_5695"/>
    <hyperlink ref="F5861" r:id="rId_hyperlink_5696"/>
    <hyperlink ref="F5862" r:id="rId_hyperlink_5697"/>
    <hyperlink ref="F5863" r:id="rId_hyperlink_5698"/>
    <hyperlink ref="F5864" r:id="rId_hyperlink_5699"/>
    <hyperlink ref="F5865" r:id="rId_hyperlink_5700"/>
    <hyperlink ref="F5866" r:id="rId_hyperlink_5701"/>
    <hyperlink ref="F5867" r:id="rId_hyperlink_5702"/>
    <hyperlink ref="F5868" r:id="rId_hyperlink_5703"/>
    <hyperlink ref="F5869" r:id="rId_hyperlink_5704"/>
    <hyperlink ref="F5870" r:id="rId_hyperlink_5705"/>
    <hyperlink ref="F5871" r:id="rId_hyperlink_5706"/>
    <hyperlink ref="F5872" r:id="rId_hyperlink_5707"/>
    <hyperlink ref="F5873" r:id="rId_hyperlink_5708"/>
    <hyperlink ref="F5874" r:id="rId_hyperlink_5709"/>
    <hyperlink ref="F5875" r:id="rId_hyperlink_5710"/>
    <hyperlink ref="F5876" r:id="rId_hyperlink_5711"/>
    <hyperlink ref="F5877" r:id="rId_hyperlink_5712"/>
    <hyperlink ref="F5878" r:id="rId_hyperlink_5713"/>
    <hyperlink ref="F5879" r:id="rId_hyperlink_5714"/>
    <hyperlink ref="F5880" r:id="rId_hyperlink_5715"/>
    <hyperlink ref="F5881" r:id="rId_hyperlink_5716"/>
    <hyperlink ref="F5882" r:id="rId_hyperlink_5717"/>
    <hyperlink ref="F5883" r:id="rId_hyperlink_5718"/>
    <hyperlink ref="F5884" r:id="rId_hyperlink_5719"/>
    <hyperlink ref="F5885" r:id="rId_hyperlink_5720"/>
    <hyperlink ref="F5886" r:id="rId_hyperlink_5721"/>
    <hyperlink ref="F5887" r:id="rId_hyperlink_5722"/>
    <hyperlink ref="F5888" r:id="rId_hyperlink_5723"/>
    <hyperlink ref="F5889" r:id="rId_hyperlink_5724"/>
    <hyperlink ref="F5890" r:id="rId_hyperlink_5725"/>
    <hyperlink ref="F5891" r:id="rId_hyperlink_5726"/>
    <hyperlink ref="F5892" r:id="rId_hyperlink_5727"/>
    <hyperlink ref="F5893" r:id="rId_hyperlink_5728"/>
    <hyperlink ref="F5894" r:id="rId_hyperlink_5729"/>
    <hyperlink ref="F5895" r:id="rId_hyperlink_5730"/>
    <hyperlink ref="F5896" r:id="rId_hyperlink_5731"/>
    <hyperlink ref="F5897" r:id="rId_hyperlink_5732"/>
    <hyperlink ref="F5898" r:id="rId_hyperlink_5733"/>
    <hyperlink ref="F5899" r:id="rId_hyperlink_5734"/>
    <hyperlink ref="F5900" r:id="rId_hyperlink_5735"/>
    <hyperlink ref="F5901" r:id="rId_hyperlink_5736"/>
    <hyperlink ref="F5902" r:id="rId_hyperlink_5737"/>
    <hyperlink ref="F5903" r:id="rId_hyperlink_5738"/>
    <hyperlink ref="F5904" r:id="rId_hyperlink_5739"/>
    <hyperlink ref="F5905" r:id="rId_hyperlink_5740"/>
    <hyperlink ref="F5906" r:id="rId_hyperlink_5741"/>
    <hyperlink ref="F5907" r:id="rId_hyperlink_5742"/>
    <hyperlink ref="F5908" r:id="rId_hyperlink_5743"/>
    <hyperlink ref="F5909" r:id="rId_hyperlink_5744"/>
    <hyperlink ref="F5910" r:id="rId_hyperlink_5745"/>
    <hyperlink ref="F5911" r:id="rId_hyperlink_5746"/>
    <hyperlink ref="F5912" r:id="rId_hyperlink_5747"/>
    <hyperlink ref="F5913" r:id="rId_hyperlink_5748"/>
    <hyperlink ref="F5914" r:id="rId_hyperlink_5749"/>
    <hyperlink ref="F5915" r:id="rId_hyperlink_5750"/>
    <hyperlink ref="F5916" r:id="rId_hyperlink_5751"/>
    <hyperlink ref="F5917" r:id="rId_hyperlink_5752"/>
    <hyperlink ref="F5918" r:id="rId_hyperlink_5753"/>
    <hyperlink ref="F5919" r:id="rId_hyperlink_5754"/>
    <hyperlink ref="F5920" r:id="rId_hyperlink_5755"/>
    <hyperlink ref="F5921" r:id="rId_hyperlink_5756"/>
    <hyperlink ref="F5922" r:id="rId_hyperlink_5757"/>
    <hyperlink ref="F5923" r:id="rId_hyperlink_5758"/>
    <hyperlink ref="F5924" r:id="rId_hyperlink_5759"/>
    <hyperlink ref="F5925" r:id="rId_hyperlink_5760"/>
    <hyperlink ref="F5926" r:id="rId_hyperlink_5761"/>
    <hyperlink ref="F5927" r:id="rId_hyperlink_5762"/>
    <hyperlink ref="F5928" r:id="rId_hyperlink_5763"/>
    <hyperlink ref="F5929" r:id="rId_hyperlink_5764"/>
    <hyperlink ref="F5930" r:id="rId_hyperlink_5765"/>
    <hyperlink ref="F5931" r:id="rId_hyperlink_5766"/>
    <hyperlink ref="F5932" r:id="rId_hyperlink_5767"/>
    <hyperlink ref="F5933" r:id="rId_hyperlink_5768"/>
    <hyperlink ref="F5934" r:id="rId_hyperlink_5769"/>
    <hyperlink ref="F5935" r:id="rId_hyperlink_5770"/>
    <hyperlink ref="F5936" r:id="rId_hyperlink_5771"/>
    <hyperlink ref="F5937" r:id="rId_hyperlink_5772"/>
    <hyperlink ref="F5938" r:id="rId_hyperlink_5773"/>
    <hyperlink ref="F5939" r:id="rId_hyperlink_5774"/>
    <hyperlink ref="F5940" r:id="rId_hyperlink_5775"/>
    <hyperlink ref="F5941" r:id="rId_hyperlink_5776"/>
    <hyperlink ref="F5942" r:id="rId_hyperlink_5777"/>
    <hyperlink ref="F5943" r:id="rId_hyperlink_5778"/>
    <hyperlink ref="F5944" r:id="rId_hyperlink_5779"/>
    <hyperlink ref="F5945" r:id="rId_hyperlink_5780"/>
    <hyperlink ref="F5946" r:id="rId_hyperlink_5781"/>
    <hyperlink ref="F5947" r:id="rId_hyperlink_5782"/>
    <hyperlink ref="F5948" r:id="rId_hyperlink_5783"/>
    <hyperlink ref="F5949" r:id="rId_hyperlink_5784"/>
    <hyperlink ref="F5950" r:id="rId_hyperlink_5785"/>
    <hyperlink ref="F5951" r:id="rId_hyperlink_5786"/>
    <hyperlink ref="F5952" r:id="rId_hyperlink_5787"/>
    <hyperlink ref="F5953" r:id="rId_hyperlink_5788"/>
    <hyperlink ref="F5954" r:id="rId_hyperlink_5789"/>
    <hyperlink ref="F5955" r:id="rId_hyperlink_5790"/>
    <hyperlink ref="F5956" r:id="rId_hyperlink_5791"/>
    <hyperlink ref="F5957" r:id="rId_hyperlink_5792"/>
    <hyperlink ref="F5958" r:id="rId_hyperlink_5793"/>
    <hyperlink ref="F5959" r:id="rId_hyperlink_5794"/>
    <hyperlink ref="F5960" r:id="rId_hyperlink_5795"/>
    <hyperlink ref="F5961" r:id="rId_hyperlink_5796"/>
    <hyperlink ref="F5962" r:id="rId_hyperlink_5797"/>
    <hyperlink ref="F5963" r:id="rId_hyperlink_5798"/>
    <hyperlink ref="F5964" r:id="rId_hyperlink_5799"/>
    <hyperlink ref="F5965" r:id="rId_hyperlink_5800"/>
    <hyperlink ref="F5966" r:id="rId_hyperlink_5801"/>
    <hyperlink ref="F5967" r:id="rId_hyperlink_5802"/>
    <hyperlink ref="F5968" r:id="rId_hyperlink_5803"/>
    <hyperlink ref="F5969" r:id="rId_hyperlink_5804"/>
    <hyperlink ref="F5970" r:id="rId_hyperlink_5805"/>
    <hyperlink ref="F5971" r:id="rId_hyperlink_5806"/>
    <hyperlink ref="F5972" r:id="rId_hyperlink_5807"/>
    <hyperlink ref="F5973" r:id="rId_hyperlink_5808"/>
    <hyperlink ref="F5974" r:id="rId_hyperlink_5809"/>
    <hyperlink ref="F5975" r:id="rId_hyperlink_5810"/>
    <hyperlink ref="F5976" r:id="rId_hyperlink_5811"/>
    <hyperlink ref="F5977" r:id="rId_hyperlink_5812"/>
    <hyperlink ref="F5978" r:id="rId_hyperlink_5813"/>
    <hyperlink ref="F5979" r:id="rId_hyperlink_5814"/>
    <hyperlink ref="F5980" r:id="rId_hyperlink_5815"/>
    <hyperlink ref="F5981" r:id="rId_hyperlink_5816"/>
    <hyperlink ref="F5982" r:id="rId_hyperlink_5817"/>
    <hyperlink ref="F5986" r:id="rId_hyperlink_5818"/>
    <hyperlink ref="F5987" r:id="rId_hyperlink_5819"/>
    <hyperlink ref="F5988" r:id="rId_hyperlink_5820"/>
    <hyperlink ref="F5989" r:id="rId_hyperlink_5821"/>
    <hyperlink ref="F5990" r:id="rId_hyperlink_5822"/>
    <hyperlink ref="F5992" r:id="rId_hyperlink_5823"/>
    <hyperlink ref="F5994" r:id="rId_hyperlink_5824"/>
    <hyperlink ref="F5995" r:id="rId_hyperlink_5825"/>
    <hyperlink ref="F5996" r:id="rId_hyperlink_5826"/>
    <hyperlink ref="F5997" r:id="rId_hyperlink_5827"/>
    <hyperlink ref="F5998" r:id="rId_hyperlink_5828"/>
    <hyperlink ref="F6000" r:id="rId_hyperlink_5829"/>
    <hyperlink ref="F6001" r:id="rId_hyperlink_5830"/>
    <hyperlink ref="F6002" r:id="rId_hyperlink_5831"/>
    <hyperlink ref="F6003" r:id="rId_hyperlink_5832"/>
    <hyperlink ref="F6004" r:id="rId_hyperlink_5833"/>
    <hyperlink ref="F6005" r:id="rId_hyperlink_5834"/>
    <hyperlink ref="F6006" r:id="rId_hyperlink_5835"/>
    <hyperlink ref="F6008" r:id="rId_hyperlink_5836"/>
    <hyperlink ref="F6009" r:id="rId_hyperlink_5837"/>
    <hyperlink ref="F6010" r:id="rId_hyperlink_5838"/>
    <hyperlink ref="F6011" r:id="rId_hyperlink_5839"/>
    <hyperlink ref="F6012" r:id="rId_hyperlink_5840"/>
    <hyperlink ref="F6013" r:id="rId_hyperlink_5841"/>
    <hyperlink ref="F6014" r:id="rId_hyperlink_5842"/>
    <hyperlink ref="F6034" r:id="rId_hyperlink_5843"/>
    <hyperlink ref="F6035" r:id="rId_hyperlink_5844"/>
    <hyperlink ref="F6053" r:id="rId_hyperlink_5845"/>
    <hyperlink ref="F6056" r:id="rId_hyperlink_5846"/>
    <hyperlink ref="F6057" r:id="rId_hyperlink_5847"/>
    <hyperlink ref="F6058" r:id="rId_hyperlink_5848"/>
    <hyperlink ref="F6059" r:id="rId_hyperlink_5849"/>
    <hyperlink ref="F6060" r:id="rId_hyperlink_5850"/>
    <hyperlink ref="F6061" r:id="rId_hyperlink_5851"/>
    <hyperlink ref="F6062" r:id="rId_hyperlink_5852"/>
    <hyperlink ref="F6063" r:id="rId_hyperlink_5853"/>
    <hyperlink ref="F6064" r:id="rId_hyperlink_5854"/>
    <hyperlink ref="F6065" r:id="rId_hyperlink_5855"/>
    <hyperlink ref="F6066" r:id="rId_hyperlink_5856"/>
    <hyperlink ref="F6067" r:id="rId_hyperlink_5857"/>
    <hyperlink ref="F6068" r:id="rId_hyperlink_5858"/>
    <hyperlink ref="F6069" r:id="rId_hyperlink_5859"/>
    <hyperlink ref="F6070" r:id="rId_hyperlink_5860"/>
    <hyperlink ref="F6071" r:id="rId_hyperlink_5861"/>
    <hyperlink ref="F6072" r:id="rId_hyperlink_5862"/>
    <hyperlink ref="F6073" r:id="rId_hyperlink_5863"/>
    <hyperlink ref="F6074" r:id="rId_hyperlink_5864"/>
    <hyperlink ref="F6075" r:id="rId_hyperlink_5865"/>
    <hyperlink ref="F6076" r:id="rId_hyperlink_5866"/>
    <hyperlink ref="F6077" r:id="rId_hyperlink_5867"/>
    <hyperlink ref="F6078" r:id="rId_hyperlink_5868"/>
    <hyperlink ref="F6081" r:id="rId_hyperlink_5869"/>
    <hyperlink ref="F6082" r:id="rId_hyperlink_5870"/>
    <hyperlink ref="F6083" r:id="rId_hyperlink_5871"/>
    <hyperlink ref="F6084" r:id="rId_hyperlink_5872"/>
    <hyperlink ref="F6085" r:id="rId_hyperlink_5873"/>
    <hyperlink ref="F6086" r:id="rId_hyperlink_5874"/>
    <hyperlink ref="F6087" r:id="rId_hyperlink_5875"/>
    <hyperlink ref="F6088" r:id="rId_hyperlink_5876"/>
    <hyperlink ref="F6089" r:id="rId_hyperlink_5877"/>
    <hyperlink ref="F6090" r:id="rId_hyperlink_5878"/>
    <hyperlink ref="F6091" r:id="rId_hyperlink_5879"/>
    <hyperlink ref="F6092" r:id="rId_hyperlink_5880"/>
    <hyperlink ref="F6093" r:id="rId_hyperlink_5881"/>
    <hyperlink ref="F6094" r:id="rId_hyperlink_5882"/>
    <hyperlink ref="F6095" r:id="rId_hyperlink_5883"/>
    <hyperlink ref="F6096" r:id="rId_hyperlink_5884"/>
    <hyperlink ref="F6097" r:id="rId_hyperlink_5885"/>
    <hyperlink ref="F6098" r:id="rId_hyperlink_5886"/>
    <hyperlink ref="F6099" r:id="rId_hyperlink_5887"/>
    <hyperlink ref="F6100" r:id="rId_hyperlink_5888"/>
    <hyperlink ref="F6101" r:id="rId_hyperlink_5889"/>
    <hyperlink ref="F6102" r:id="rId_hyperlink_5890"/>
    <hyperlink ref="F6103" r:id="rId_hyperlink_5891"/>
    <hyperlink ref="F6104" r:id="rId_hyperlink_5892"/>
    <hyperlink ref="F6105" r:id="rId_hyperlink_5893"/>
    <hyperlink ref="F6106" r:id="rId_hyperlink_5894"/>
    <hyperlink ref="F6107" r:id="rId_hyperlink_5895"/>
    <hyperlink ref="F6108" r:id="rId_hyperlink_5896"/>
    <hyperlink ref="F6109" r:id="rId_hyperlink_5897"/>
    <hyperlink ref="F6110" r:id="rId_hyperlink_5898"/>
    <hyperlink ref="F6111" r:id="rId_hyperlink_5899"/>
    <hyperlink ref="F6112" r:id="rId_hyperlink_5900"/>
    <hyperlink ref="F6113" r:id="rId_hyperlink_5901"/>
    <hyperlink ref="F6114" r:id="rId_hyperlink_5902"/>
    <hyperlink ref="F6115" r:id="rId_hyperlink_5903"/>
    <hyperlink ref="F6116" r:id="rId_hyperlink_5904"/>
    <hyperlink ref="F6117" r:id="rId_hyperlink_5905"/>
    <hyperlink ref="F6118" r:id="rId_hyperlink_5906"/>
    <hyperlink ref="F6119" r:id="rId_hyperlink_5907"/>
    <hyperlink ref="F6120" r:id="rId_hyperlink_5908"/>
    <hyperlink ref="F6121" r:id="rId_hyperlink_5909"/>
    <hyperlink ref="F6122" r:id="rId_hyperlink_5910"/>
    <hyperlink ref="F6123" r:id="rId_hyperlink_5911"/>
    <hyperlink ref="F6124" r:id="rId_hyperlink_5912"/>
    <hyperlink ref="F6125" r:id="rId_hyperlink_5913"/>
    <hyperlink ref="F6126" r:id="rId_hyperlink_5914"/>
    <hyperlink ref="F6127" r:id="rId_hyperlink_5915"/>
    <hyperlink ref="F6128" r:id="rId_hyperlink_5916"/>
    <hyperlink ref="F6129" r:id="rId_hyperlink_5917"/>
    <hyperlink ref="F6130" r:id="rId_hyperlink_5918"/>
    <hyperlink ref="F6131" r:id="rId_hyperlink_5919"/>
    <hyperlink ref="F6132" r:id="rId_hyperlink_5920"/>
    <hyperlink ref="F6133" r:id="rId_hyperlink_5921"/>
    <hyperlink ref="F6134" r:id="rId_hyperlink_5922"/>
    <hyperlink ref="F6135" r:id="rId_hyperlink_5923"/>
    <hyperlink ref="F6136" r:id="rId_hyperlink_5924"/>
    <hyperlink ref="F6137" r:id="rId_hyperlink_5925"/>
    <hyperlink ref="F6138" r:id="rId_hyperlink_5926"/>
    <hyperlink ref="F6139" r:id="rId_hyperlink_5927"/>
    <hyperlink ref="F6140" r:id="rId_hyperlink_5928"/>
    <hyperlink ref="F6141" r:id="rId_hyperlink_5929"/>
    <hyperlink ref="F6142" r:id="rId_hyperlink_5930"/>
    <hyperlink ref="F6143" r:id="rId_hyperlink_5931"/>
    <hyperlink ref="F6144" r:id="rId_hyperlink_5932"/>
    <hyperlink ref="F6145" r:id="rId_hyperlink_5933"/>
    <hyperlink ref="F6146" r:id="rId_hyperlink_5934"/>
    <hyperlink ref="F6147" r:id="rId_hyperlink_5935"/>
    <hyperlink ref="F6148" r:id="rId_hyperlink_5936"/>
    <hyperlink ref="F6149" r:id="rId_hyperlink_5937"/>
    <hyperlink ref="F6150" r:id="rId_hyperlink_5938"/>
    <hyperlink ref="F6151" r:id="rId_hyperlink_5939"/>
    <hyperlink ref="F6152" r:id="rId_hyperlink_5940"/>
    <hyperlink ref="F6153" r:id="rId_hyperlink_5941"/>
    <hyperlink ref="F6154" r:id="rId_hyperlink_5942"/>
    <hyperlink ref="F6155" r:id="rId_hyperlink_5943"/>
    <hyperlink ref="F6156" r:id="rId_hyperlink_5944"/>
    <hyperlink ref="F6157" r:id="rId_hyperlink_5945"/>
    <hyperlink ref="F6158" r:id="rId_hyperlink_5946"/>
    <hyperlink ref="F6159" r:id="rId_hyperlink_5947"/>
    <hyperlink ref="F6160" r:id="rId_hyperlink_5948"/>
    <hyperlink ref="F6161" r:id="rId_hyperlink_5949"/>
    <hyperlink ref="F6162" r:id="rId_hyperlink_5950"/>
    <hyperlink ref="F6163" r:id="rId_hyperlink_5951"/>
    <hyperlink ref="F6164" r:id="rId_hyperlink_5952"/>
    <hyperlink ref="F6165" r:id="rId_hyperlink_5953"/>
    <hyperlink ref="F6166" r:id="rId_hyperlink_5954"/>
    <hyperlink ref="F6167" r:id="rId_hyperlink_5955"/>
    <hyperlink ref="F6169" r:id="rId_hyperlink_5956"/>
    <hyperlink ref="F6170" r:id="rId_hyperlink_5957"/>
    <hyperlink ref="F6171" r:id="rId_hyperlink_5958"/>
    <hyperlink ref="F6172" r:id="rId_hyperlink_5959"/>
    <hyperlink ref="F6173" r:id="rId_hyperlink_5960"/>
    <hyperlink ref="F6174" r:id="rId_hyperlink_5961"/>
    <hyperlink ref="F6175" r:id="rId_hyperlink_5962"/>
    <hyperlink ref="F6176" r:id="rId_hyperlink_5963"/>
    <hyperlink ref="F6177" r:id="rId_hyperlink_5964"/>
    <hyperlink ref="F6178" r:id="rId_hyperlink_5965"/>
    <hyperlink ref="F6179" r:id="rId_hyperlink_5966"/>
    <hyperlink ref="F6180" r:id="rId_hyperlink_5967"/>
    <hyperlink ref="F6181" r:id="rId_hyperlink_5968"/>
    <hyperlink ref="F6182" r:id="rId_hyperlink_5969"/>
    <hyperlink ref="F6183" r:id="rId_hyperlink_5970"/>
    <hyperlink ref="F6184" r:id="rId_hyperlink_5971"/>
    <hyperlink ref="F6185" r:id="rId_hyperlink_5972"/>
    <hyperlink ref="F6186" r:id="rId_hyperlink_5973"/>
    <hyperlink ref="F6187" r:id="rId_hyperlink_5974"/>
    <hyperlink ref="F6188" r:id="rId_hyperlink_5975"/>
    <hyperlink ref="F6189" r:id="rId_hyperlink_5976"/>
    <hyperlink ref="F6190" r:id="rId_hyperlink_5977"/>
    <hyperlink ref="F6191" r:id="rId_hyperlink_5978"/>
    <hyperlink ref="F6192" r:id="rId_hyperlink_5979"/>
    <hyperlink ref="F6193" r:id="rId_hyperlink_5980"/>
    <hyperlink ref="F6194" r:id="rId_hyperlink_5981"/>
    <hyperlink ref="F6195" r:id="rId_hyperlink_5982"/>
    <hyperlink ref="F6196" r:id="rId_hyperlink_5983"/>
    <hyperlink ref="F6197" r:id="rId_hyperlink_5984"/>
    <hyperlink ref="F6198" r:id="rId_hyperlink_5985"/>
    <hyperlink ref="F6199" r:id="rId_hyperlink_5986"/>
    <hyperlink ref="F6200" r:id="rId_hyperlink_5987"/>
    <hyperlink ref="F6201" r:id="rId_hyperlink_5988"/>
    <hyperlink ref="F6202" r:id="rId_hyperlink_5989"/>
    <hyperlink ref="F6203" r:id="rId_hyperlink_5990"/>
    <hyperlink ref="F6204" r:id="rId_hyperlink_5991"/>
    <hyperlink ref="F6205" r:id="rId_hyperlink_5992"/>
    <hyperlink ref="F6206" r:id="rId_hyperlink_5993"/>
    <hyperlink ref="F6207" r:id="rId_hyperlink_5994"/>
    <hyperlink ref="F6208" r:id="rId_hyperlink_5995"/>
    <hyperlink ref="F6209" r:id="rId_hyperlink_5996"/>
    <hyperlink ref="F6210" r:id="rId_hyperlink_5997"/>
    <hyperlink ref="F6211" r:id="rId_hyperlink_5998"/>
    <hyperlink ref="F6212" r:id="rId_hyperlink_5999"/>
    <hyperlink ref="F6213" r:id="rId_hyperlink_6000"/>
    <hyperlink ref="F6214" r:id="rId_hyperlink_6001"/>
    <hyperlink ref="F6215" r:id="rId_hyperlink_6002"/>
    <hyperlink ref="F6216" r:id="rId_hyperlink_6003"/>
    <hyperlink ref="F6217" r:id="rId_hyperlink_6004"/>
    <hyperlink ref="F6218" r:id="rId_hyperlink_6005"/>
    <hyperlink ref="F6219" r:id="rId_hyperlink_6006"/>
    <hyperlink ref="F6220" r:id="rId_hyperlink_6007"/>
    <hyperlink ref="F6221" r:id="rId_hyperlink_6008"/>
    <hyperlink ref="F6222" r:id="rId_hyperlink_6009"/>
    <hyperlink ref="F6223" r:id="rId_hyperlink_6010"/>
    <hyperlink ref="F6224" r:id="rId_hyperlink_6011"/>
    <hyperlink ref="F6225" r:id="rId_hyperlink_6012"/>
    <hyperlink ref="F6226" r:id="rId_hyperlink_6013"/>
    <hyperlink ref="F6227" r:id="rId_hyperlink_6014"/>
    <hyperlink ref="F6229" r:id="rId_hyperlink_6015"/>
    <hyperlink ref="F6230" r:id="rId_hyperlink_6016"/>
    <hyperlink ref="F6231" r:id="rId_hyperlink_6017"/>
    <hyperlink ref="F6232" r:id="rId_hyperlink_6018"/>
    <hyperlink ref="F6233" r:id="rId_hyperlink_6019"/>
    <hyperlink ref="F6234" r:id="rId_hyperlink_6020"/>
    <hyperlink ref="F6235" r:id="rId_hyperlink_6021"/>
    <hyperlink ref="F6236" r:id="rId_hyperlink_6022"/>
    <hyperlink ref="F6237" r:id="rId_hyperlink_6023"/>
    <hyperlink ref="F6238" r:id="rId_hyperlink_6024"/>
    <hyperlink ref="F6239" r:id="rId_hyperlink_6025"/>
    <hyperlink ref="F6240" r:id="rId_hyperlink_6026"/>
    <hyperlink ref="F6241" r:id="rId_hyperlink_6027"/>
    <hyperlink ref="F6242" r:id="rId_hyperlink_6028"/>
    <hyperlink ref="F6243" r:id="rId_hyperlink_6029"/>
    <hyperlink ref="F6245" r:id="rId_hyperlink_6030"/>
    <hyperlink ref="F6246" r:id="rId_hyperlink_6031"/>
    <hyperlink ref="F6247" r:id="rId_hyperlink_6032"/>
    <hyperlink ref="F6248" r:id="rId_hyperlink_6033"/>
    <hyperlink ref="F6249" r:id="rId_hyperlink_6034"/>
    <hyperlink ref="F6250" r:id="rId_hyperlink_6035"/>
    <hyperlink ref="F6251" r:id="rId_hyperlink_6036"/>
    <hyperlink ref="F6252" r:id="rId_hyperlink_6037"/>
    <hyperlink ref="F6253" r:id="rId_hyperlink_6038"/>
    <hyperlink ref="F6254" r:id="rId_hyperlink_6039"/>
    <hyperlink ref="F6255" r:id="rId_hyperlink_6040"/>
    <hyperlink ref="F6256" r:id="rId_hyperlink_6041"/>
    <hyperlink ref="F6257" r:id="rId_hyperlink_6042"/>
    <hyperlink ref="F6258" r:id="rId_hyperlink_6043"/>
    <hyperlink ref="F6259" r:id="rId_hyperlink_6044"/>
    <hyperlink ref="F6260" r:id="rId_hyperlink_6045"/>
    <hyperlink ref="F6261" r:id="rId_hyperlink_6046"/>
    <hyperlink ref="F6262" r:id="rId_hyperlink_6047"/>
    <hyperlink ref="F6263" r:id="rId_hyperlink_6048"/>
    <hyperlink ref="F6264" r:id="rId_hyperlink_6049"/>
    <hyperlink ref="F6265" r:id="rId_hyperlink_6050"/>
    <hyperlink ref="F6266" r:id="rId_hyperlink_6051"/>
    <hyperlink ref="F6267" r:id="rId_hyperlink_6052"/>
    <hyperlink ref="F6268" r:id="rId_hyperlink_6053"/>
    <hyperlink ref="F6270" r:id="rId_hyperlink_6054"/>
    <hyperlink ref="F6273" r:id="rId_hyperlink_6055"/>
    <hyperlink ref="F6274" r:id="rId_hyperlink_6056"/>
    <hyperlink ref="F6275" r:id="rId_hyperlink_6057"/>
    <hyperlink ref="F6276" r:id="rId_hyperlink_6058"/>
    <hyperlink ref="F6277" r:id="rId_hyperlink_6059"/>
    <hyperlink ref="F6278" r:id="rId_hyperlink_6060"/>
    <hyperlink ref="F6279" r:id="rId_hyperlink_6061"/>
    <hyperlink ref="F6280" r:id="rId_hyperlink_6062"/>
    <hyperlink ref="F6281" r:id="rId_hyperlink_6063"/>
    <hyperlink ref="F6282" r:id="rId_hyperlink_6064"/>
    <hyperlink ref="F6283" r:id="rId_hyperlink_6065"/>
    <hyperlink ref="F6284" r:id="rId_hyperlink_6066"/>
    <hyperlink ref="F6285" r:id="rId_hyperlink_6067"/>
    <hyperlink ref="F6286" r:id="rId_hyperlink_6068"/>
    <hyperlink ref="F6287" r:id="rId_hyperlink_6069"/>
    <hyperlink ref="F6288" r:id="rId_hyperlink_6070"/>
    <hyperlink ref="F6289" r:id="rId_hyperlink_6071"/>
    <hyperlink ref="F6290" r:id="rId_hyperlink_6072"/>
    <hyperlink ref="F6292" r:id="rId_hyperlink_6073"/>
    <hyperlink ref="F6293" r:id="rId_hyperlink_6074"/>
    <hyperlink ref="F6294" r:id="rId_hyperlink_6075"/>
    <hyperlink ref="F6295" r:id="rId_hyperlink_6076"/>
    <hyperlink ref="F6296" r:id="rId_hyperlink_6077"/>
    <hyperlink ref="F6297" r:id="rId_hyperlink_6078"/>
    <hyperlink ref="F6298" r:id="rId_hyperlink_6079"/>
    <hyperlink ref="F6299" r:id="rId_hyperlink_6080"/>
    <hyperlink ref="F6300" r:id="rId_hyperlink_6081"/>
    <hyperlink ref="F6301" r:id="rId_hyperlink_6082"/>
    <hyperlink ref="F6302" r:id="rId_hyperlink_6083"/>
    <hyperlink ref="F6303" r:id="rId_hyperlink_6084"/>
    <hyperlink ref="F6304" r:id="rId_hyperlink_6085"/>
    <hyperlink ref="F6305" r:id="rId_hyperlink_6086"/>
    <hyperlink ref="F6306" r:id="rId_hyperlink_6087"/>
    <hyperlink ref="F6307" r:id="rId_hyperlink_6088"/>
    <hyperlink ref="F6308" r:id="rId_hyperlink_6089"/>
    <hyperlink ref="F6309" r:id="rId_hyperlink_6090"/>
    <hyperlink ref="F6310" r:id="rId_hyperlink_6091"/>
    <hyperlink ref="F6311" r:id="rId_hyperlink_6092"/>
    <hyperlink ref="F6312" r:id="rId_hyperlink_6093"/>
    <hyperlink ref="F6313" r:id="rId_hyperlink_6094"/>
    <hyperlink ref="F6314" r:id="rId_hyperlink_6095"/>
    <hyperlink ref="F6315" r:id="rId_hyperlink_6096"/>
    <hyperlink ref="F6316" r:id="rId_hyperlink_6097"/>
    <hyperlink ref="F6317" r:id="rId_hyperlink_6098"/>
    <hyperlink ref="F6318" r:id="rId_hyperlink_6099"/>
    <hyperlink ref="F6319" r:id="rId_hyperlink_6100"/>
    <hyperlink ref="F6320" r:id="rId_hyperlink_6101"/>
    <hyperlink ref="F6321" r:id="rId_hyperlink_6102"/>
    <hyperlink ref="F6322" r:id="rId_hyperlink_6103"/>
    <hyperlink ref="F6323" r:id="rId_hyperlink_6104"/>
    <hyperlink ref="F6324" r:id="rId_hyperlink_6105"/>
    <hyperlink ref="F6325" r:id="rId_hyperlink_6106"/>
    <hyperlink ref="F6326" r:id="rId_hyperlink_6107"/>
    <hyperlink ref="F6327" r:id="rId_hyperlink_6108"/>
    <hyperlink ref="F6328" r:id="rId_hyperlink_6109"/>
    <hyperlink ref="F6329" r:id="rId_hyperlink_6110"/>
    <hyperlink ref="F6330" r:id="rId_hyperlink_6111"/>
    <hyperlink ref="F6331" r:id="rId_hyperlink_6112"/>
    <hyperlink ref="F6332" r:id="rId_hyperlink_6113"/>
    <hyperlink ref="F6333" r:id="rId_hyperlink_6114"/>
    <hyperlink ref="F6334" r:id="rId_hyperlink_6115"/>
    <hyperlink ref="F6335" r:id="rId_hyperlink_6116"/>
    <hyperlink ref="F6336" r:id="rId_hyperlink_6117"/>
    <hyperlink ref="F6337" r:id="rId_hyperlink_6118"/>
    <hyperlink ref="F6338" r:id="rId_hyperlink_6119"/>
    <hyperlink ref="F6340" r:id="rId_hyperlink_6120"/>
    <hyperlink ref="F6341" r:id="rId_hyperlink_6121"/>
    <hyperlink ref="F6342" r:id="rId_hyperlink_6122"/>
    <hyperlink ref="F6343" r:id="rId_hyperlink_6123"/>
    <hyperlink ref="F6344" r:id="rId_hyperlink_6124"/>
    <hyperlink ref="F6346" r:id="rId_hyperlink_6125"/>
    <hyperlink ref="F6347" r:id="rId_hyperlink_6126"/>
    <hyperlink ref="F6348" r:id="rId_hyperlink_6127"/>
    <hyperlink ref="F6349" r:id="rId_hyperlink_6128"/>
    <hyperlink ref="F6350" r:id="rId_hyperlink_6129"/>
    <hyperlink ref="F6351" r:id="rId_hyperlink_6130"/>
    <hyperlink ref="F6352" r:id="rId_hyperlink_6131"/>
    <hyperlink ref="F6353" r:id="rId_hyperlink_6132"/>
    <hyperlink ref="F6354" r:id="rId_hyperlink_6133"/>
    <hyperlink ref="F6355" r:id="rId_hyperlink_6134"/>
    <hyperlink ref="F6356" r:id="rId_hyperlink_6135"/>
    <hyperlink ref="F6357" r:id="rId_hyperlink_6136"/>
    <hyperlink ref="F6358" r:id="rId_hyperlink_6137"/>
    <hyperlink ref="F6359" r:id="rId_hyperlink_6138"/>
    <hyperlink ref="F6360" r:id="rId_hyperlink_6139"/>
    <hyperlink ref="F6361" r:id="rId_hyperlink_6140"/>
    <hyperlink ref="F6362" r:id="rId_hyperlink_6141"/>
    <hyperlink ref="F6363" r:id="rId_hyperlink_6142"/>
    <hyperlink ref="F6364" r:id="rId_hyperlink_6143"/>
    <hyperlink ref="F6365" r:id="rId_hyperlink_6144"/>
    <hyperlink ref="F6366" r:id="rId_hyperlink_6145"/>
    <hyperlink ref="F6367" r:id="rId_hyperlink_6146"/>
    <hyperlink ref="F6368" r:id="rId_hyperlink_6147"/>
    <hyperlink ref="F6369" r:id="rId_hyperlink_6148"/>
    <hyperlink ref="F6370" r:id="rId_hyperlink_6149"/>
    <hyperlink ref="F6371" r:id="rId_hyperlink_6150"/>
    <hyperlink ref="F6372" r:id="rId_hyperlink_6151"/>
    <hyperlink ref="F6373" r:id="rId_hyperlink_6152"/>
    <hyperlink ref="F6374" r:id="rId_hyperlink_6153"/>
    <hyperlink ref="F6375" r:id="rId_hyperlink_6154"/>
    <hyperlink ref="F6376" r:id="rId_hyperlink_6155"/>
    <hyperlink ref="F6377" r:id="rId_hyperlink_6156"/>
    <hyperlink ref="F6378" r:id="rId_hyperlink_6157"/>
    <hyperlink ref="F6379" r:id="rId_hyperlink_6158"/>
    <hyperlink ref="F6380" r:id="rId_hyperlink_6159"/>
    <hyperlink ref="F6381" r:id="rId_hyperlink_6160"/>
    <hyperlink ref="F6382" r:id="rId_hyperlink_6161"/>
    <hyperlink ref="F6383" r:id="rId_hyperlink_6162"/>
    <hyperlink ref="F6384" r:id="rId_hyperlink_6163"/>
    <hyperlink ref="F6385" r:id="rId_hyperlink_6164"/>
    <hyperlink ref="F6386" r:id="rId_hyperlink_6165"/>
    <hyperlink ref="F6387" r:id="rId_hyperlink_6166"/>
    <hyperlink ref="F6388" r:id="rId_hyperlink_6167"/>
    <hyperlink ref="F6389" r:id="rId_hyperlink_6168"/>
    <hyperlink ref="F6390" r:id="rId_hyperlink_6169"/>
    <hyperlink ref="F6391" r:id="rId_hyperlink_6170"/>
    <hyperlink ref="F6392" r:id="rId_hyperlink_6171"/>
    <hyperlink ref="F6393" r:id="rId_hyperlink_6172"/>
    <hyperlink ref="F6394" r:id="rId_hyperlink_6173"/>
    <hyperlink ref="F6395" r:id="rId_hyperlink_6174"/>
    <hyperlink ref="F6396" r:id="rId_hyperlink_6175"/>
    <hyperlink ref="F6397" r:id="rId_hyperlink_6176"/>
    <hyperlink ref="F6398" r:id="rId_hyperlink_6177"/>
    <hyperlink ref="F6399" r:id="rId_hyperlink_6178"/>
    <hyperlink ref="F6400" r:id="rId_hyperlink_6179"/>
    <hyperlink ref="F6401" r:id="rId_hyperlink_6180"/>
    <hyperlink ref="F6402" r:id="rId_hyperlink_6181"/>
    <hyperlink ref="F6403" r:id="rId_hyperlink_6182"/>
    <hyperlink ref="F6404" r:id="rId_hyperlink_6183"/>
    <hyperlink ref="F6405" r:id="rId_hyperlink_6184"/>
    <hyperlink ref="F6406" r:id="rId_hyperlink_6185"/>
    <hyperlink ref="F6407" r:id="rId_hyperlink_6186"/>
    <hyperlink ref="F6408" r:id="rId_hyperlink_6187"/>
    <hyperlink ref="F6409" r:id="rId_hyperlink_6188"/>
    <hyperlink ref="F6410" r:id="rId_hyperlink_6189"/>
    <hyperlink ref="F6411" r:id="rId_hyperlink_6190"/>
    <hyperlink ref="F6412" r:id="rId_hyperlink_6191"/>
    <hyperlink ref="F6413" r:id="rId_hyperlink_6192"/>
    <hyperlink ref="F6414" r:id="rId_hyperlink_6193"/>
    <hyperlink ref="F6415" r:id="rId_hyperlink_6194"/>
    <hyperlink ref="F6416" r:id="rId_hyperlink_6195"/>
    <hyperlink ref="F6417" r:id="rId_hyperlink_6196"/>
    <hyperlink ref="F6418" r:id="rId_hyperlink_6197"/>
    <hyperlink ref="F6419" r:id="rId_hyperlink_6198"/>
    <hyperlink ref="F6420" r:id="rId_hyperlink_6199"/>
    <hyperlink ref="F6421" r:id="rId_hyperlink_6200"/>
    <hyperlink ref="F6422" r:id="rId_hyperlink_6201"/>
    <hyperlink ref="F6424" r:id="rId_hyperlink_6202"/>
    <hyperlink ref="F6425" r:id="rId_hyperlink_6203"/>
    <hyperlink ref="F6426" r:id="rId_hyperlink_6204"/>
    <hyperlink ref="F6427" r:id="rId_hyperlink_6205"/>
    <hyperlink ref="F6428" r:id="rId_hyperlink_6206"/>
    <hyperlink ref="F6429" r:id="rId_hyperlink_6207"/>
    <hyperlink ref="F6430" r:id="rId_hyperlink_6208"/>
    <hyperlink ref="F6431" r:id="rId_hyperlink_6209"/>
    <hyperlink ref="F6432" r:id="rId_hyperlink_6210"/>
    <hyperlink ref="F6433" r:id="rId_hyperlink_6211"/>
    <hyperlink ref="F6434" r:id="rId_hyperlink_6212"/>
    <hyperlink ref="F6435" r:id="rId_hyperlink_6213"/>
    <hyperlink ref="F6436" r:id="rId_hyperlink_6214"/>
    <hyperlink ref="F6437" r:id="rId_hyperlink_6215"/>
    <hyperlink ref="F6438" r:id="rId_hyperlink_6216"/>
    <hyperlink ref="F6439" r:id="rId_hyperlink_6217"/>
    <hyperlink ref="F6440" r:id="rId_hyperlink_6218"/>
    <hyperlink ref="F6441" r:id="rId_hyperlink_6219"/>
    <hyperlink ref="F6442" r:id="rId_hyperlink_6220"/>
    <hyperlink ref="F6443" r:id="rId_hyperlink_6221"/>
    <hyperlink ref="F6444" r:id="rId_hyperlink_6222"/>
    <hyperlink ref="F6445" r:id="rId_hyperlink_6223"/>
    <hyperlink ref="F6446" r:id="rId_hyperlink_6224"/>
    <hyperlink ref="F6448" r:id="rId_hyperlink_6225"/>
    <hyperlink ref="F6449" r:id="rId_hyperlink_6226"/>
    <hyperlink ref="F6450" r:id="rId_hyperlink_6227"/>
    <hyperlink ref="F6451" r:id="rId_hyperlink_6228"/>
    <hyperlink ref="F6452" r:id="rId_hyperlink_6229"/>
    <hyperlink ref="F6453" r:id="rId_hyperlink_6230"/>
    <hyperlink ref="F6454" r:id="rId_hyperlink_6231"/>
    <hyperlink ref="F6455" r:id="rId_hyperlink_6232"/>
    <hyperlink ref="F6456" r:id="rId_hyperlink_6233"/>
    <hyperlink ref="F6457" r:id="rId_hyperlink_6234"/>
    <hyperlink ref="F6458" r:id="rId_hyperlink_6235"/>
    <hyperlink ref="F6459" r:id="rId_hyperlink_6236"/>
    <hyperlink ref="F6460" r:id="rId_hyperlink_6237"/>
    <hyperlink ref="F6461" r:id="rId_hyperlink_6238"/>
    <hyperlink ref="F6463" r:id="rId_hyperlink_6239"/>
    <hyperlink ref="F6464" r:id="rId_hyperlink_6240"/>
    <hyperlink ref="F6465" r:id="rId_hyperlink_6241"/>
    <hyperlink ref="F6466" r:id="rId_hyperlink_6242"/>
    <hyperlink ref="F6467" r:id="rId_hyperlink_6243"/>
    <hyperlink ref="F6468" r:id="rId_hyperlink_6244"/>
    <hyperlink ref="F6469" r:id="rId_hyperlink_6245"/>
    <hyperlink ref="F6470" r:id="rId_hyperlink_6246"/>
    <hyperlink ref="F6471" r:id="rId_hyperlink_6247"/>
    <hyperlink ref="F6472" r:id="rId_hyperlink_6248"/>
    <hyperlink ref="F6473" r:id="rId_hyperlink_6249"/>
    <hyperlink ref="F6474" r:id="rId_hyperlink_6250"/>
    <hyperlink ref="F6475" r:id="rId_hyperlink_6251"/>
    <hyperlink ref="F6476" r:id="rId_hyperlink_6252"/>
    <hyperlink ref="F6477" r:id="rId_hyperlink_6253"/>
    <hyperlink ref="F6478" r:id="rId_hyperlink_6254"/>
    <hyperlink ref="F6479" r:id="rId_hyperlink_6255"/>
    <hyperlink ref="F6480" r:id="rId_hyperlink_6256"/>
    <hyperlink ref="F6481" r:id="rId_hyperlink_6257"/>
    <hyperlink ref="F6482" r:id="rId_hyperlink_6258"/>
    <hyperlink ref="F6484" r:id="rId_hyperlink_6259"/>
    <hyperlink ref="F6485" r:id="rId_hyperlink_6260"/>
    <hyperlink ref="F6486" r:id="rId_hyperlink_6261"/>
    <hyperlink ref="F6487" r:id="rId_hyperlink_6262"/>
    <hyperlink ref="F6488" r:id="rId_hyperlink_6263"/>
    <hyperlink ref="F6489" r:id="rId_hyperlink_6264"/>
    <hyperlink ref="F6490" r:id="rId_hyperlink_6265"/>
    <hyperlink ref="F6491" r:id="rId_hyperlink_6266"/>
    <hyperlink ref="F6492" r:id="rId_hyperlink_6267"/>
    <hyperlink ref="F6493" r:id="rId_hyperlink_6268"/>
    <hyperlink ref="F6494" r:id="rId_hyperlink_6269"/>
    <hyperlink ref="F6495" r:id="rId_hyperlink_6270"/>
    <hyperlink ref="F6496" r:id="rId_hyperlink_6271"/>
    <hyperlink ref="F6497" r:id="rId_hyperlink_6272"/>
    <hyperlink ref="F6498" r:id="rId_hyperlink_6273"/>
    <hyperlink ref="F6499" r:id="rId_hyperlink_6274"/>
    <hyperlink ref="F6500" r:id="rId_hyperlink_6275"/>
    <hyperlink ref="F6501" r:id="rId_hyperlink_6276"/>
    <hyperlink ref="F6502" r:id="rId_hyperlink_6277"/>
    <hyperlink ref="F6503" r:id="rId_hyperlink_6278"/>
    <hyperlink ref="F6504" r:id="rId_hyperlink_6279"/>
    <hyperlink ref="F6505" r:id="rId_hyperlink_6280"/>
    <hyperlink ref="F6506" r:id="rId_hyperlink_6281"/>
    <hyperlink ref="F6507" r:id="rId_hyperlink_6282"/>
    <hyperlink ref="F6508" r:id="rId_hyperlink_6283"/>
    <hyperlink ref="F6509" r:id="rId_hyperlink_6284"/>
    <hyperlink ref="F6510" r:id="rId_hyperlink_6285"/>
    <hyperlink ref="F6511" r:id="rId_hyperlink_6286"/>
    <hyperlink ref="F6512" r:id="rId_hyperlink_6287"/>
    <hyperlink ref="F6513" r:id="rId_hyperlink_6288"/>
    <hyperlink ref="F6514" r:id="rId_hyperlink_6289"/>
    <hyperlink ref="F6515" r:id="rId_hyperlink_6290"/>
    <hyperlink ref="F6516" r:id="rId_hyperlink_6291"/>
    <hyperlink ref="F6517" r:id="rId_hyperlink_6292"/>
    <hyperlink ref="F6518" r:id="rId_hyperlink_6293"/>
    <hyperlink ref="F6519" r:id="rId_hyperlink_6294"/>
    <hyperlink ref="F6520" r:id="rId_hyperlink_6295"/>
    <hyperlink ref="F6521" r:id="rId_hyperlink_6296"/>
    <hyperlink ref="F6522" r:id="rId_hyperlink_6297"/>
    <hyperlink ref="F6523" r:id="rId_hyperlink_6298"/>
    <hyperlink ref="F6524" r:id="rId_hyperlink_6299"/>
    <hyperlink ref="F6525" r:id="rId_hyperlink_6300"/>
    <hyperlink ref="F6526" r:id="rId_hyperlink_6301"/>
    <hyperlink ref="F6527" r:id="rId_hyperlink_6302"/>
    <hyperlink ref="F6528" r:id="rId_hyperlink_6303"/>
    <hyperlink ref="F6529" r:id="rId_hyperlink_6304"/>
    <hyperlink ref="F6530" r:id="rId_hyperlink_6305"/>
    <hyperlink ref="F6531" r:id="rId_hyperlink_6306"/>
    <hyperlink ref="F6532" r:id="rId_hyperlink_6307"/>
    <hyperlink ref="F6533" r:id="rId_hyperlink_6308"/>
    <hyperlink ref="F6534" r:id="rId_hyperlink_6309"/>
    <hyperlink ref="F6535" r:id="rId_hyperlink_6310"/>
    <hyperlink ref="F6536" r:id="rId_hyperlink_6311"/>
    <hyperlink ref="F6537" r:id="rId_hyperlink_6312"/>
    <hyperlink ref="F6538" r:id="rId_hyperlink_6313"/>
    <hyperlink ref="F6539" r:id="rId_hyperlink_6314"/>
    <hyperlink ref="F6540" r:id="rId_hyperlink_6315"/>
    <hyperlink ref="F6541" r:id="rId_hyperlink_6316"/>
    <hyperlink ref="F6542" r:id="rId_hyperlink_6317"/>
    <hyperlink ref="F6543" r:id="rId_hyperlink_6318"/>
    <hyperlink ref="F6544" r:id="rId_hyperlink_6319"/>
    <hyperlink ref="F6545" r:id="rId_hyperlink_6320"/>
    <hyperlink ref="F6546" r:id="rId_hyperlink_6321"/>
    <hyperlink ref="F6547" r:id="rId_hyperlink_6322"/>
    <hyperlink ref="F6548" r:id="rId_hyperlink_6323"/>
    <hyperlink ref="F6549" r:id="rId_hyperlink_6324"/>
    <hyperlink ref="F6550" r:id="rId_hyperlink_6325"/>
    <hyperlink ref="F6551" r:id="rId_hyperlink_6326"/>
    <hyperlink ref="F6552" r:id="rId_hyperlink_6327"/>
    <hyperlink ref="F6553" r:id="rId_hyperlink_6328"/>
    <hyperlink ref="F6555" r:id="rId_hyperlink_6329"/>
    <hyperlink ref="F6556" r:id="rId_hyperlink_6330"/>
    <hyperlink ref="F6557" r:id="rId_hyperlink_6331"/>
    <hyperlink ref="F6558" r:id="rId_hyperlink_6332"/>
    <hyperlink ref="F6559" r:id="rId_hyperlink_6333"/>
    <hyperlink ref="F6560" r:id="rId_hyperlink_6334"/>
    <hyperlink ref="F6561" r:id="rId_hyperlink_6335"/>
    <hyperlink ref="F6562" r:id="rId_hyperlink_6336"/>
    <hyperlink ref="F6563" r:id="rId_hyperlink_6337"/>
    <hyperlink ref="F6564" r:id="rId_hyperlink_6338"/>
    <hyperlink ref="F6565" r:id="rId_hyperlink_6339"/>
    <hyperlink ref="F6566" r:id="rId_hyperlink_6340"/>
    <hyperlink ref="F6567" r:id="rId_hyperlink_6341"/>
    <hyperlink ref="F6568" r:id="rId_hyperlink_6342"/>
    <hyperlink ref="F6569" r:id="rId_hyperlink_6343"/>
    <hyperlink ref="F6570" r:id="rId_hyperlink_6344"/>
    <hyperlink ref="F6571" r:id="rId_hyperlink_6345"/>
    <hyperlink ref="F6572" r:id="rId_hyperlink_6346"/>
    <hyperlink ref="F6573" r:id="rId_hyperlink_6347"/>
    <hyperlink ref="F6574" r:id="rId_hyperlink_6348"/>
    <hyperlink ref="F6575" r:id="rId_hyperlink_6349"/>
    <hyperlink ref="F6576" r:id="rId_hyperlink_6350"/>
    <hyperlink ref="F6577" r:id="rId_hyperlink_6351"/>
    <hyperlink ref="F6578" r:id="rId_hyperlink_6352"/>
    <hyperlink ref="F6579" r:id="rId_hyperlink_6353"/>
    <hyperlink ref="F6580" r:id="rId_hyperlink_6354"/>
    <hyperlink ref="F6581" r:id="rId_hyperlink_6355"/>
    <hyperlink ref="F6582" r:id="rId_hyperlink_6356"/>
    <hyperlink ref="F6583" r:id="rId_hyperlink_6357"/>
    <hyperlink ref="F6584" r:id="rId_hyperlink_6358"/>
    <hyperlink ref="F6585" r:id="rId_hyperlink_6359"/>
    <hyperlink ref="F6586" r:id="rId_hyperlink_6360"/>
    <hyperlink ref="F6587" r:id="rId_hyperlink_6361"/>
    <hyperlink ref="F6588" r:id="rId_hyperlink_6362"/>
    <hyperlink ref="F6589" r:id="rId_hyperlink_6363"/>
    <hyperlink ref="F6590" r:id="rId_hyperlink_6364"/>
    <hyperlink ref="F6591" r:id="rId_hyperlink_6365"/>
    <hyperlink ref="F6592" r:id="rId_hyperlink_6366"/>
    <hyperlink ref="F6593" r:id="rId_hyperlink_6367"/>
    <hyperlink ref="F6594" r:id="rId_hyperlink_6368"/>
    <hyperlink ref="F6595" r:id="rId_hyperlink_6369"/>
    <hyperlink ref="F6596" r:id="rId_hyperlink_6370"/>
    <hyperlink ref="F6597" r:id="rId_hyperlink_6371"/>
    <hyperlink ref="F6598" r:id="rId_hyperlink_6372"/>
    <hyperlink ref="F6599" r:id="rId_hyperlink_6373"/>
    <hyperlink ref="F6600" r:id="rId_hyperlink_6374"/>
    <hyperlink ref="F6601" r:id="rId_hyperlink_6375"/>
    <hyperlink ref="F6602" r:id="rId_hyperlink_6376"/>
    <hyperlink ref="F6603" r:id="rId_hyperlink_6377"/>
    <hyperlink ref="F6604" r:id="rId_hyperlink_6378"/>
    <hyperlink ref="F6605" r:id="rId_hyperlink_6379"/>
    <hyperlink ref="F6606" r:id="rId_hyperlink_6380"/>
    <hyperlink ref="F6607" r:id="rId_hyperlink_6381"/>
    <hyperlink ref="F6608" r:id="rId_hyperlink_6382"/>
    <hyperlink ref="F6609" r:id="rId_hyperlink_6383"/>
    <hyperlink ref="F6610" r:id="rId_hyperlink_6384"/>
    <hyperlink ref="F6611" r:id="rId_hyperlink_6385"/>
    <hyperlink ref="F6612" r:id="rId_hyperlink_6386"/>
    <hyperlink ref="F6613" r:id="rId_hyperlink_6387"/>
    <hyperlink ref="F6614" r:id="rId_hyperlink_6388"/>
    <hyperlink ref="F6615" r:id="rId_hyperlink_6389"/>
    <hyperlink ref="F6616" r:id="rId_hyperlink_6390"/>
    <hyperlink ref="F6617" r:id="rId_hyperlink_6391"/>
    <hyperlink ref="F6618" r:id="rId_hyperlink_6392"/>
    <hyperlink ref="F6619" r:id="rId_hyperlink_6393"/>
    <hyperlink ref="F6621" r:id="rId_hyperlink_6394"/>
    <hyperlink ref="F6622" r:id="rId_hyperlink_6395"/>
    <hyperlink ref="F6623" r:id="rId_hyperlink_6396"/>
    <hyperlink ref="F6624" r:id="rId_hyperlink_6397"/>
    <hyperlink ref="F6625" r:id="rId_hyperlink_6398"/>
    <hyperlink ref="F6626" r:id="rId_hyperlink_6399"/>
    <hyperlink ref="F6627" r:id="rId_hyperlink_6400"/>
    <hyperlink ref="F6628" r:id="rId_hyperlink_6401"/>
    <hyperlink ref="F6629" r:id="rId_hyperlink_6402"/>
    <hyperlink ref="F6630" r:id="rId_hyperlink_6403"/>
    <hyperlink ref="F6631" r:id="rId_hyperlink_6404"/>
    <hyperlink ref="F6632" r:id="rId_hyperlink_6405"/>
    <hyperlink ref="F6633" r:id="rId_hyperlink_6406"/>
    <hyperlink ref="F6634" r:id="rId_hyperlink_6407"/>
    <hyperlink ref="F6636" r:id="rId_hyperlink_6408"/>
    <hyperlink ref="F6637" r:id="rId_hyperlink_6409"/>
    <hyperlink ref="F6638" r:id="rId_hyperlink_6410"/>
    <hyperlink ref="F6639" r:id="rId_hyperlink_6411"/>
    <hyperlink ref="F6640" r:id="rId_hyperlink_6412"/>
    <hyperlink ref="F6641" r:id="rId_hyperlink_6413"/>
    <hyperlink ref="F6642" r:id="rId_hyperlink_6414"/>
    <hyperlink ref="F6643" r:id="rId_hyperlink_6415"/>
    <hyperlink ref="F6644" r:id="rId_hyperlink_6416"/>
    <hyperlink ref="F6645" r:id="rId_hyperlink_6417"/>
    <hyperlink ref="F6646" r:id="rId_hyperlink_6418"/>
    <hyperlink ref="F6647" r:id="rId_hyperlink_6419"/>
    <hyperlink ref="F6648" r:id="rId_hyperlink_6420"/>
    <hyperlink ref="F6649" r:id="rId_hyperlink_6421"/>
    <hyperlink ref="F6650" r:id="rId_hyperlink_6422"/>
    <hyperlink ref="F6651" r:id="rId_hyperlink_6423"/>
    <hyperlink ref="F6652" r:id="rId_hyperlink_6424"/>
    <hyperlink ref="F6653" r:id="rId_hyperlink_6425"/>
    <hyperlink ref="F6654" r:id="rId_hyperlink_6426"/>
    <hyperlink ref="F6655" r:id="rId_hyperlink_6427"/>
    <hyperlink ref="F6656" r:id="rId_hyperlink_6428"/>
    <hyperlink ref="F6657" r:id="rId_hyperlink_6429"/>
    <hyperlink ref="F6658" r:id="rId_hyperlink_6430"/>
    <hyperlink ref="F6659" r:id="rId_hyperlink_6431"/>
    <hyperlink ref="F6660" r:id="rId_hyperlink_6432"/>
    <hyperlink ref="F6661" r:id="rId_hyperlink_6433"/>
    <hyperlink ref="F6662" r:id="rId_hyperlink_6434"/>
    <hyperlink ref="F6663" r:id="rId_hyperlink_6435"/>
    <hyperlink ref="F6664" r:id="rId_hyperlink_6436"/>
    <hyperlink ref="F6665" r:id="rId_hyperlink_6437"/>
    <hyperlink ref="F6666" r:id="rId_hyperlink_6438"/>
    <hyperlink ref="F6667" r:id="rId_hyperlink_6439"/>
    <hyperlink ref="F6668" r:id="rId_hyperlink_6440"/>
    <hyperlink ref="F6669" r:id="rId_hyperlink_6441"/>
    <hyperlink ref="F6670" r:id="rId_hyperlink_6442"/>
    <hyperlink ref="F6671" r:id="rId_hyperlink_6443"/>
    <hyperlink ref="F6672" r:id="rId_hyperlink_6444"/>
    <hyperlink ref="F6673" r:id="rId_hyperlink_6445"/>
    <hyperlink ref="F6674" r:id="rId_hyperlink_6446"/>
    <hyperlink ref="F6675" r:id="rId_hyperlink_6447"/>
    <hyperlink ref="F6676" r:id="rId_hyperlink_6448"/>
    <hyperlink ref="F6677" r:id="rId_hyperlink_6449"/>
    <hyperlink ref="F6678" r:id="rId_hyperlink_6450"/>
    <hyperlink ref="F6679" r:id="rId_hyperlink_6451"/>
    <hyperlink ref="F6680" r:id="rId_hyperlink_6452"/>
    <hyperlink ref="F6681" r:id="rId_hyperlink_6453"/>
    <hyperlink ref="F6682" r:id="rId_hyperlink_6454"/>
    <hyperlink ref="F6683" r:id="rId_hyperlink_6455"/>
    <hyperlink ref="F6684" r:id="rId_hyperlink_6456"/>
    <hyperlink ref="F6685" r:id="rId_hyperlink_6457"/>
    <hyperlink ref="F6686" r:id="rId_hyperlink_6458"/>
    <hyperlink ref="F6687" r:id="rId_hyperlink_6459"/>
    <hyperlink ref="F6688" r:id="rId_hyperlink_6460"/>
    <hyperlink ref="F6689" r:id="rId_hyperlink_6461"/>
    <hyperlink ref="F6690" r:id="rId_hyperlink_6462"/>
    <hyperlink ref="F6691" r:id="rId_hyperlink_6463"/>
    <hyperlink ref="F6692" r:id="rId_hyperlink_6464"/>
    <hyperlink ref="F6693" r:id="rId_hyperlink_6465"/>
    <hyperlink ref="F6694" r:id="rId_hyperlink_6466"/>
    <hyperlink ref="F6695" r:id="rId_hyperlink_6467"/>
    <hyperlink ref="F6696" r:id="rId_hyperlink_6468"/>
    <hyperlink ref="F6697" r:id="rId_hyperlink_6469"/>
    <hyperlink ref="F6698" r:id="rId_hyperlink_6470"/>
    <hyperlink ref="F6699" r:id="rId_hyperlink_6471"/>
    <hyperlink ref="F6700" r:id="rId_hyperlink_6472"/>
    <hyperlink ref="F6701" r:id="rId_hyperlink_6473"/>
    <hyperlink ref="F6702" r:id="rId_hyperlink_6474"/>
    <hyperlink ref="F6703" r:id="rId_hyperlink_6475"/>
    <hyperlink ref="F6704" r:id="rId_hyperlink_6476"/>
    <hyperlink ref="F6705" r:id="rId_hyperlink_6477"/>
    <hyperlink ref="F6706" r:id="rId_hyperlink_6478"/>
    <hyperlink ref="F6707" r:id="rId_hyperlink_6479"/>
    <hyperlink ref="F6708" r:id="rId_hyperlink_6480"/>
    <hyperlink ref="F6710" r:id="rId_hyperlink_6481"/>
    <hyperlink ref="F6711" r:id="rId_hyperlink_6482"/>
    <hyperlink ref="F6712" r:id="rId_hyperlink_6483"/>
    <hyperlink ref="F6713" r:id="rId_hyperlink_6484"/>
    <hyperlink ref="F6714" r:id="rId_hyperlink_6485"/>
    <hyperlink ref="F6720" r:id="rId_hyperlink_6486"/>
    <hyperlink ref="F6721" r:id="rId_hyperlink_6487"/>
    <hyperlink ref="F6722" r:id="rId_hyperlink_6488"/>
    <hyperlink ref="F6723" r:id="rId_hyperlink_6489"/>
    <hyperlink ref="F6724" r:id="rId_hyperlink_6490"/>
    <hyperlink ref="F6725" r:id="rId_hyperlink_6491"/>
    <hyperlink ref="F6726" r:id="rId_hyperlink_6492"/>
    <hyperlink ref="F6727" r:id="rId_hyperlink_6493"/>
    <hyperlink ref="F6728" r:id="rId_hyperlink_6494"/>
    <hyperlink ref="F6729" r:id="rId_hyperlink_6495"/>
    <hyperlink ref="F6730" r:id="rId_hyperlink_6496"/>
    <hyperlink ref="F6731" r:id="rId_hyperlink_6497"/>
    <hyperlink ref="F6732" r:id="rId_hyperlink_6498"/>
    <hyperlink ref="F6733" r:id="rId_hyperlink_6499"/>
    <hyperlink ref="F6734" r:id="rId_hyperlink_6500"/>
    <hyperlink ref="F6735" r:id="rId_hyperlink_6501"/>
    <hyperlink ref="F6736" r:id="rId_hyperlink_6502"/>
    <hyperlink ref="F6737" r:id="rId_hyperlink_6503"/>
    <hyperlink ref="F6738" r:id="rId_hyperlink_6504"/>
    <hyperlink ref="F6739" r:id="rId_hyperlink_6505"/>
    <hyperlink ref="F6740" r:id="rId_hyperlink_6506"/>
    <hyperlink ref="F6741" r:id="rId_hyperlink_6507"/>
    <hyperlink ref="F6742" r:id="rId_hyperlink_6508"/>
    <hyperlink ref="F6743" r:id="rId_hyperlink_6509"/>
    <hyperlink ref="F6744" r:id="rId_hyperlink_6510"/>
    <hyperlink ref="F6745" r:id="rId_hyperlink_6511"/>
    <hyperlink ref="F6746" r:id="rId_hyperlink_6512"/>
    <hyperlink ref="F6747" r:id="rId_hyperlink_6513"/>
    <hyperlink ref="F6748" r:id="rId_hyperlink_6514"/>
    <hyperlink ref="F6749" r:id="rId_hyperlink_6515"/>
    <hyperlink ref="F6750" r:id="rId_hyperlink_6516"/>
    <hyperlink ref="F6751" r:id="rId_hyperlink_6517"/>
    <hyperlink ref="F6752" r:id="rId_hyperlink_6518"/>
    <hyperlink ref="F6753" r:id="rId_hyperlink_6519"/>
    <hyperlink ref="F6754" r:id="rId_hyperlink_6520"/>
    <hyperlink ref="F6755" r:id="rId_hyperlink_6521"/>
    <hyperlink ref="F6756" r:id="rId_hyperlink_6522"/>
    <hyperlink ref="F6757" r:id="rId_hyperlink_6523"/>
    <hyperlink ref="F6758" r:id="rId_hyperlink_6524"/>
    <hyperlink ref="F6759" r:id="rId_hyperlink_6525"/>
    <hyperlink ref="F6760" r:id="rId_hyperlink_6526"/>
    <hyperlink ref="F6761" r:id="rId_hyperlink_6527"/>
    <hyperlink ref="F6762" r:id="rId_hyperlink_6528"/>
    <hyperlink ref="F6763" r:id="rId_hyperlink_6529"/>
    <hyperlink ref="F6764" r:id="rId_hyperlink_6530"/>
    <hyperlink ref="F6765" r:id="rId_hyperlink_6531"/>
    <hyperlink ref="F6766" r:id="rId_hyperlink_6532"/>
    <hyperlink ref="F6767" r:id="rId_hyperlink_6533"/>
    <hyperlink ref="F6768" r:id="rId_hyperlink_6534"/>
    <hyperlink ref="F6769" r:id="rId_hyperlink_6535"/>
    <hyperlink ref="F6770" r:id="rId_hyperlink_6536"/>
    <hyperlink ref="F6771" r:id="rId_hyperlink_6537"/>
    <hyperlink ref="F6772" r:id="rId_hyperlink_6538"/>
    <hyperlink ref="F6773" r:id="rId_hyperlink_6539"/>
    <hyperlink ref="F6774" r:id="rId_hyperlink_6540"/>
    <hyperlink ref="F6775" r:id="rId_hyperlink_6541"/>
    <hyperlink ref="F6776" r:id="rId_hyperlink_6542"/>
    <hyperlink ref="F6777" r:id="rId_hyperlink_6543"/>
    <hyperlink ref="F6778" r:id="rId_hyperlink_6544"/>
    <hyperlink ref="F6779" r:id="rId_hyperlink_6545"/>
    <hyperlink ref="F6780" r:id="rId_hyperlink_6546"/>
    <hyperlink ref="F6781" r:id="rId_hyperlink_6547"/>
    <hyperlink ref="F6782" r:id="rId_hyperlink_6548"/>
    <hyperlink ref="F6783" r:id="rId_hyperlink_6549"/>
    <hyperlink ref="F6784" r:id="rId_hyperlink_6550"/>
    <hyperlink ref="F6785" r:id="rId_hyperlink_6551"/>
    <hyperlink ref="F6786" r:id="rId_hyperlink_6552"/>
    <hyperlink ref="F6787" r:id="rId_hyperlink_6553"/>
    <hyperlink ref="F6788" r:id="rId_hyperlink_6554"/>
    <hyperlink ref="F6789" r:id="rId_hyperlink_6555"/>
    <hyperlink ref="F6790" r:id="rId_hyperlink_6556"/>
    <hyperlink ref="F6791" r:id="rId_hyperlink_6557"/>
    <hyperlink ref="F6792" r:id="rId_hyperlink_6558"/>
    <hyperlink ref="F6793" r:id="rId_hyperlink_6559"/>
    <hyperlink ref="F6794" r:id="rId_hyperlink_6560"/>
    <hyperlink ref="F6795" r:id="rId_hyperlink_6561"/>
    <hyperlink ref="F6796" r:id="rId_hyperlink_6562"/>
    <hyperlink ref="F6797" r:id="rId_hyperlink_6563"/>
    <hyperlink ref="F6798" r:id="rId_hyperlink_6564"/>
    <hyperlink ref="F6799" r:id="rId_hyperlink_6565"/>
    <hyperlink ref="F6800" r:id="rId_hyperlink_6566"/>
    <hyperlink ref="F6801" r:id="rId_hyperlink_6567"/>
    <hyperlink ref="F6802" r:id="rId_hyperlink_6568"/>
    <hyperlink ref="F6803" r:id="rId_hyperlink_6569"/>
    <hyperlink ref="F6804" r:id="rId_hyperlink_6570"/>
    <hyperlink ref="F6805" r:id="rId_hyperlink_6571"/>
    <hyperlink ref="F6806" r:id="rId_hyperlink_6572"/>
    <hyperlink ref="F6807" r:id="rId_hyperlink_6573"/>
    <hyperlink ref="F6808" r:id="rId_hyperlink_6574"/>
    <hyperlink ref="F6809" r:id="rId_hyperlink_6575"/>
    <hyperlink ref="F6810" r:id="rId_hyperlink_6576"/>
    <hyperlink ref="F6811" r:id="rId_hyperlink_6577"/>
    <hyperlink ref="F6812" r:id="rId_hyperlink_6578"/>
    <hyperlink ref="F6813" r:id="rId_hyperlink_6579"/>
    <hyperlink ref="F6814" r:id="rId_hyperlink_6580"/>
    <hyperlink ref="F6815" r:id="rId_hyperlink_6581"/>
    <hyperlink ref="F6816" r:id="rId_hyperlink_6582"/>
    <hyperlink ref="F6817" r:id="rId_hyperlink_6583"/>
    <hyperlink ref="F6818" r:id="rId_hyperlink_6584"/>
    <hyperlink ref="F6819" r:id="rId_hyperlink_6585"/>
    <hyperlink ref="F6820" r:id="rId_hyperlink_6586"/>
    <hyperlink ref="F6821" r:id="rId_hyperlink_6587"/>
    <hyperlink ref="F6822" r:id="rId_hyperlink_6588"/>
    <hyperlink ref="F6823" r:id="rId_hyperlink_6589"/>
    <hyperlink ref="F6824" r:id="rId_hyperlink_6590"/>
    <hyperlink ref="F6825" r:id="rId_hyperlink_6591"/>
    <hyperlink ref="F6826" r:id="rId_hyperlink_6592"/>
    <hyperlink ref="F6827" r:id="rId_hyperlink_6593"/>
    <hyperlink ref="F6828" r:id="rId_hyperlink_6594"/>
    <hyperlink ref="F6829" r:id="rId_hyperlink_6595"/>
    <hyperlink ref="F6830" r:id="rId_hyperlink_6596"/>
    <hyperlink ref="F6831" r:id="rId_hyperlink_6597"/>
    <hyperlink ref="F6832" r:id="rId_hyperlink_6598"/>
    <hyperlink ref="F6833" r:id="rId_hyperlink_6599"/>
    <hyperlink ref="F6834" r:id="rId_hyperlink_6600"/>
    <hyperlink ref="F6835" r:id="rId_hyperlink_6601"/>
    <hyperlink ref="F6836" r:id="rId_hyperlink_6602"/>
    <hyperlink ref="F6837" r:id="rId_hyperlink_6603"/>
    <hyperlink ref="F6838" r:id="rId_hyperlink_6604"/>
    <hyperlink ref="F6839" r:id="rId_hyperlink_6605"/>
    <hyperlink ref="F6840" r:id="rId_hyperlink_6606"/>
    <hyperlink ref="F6841" r:id="rId_hyperlink_6607"/>
    <hyperlink ref="F6842" r:id="rId_hyperlink_6608"/>
    <hyperlink ref="F6843" r:id="rId_hyperlink_6609"/>
    <hyperlink ref="F6844" r:id="rId_hyperlink_6610"/>
    <hyperlink ref="F6845" r:id="rId_hyperlink_6611"/>
    <hyperlink ref="F6846" r:id="rId_hyperlink_6612"/>
    <hyperlink ref="F6847" r:id="rId_hyperlink_6613"/>
    <hyperlink ref="F6848" r:id="rId_hyperlink_6614"/>
    <hyperlink ref="F6849" r:id="rId_hyperlink_6615"/>
    <hyperlink ref="F6850" r:id="rId_hyperlink_6616"/>
    <hyperlink ref="F6851" r:id="rId_hyperlink_6617"/>
    <hyperlink ref="F6852" r:id="rId_hyperlink_6618"/>
    <hyperlink ref="F6853" r:id="rId_hyperlink_6619"/>
    <hyperlink ref="F6854" r:id="rId_hyperlink_6620"/>
    <hyperlink ref="F6855" r:id="rId_hyperlink_6621"/>
    <hyperlink ref="F6856" r:id="rId_hyperlink_6622"/>
    <hyperlink ref="F6857" r:id="rId_hyperlink_6623"/>
    <hyperlink ref="F6858" r:id="rId_hyperlink_6624"/>
    <hyperlink ref="F6859" r:id="rId_hyperlink_6625"/>
    <hyperlink ref="F6860" r:id="rId_hyperlink_6626"/>
    <hyperlink ref="F6861" r:id="rId_hyperlink_6627"/>
    <hyperlink ref="F6862" r:id="rId_hyperlink_6628"/>
    <hyperlink ref="F6863" r:id="rId_hyperlink_6629"/>
    <hyperlink ref="F6864" r:id="rId_hyperlink_6630"/>
    <hyperlink ref="F6865" r:id="rId_hyperlink_6631"/>
    <hyperlink ref="F6866" r:id="rId_hyperlink_6632"/>
    <hyperlink ref="F6867" r:id="rId_hyperlink_6633"/>
    <hyperlink ref="F6868" r:id="rId_hyperlink_6634"/>
    <hyperlink ref="F6869" r:id="rId_hyperlink_6635"/>
    <hyperlink ref="F6870" r:id="rId_hyperlink_6636"/>
    <hyperlink ref="F6871" r:id="rId_hyperlink_6637"/>
    <hyperlink ref="F6873" r:id="rId_hyperlink_6638"/>
    <hyperlink ref="F6874" r:id="rId_hyperlink_6639"/>
    <hyperlink ref="F6875" r:id="rId_hyperlink_6640"/>
    <hyperlink ref="F6876" r:id="rId_hyperlink_6641"/>
    <hyperlink ref="F6877" r:id="rId_hyperlink_6642"/>
    <hyperlink ref="F6878" r:id="rId_hyperlink_6643"/>
    <hyperlink ref="F6879" r:id="rId_hyperlink_6644"/>
    <hyperlink ref="F6880" r:id="rId_hyperlink_6645"/>
    <hyperlink ref="F6881" r:id="rId_hyperlink_6646"/>
    <hyperlink ref="F6882" r:id="rId_hyperlink_6647"/>
    <hyperlink ref="F6883" r:id="rId_hyperlink_6648"/>
    <hyperlink ref="F6884" r:id="rId_hyperlink_6649"/>
    <hyperlink ref="F6885" r:id="rId_hyperlink_6650"/>
    <hyperlink ref="F6886" r:id="rId_hyperlink_6651"/>
    <hyperlink ref="F6887" r:id="rId_hyperlink_6652"/>
    <hyperlink ref="F6888" r:id="rId_hyperlink_6653"/>
    <hyperlink ref="F6889" r:id="rId_hyperlink_6654"/>
    <hyperlink ref="F6890" r:id="rId_hyperlink_6655"/>
    <hyperlink ref="F6891" r:id="rId_hyperlink_6656"/>
    <hyperlink ref="F6892" r:id="rId_hyperlink_6657"/>
    <hyperlink ref="F6893" r:id="rId_hyperlink_6658"/>
    <hyperlink ref="F6894" r:id="rId_hyperlink_6659"/>
    <hyperlink ref="F6895" r:id="rId_hyperlink_6660"/>
    <hyperlink ref="F6896" r:id="rId_hyperlink_6661"/>
    <hyperlink ref="F6897" r:id="rId_hyperlink_6662"/>
    <hyperlink ref="F6898" r:id="rId_hyperlink_6663"/>
    <hyperlink ref="F6899" r:id="rId_hyperlink_6664"/>
    <hyperlink ref="F6900" r:id="rId_hyperlink_6665"/>
    <hyperlink ref="F6901" r:id="rId_hyperlink_6666"/>
    <hyperlink ref="F6902" r:id="rId_hyperlink_6667"/>
    <hyperlink ref="F6903" r:id="rId_hyperlink_6668"/>
    <hyperlink ref="F6904" r:id="rId_hyperlink_6669"/>
    <hyperlink ref="F6905" r:id="rId_hyperlink_6670"/>
    <hyperlink ref="F6906" r:id="rId_hyperlink_6671"/>
    <hyperlink ref="F6907" r:id="rId_hyperlink_6672"/>
    <hyperlink ref="F6908" r:id="rId_hyperlink_6673"/>
    <hyperlink ref="F6909" r:id="rId_hyperlink_6674"/>
    <hyperlink ref="F6912" r:id="rId_hyperlink_6675"/>
    <hyperlink ref="F6914" r:id="rId_hyperlink_6676"/>
    <hyperlink ref="F6915" r:id="rId_hyperlink_6677"/>
    <hyperlink ref="F6916" r:id="rId_hyperlink_6678"/>
    <hyperlink ref="F6917" r:id="rId_hyperlink_6679"/>
    <hyperlink ref="F6918" r:id="rId_hyperlink_6680"/>
    <hyperlink ref="F6919" r:id="rId_hyperlink_6681"/>
    <hyperlink ref="F6920" r:id="rId_hyperlink_6682"/>
    <hyperlink ref="F6921" r:id="rId_hyperlink_6683"/>
    <hyperlink ref="F6922" r:id="rId_hyperlink_6684"/>
    <hyperlink ref="F6923" r:id="rId_hyperlink_6685"/>
    <hyperlink ref="F6924" r:id="rId_hyperlink_6686"/>
    <hyperlink ref="F6925" r:id="rId_hyperlink_6687"/>
    <hyperlink ref="F6926" r:id="rId_hyperlink_6688"/>
    <hyperlink ref="F6927" r:id="rId_hyperlink_6689"/>
    <hyperlink ref="F6928" r:id="rId_hyperlink_6690"/>
    <hyperlink ref="F6929" r:id="rId_hyperlink_6691"/>
    <hyperlink ref="F6930" r:id="rId_hyperlink_6692"/>
    <hyperlink ref="F6931" r:id="rId_hyperlink_6693"/>
    <hyperlink ref="F6932" r:id="rId_hyperlink_6694"/>
    <hyperlink ref="F6933" r:id="rId_hyperlink_6695"/>
    <hyperlink ref="F6934" r:id="rId_hyperlink_6696"/>
    <hyperlink ref="F6935" r:id="rId_hyperlink_6697"/>
    <hyperlink ref="F6936" r:id="rId_hyperlink_6698"/>
    <hyperlink ref="F6937" r:id="rId_hyperlink_6699"/>
    <hyperlink ref="F6938" r:id="rId_hyperlink_6700"/>
    <hyperlink ref="F6939" r:id="rId_hyperlink_6701"/>
    <hyperlink ref="F6940" r:id="rId_hyperlink_6702"/>
    <hyperlink ref="F6941" r:id="rId_hyperlink_6703"/>
    <hyperlink ref="F6942" r:id="rId_hyperlink_6704"/>
    <hyperlink ref="F6943" r:id="rId_hyperlink_6705"/>
    <hyperlink ref="F6944" r:id="rId_hyperlink_6706"/>
    <hyperlink ref="F6945" r:id="rId_hyperlink_6707"/>
    <hyperlink ref="F6946" r:id="rId_hyperlink_6708"/>
    <hyperlink ref="F6947" r:id="rId_hyperlink_6709"/>
    <hyperlink ref="F6948" r:id="rId_hyperlink_6710"/>
    <hyperlink ref="F6949" r:id="rId_hyperlink_6711"/>
    <hyperlink ref="F6950" r:id="rId_hyperlink_6712"/>
    <hyperlink ref="F6951" r:id="rId_hyperlink_6713"/>
    <hyperlink ref="F6952" r:id="rId_hyperlink_6714"/>
    <hyperlink ref="F6953" r:id="rId_hyperlink_6715"/>
    <hyperlink ref="F6954" r:id="rId_hyperlink_6716"/>
    <hyperlink ref="F6955" r:id="rId_hyperlink_6717"/>
    <hyperlink ref="F6956" r:id="rId_hyperlink_6718"/>
    <hyperlink ref="F6957" r:id="rId_hyperlink_6719"/>
    <hyperlink ref="F6958" r:id="rId_hyperlink_6720"/>
    <hyperlink ref="F6959" r:id="rId_hyperlink_6721"/>
    <hyperlink ref="F6960" r:id="rId_hyperlink_6722"/>
    <hyperlink ref="F6961" r:id="rId_hyperlink_6723"/>
    <hyperlink ref="F6962" r:id="rId_hyperlink_6724"/>
    <hyperlink ref="F6963" r:id="rId_hyperlink_6725"/>
    <hyperlink ref="F6964" r:id="rId_hyperlink_6726"/>
    <hyperlink ref="F6965" r:id="rId_hyperlink_6727"/>
    <hyperlink ref="F6966" r:id="rId_hyperlink_6728"/>
    <hyperlink ref="F6967" r:id="rId_hyperlink_6729"/>
    <hyperlink ref="F6968" r:id="rId_hyperlink_6730"/>
    <hyperlink ref="F6969" r:id="rId_hyperlink_6731"/>
    <hyperlink ref="F6970" r:id="rId_hyperlink_6732"/>
    <hyperlink ref="F6971" r:id="rId_hyperlink_6733"/>
    <hyperlink ref="F6972" r:id="rId_hyperlink_6734"/>
    <hyperlink ref="F6973" r:id="rId_hyperlink_6735"/>
    <hyperlink ref="F6974" r:id="rId_hyperlink_6736"/>
    <hyperlink ref="F6975" r:id="rId_hyperlink_6737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FD236"/>
  <sheetViews>
    <sheetView tabSelected="0" workbookViewId="0" showGridLines="true" showRowColHeaders="1" topLeftCell="A1">
      <selection activeCell="A1" sqref="A1"/>
    </sheetView>
  </sheetViews>
  <sheetFormatPr defaultRowHeight="14.4" defaultColWidth="8.6796875" outlineLevelRow="0" outlineLevelCol="0"/>
  <cols>
    <col min="16384" max="16384" width="11.53" customWidth="true" style="1"/>
  </cols>
  <sheetData>
    <row r="2" spans="1:16384">
      <c r="B2" t="s">
        <v>13</v>
      </c>
    </row>
    <row r="3" spans="1:16384">
      <c r="B3" t="s">
        <v>19883</v>
      </c>
    </row>
    <row r="4" spans="1:16384">
      <c r="B4" t="s">
        <v>19884</v>
      </c>
    </row>
    <row r="5" spans="1:16384">
      <c r="B5" t="s">
        <v>50</v>
      </c>
    </row>
    <row r="6" spans="1:16384">
      <c r="B6" t="s">
        <v>19885</v>
      </c>
    </row>
    <row r="7" spans="1:16384">
      <c r="B7" t="s">
        <v>19886</v>
      </c>
    </row>
    <row r="8" spans="1:16384">
      <c r="B8" t="s">
        <v>19887</v>
      </c>
    </row>
    <row r="9" spans="1:16384">
      <c r="B9" t="s">
        <v>19888</v>
      </c>
    </row>
    <row r="10" spans="1:16384">
      <c r="B10" t="s">
        <v>19889</v>
      </c>
    </row>
    <row r="11" spans="1:16384">
      <c r="B11" t="s">
        <v>19890</v>
      </c>
    </row>
    <row r="12" spans="1:16384">
      <c r="B12" t="s">
        <v>19891</v>
      </c>
    </row>
    <row r="13" spans="1:16384">
      <c r="B13" t="s">
        <v>19892</v>
      </c>
    </row>
    <row r="14" spans="1:16384">
      <c r="B14" t="s">
        <v>19893</v>
      </c>
    </row>
    <row r="15" spans="1:16384">
      <c r="B15" t="s">
        <v>19894</v>
      </c>
    </row>
    <row r="16" spans="1:16384">
      <c r="B16" t="s">
        <v>19895</v>
      </c>
    </row>
    <row r="17" spans="1:16384">
      <c r="B17" t="s">
        <v>298</v>
      </c>
    </row>
    <row r="18" spans="1:16384">
      <c r="B18" t="s">
        <v>19896</v>
      </c>
    </row>
    <row r="19" spans="1:16384">
      <c r="B19" t="s">
        <v>19897</v>
      </c>
    </row>
    <row r="20" spans="1:16384">
      <c r="B20" t="s">
        <v>19898</v>
      </c>
    </row>
    <row r="21" spans="1:16384">
      <c r="B21" t="s">
        <v>19899</v>
      </c>
    </row>
    <row r="22" spans="1:16384">
      <c r="B22" t="s">
        <v>19900</v>
      </c>
    </row>
    <row r="23" spans="1:16384">
      <c r="B23" t="s">
        <v>19901</v>
      </c>
    </row>
    <row r="24" spans="1:16384">
      <c r="B24" t="s">
        <v>19902</v>
      </c>
    </row>
    <row r="25" spans="1:16384">
      <c r="B25" t="s">
        <v>19903</v>
      </c>
    </row>
    <row r="26" spans="1:16384">
      <c r="B26" t="s">
        <v>19904</v>
      </c>
    </row>
    <row r="27" spans="1:16384">
      <c r="B27" t="s">
        <v>19905</v>
      </c>
    </row>
    <row r="28" spans="1:16384">
      <c r="B28" t="s">
        <v>19906</v>
      </c>
    </row>
    <row r="29" spans="1:16384">
      <c r="B29" t="s">
        <v>19907</v>
      </c>
    </row>
    <row r="30" spans="1:16384">
      <c r="B30" t="s">
        <v>19908</v>
      </c>
    </row>
    <row r="31" spans="1:16384">
      <c r="B31" t="s">
        <v>19909</v>
      </c>
    </row>
    <row r="32" spans="1:16384">
      <c r="B32" t="s">
        <v>19910</v>
      </c>
    </row>
    <row r="33" spans="1:16384">
      <c r="B33" t="s">
        <v>19911</v>
      </c>
    </row>
    <row r="34" spans="1:16384">
      <c r="B34" t="s">
        <v>19912</v>
      </c>
    </row>
    <row r="35" spans="1:16384">
      <c r="B35" t="s">
        <v>19913</v>
      </c>
    </row>
    <row r="36" spans="1:16384">
      <c r="B36" t="s">
        <v>19914</v>
      </c>
    </row>
    <row r="37" spans="1:16384">
      <c r="B37" t="s">
        <v>19915</v>
      </c>
    </row>
    <row r="38" spans="1:16384">
      <c r="B38" t="s">
        <v>19916</v>
      </c>
    </row>
    <row r="39" spans="1:16384">
      <c r="B39" t="s">
        <v>19917</v>
      </c>
    </row>
    <row r="40" spans="1:16384">
      <c r="B40" t="s">
        <v>19918</v>
      </c>
    </row>
    <row r="41" spans="1:16384">
      <c r="B41" t="s">
        <v>19919</v>
      </c>
    </row>
    <row r="42" spans="1:16384">
      <c r="B42" t="s">
        <v>19920</v>
      </c>
    </row>
    <row r="43" spans="1:16384">
      <c r="B43" t="s">
        <v>19921</v>
      </c>
    </row>
    <row r="44" spans="1:16384">
      <c r="B44" t="s">
        <v>19922</v>
      </c>
    </row>
    <row r="45" spans="1:16384">
      <c r="B45" t="s">
        <v>19923</v>
      </c>
    </row>
    <row r="46" spans="1:16384">
      <c r="B46" t="s">
        <v>19924</v>
      </c>
    </row>
    <row r="47" spans="1:16384">
      <c r="B47" t="s">
        <v>19925</v>
      </c>
    </row>
    <row r="48" spans="1:16384">
      <c r="B48" t="s">
        <v>19926</v>
      </c>
    </row>
    <row r="49" spans="1:16384">
      <c r="B49" t="s">
        <v>19927</v>
      </c>
    </row>
    <row r="50" spans="1:16384">
      <c r="B50" t="s">
        <v>19928</v>
      </c>
    </row>
    <row r="51" spans="1:16384">
      <c r="B51" t="s">
        <v>19929</v>
      </c>
    </row>
    <row r="52" spans="1:16384">
      <c r="B52" t="s">
        <v>19930</v>
      </c>
    </row>
    <row r="53" spans="1:16384">
      <c r="B53" t="s">
        <v>19931</v>
      </c>
    </row>
    <row r="54" spans="1:16384">
      <c r="B54" t="s">
        <v>19932</v>
      </c>
    </row>
    <row r="55" spans="1:16384">
      <c r="B55" t="s">
        <v>19933</v>
      </c>
    </row>
    <row r="56" spans="1:16384">
      <c r="B56" t="s">
        <v>19934</v>
      </c>
    </row>
    <row r="57" spans="1:16384">
      <c r="B57" t="s">
        <v>19935</v>
      </c>
    </row>
    <row r="58" spans="1:16384">
      <c r="B58" t="s">
        <v>19936</v>
      </c>
    </row>
    <row r="59" spans="1:16384">
      <c r="B59" t="s">
        <v>19937</v>
      </c>
    </row>
    <row r="60" spans="1:16384">
      <c r="B60" t="s">
        <v>19938</v>
      </c>
    </row>
    <row r="61" spans="1:16384">
      <c r="B61" t="s">
        <v>19939</v>
      </c>
    </row>
    <row r="62" spans="1:16384">
      <c r="B62" t="s">
        <v>19940</v>
      </c>
    </row>
    <row r="63" spans="1:16384">
      <c r="B63" t="s">
        <v>19941</v>
      </c>
    </row>
    <row r="64" spans="1:16384">
      <c r="B64" t="s">
        <v>19942</v>
      </c>
    </row>
    <row r="65" spans="1:16384">
      <c r="B65" t="s">
        <v>19943</v>
      </c>
    </row>
    <row r="66" spans="1:16384">
      <c r="B66" t="s">
        <v>19944</v>
      </c>
    </row>
    <row r="67" spans="1:16384">
      <c r="B67" t="s">
        <v>19945</v>
      </c>
    </row>
    <row r="68" spans="1:16384">
      <c r="B68" t="s">
        <v>19946</v>
      </c>
    </row>
    <row r="69" spans="1:16384">
      <c r="B69" t="s">
        <v>19947</v>
      </c>
    </row>
    <row r="70" spans="1:16384">
      <c r="B70" t="s">
        <v>19948</v>
      </c>
    </row>
    <row r="71" spans="1:16384">
      <c r="B71" t="s">
        <v>19949</v>
      </c>
    </row>
    <row r="72" spans="1:16384">
      <c r="B72" t="s">
        <v>19950</v>
      </c>
    </row>
    <row r="73" spans="1:16384">
      <c r="B73" t="s">
        <v>19951</v>
      </c>
    </row>
    <row r="74" spans="1:16384">
      <c r="B74" t="s">
        <v>19952</v>
      </c>
    </row>
    <row r="75" spans="1:16384">
      <c r="B75" t="s">
        <v>19953</v>
      </c>
    </row>
    <row r="76" spans="1:16384">
      <c r="B76" t="s">
        <v>19954</v>
      </c>
    </row>
    <row r="77" spans="1:16384">
      <c r="B77" t="s">
        <v>19955</v>
      </c>
    </row>
    <row r="78" spans="1:16384">
      <c r="B78" t="s">
        <v>19956</v>
      </c>
    </row>
    <row r="79" spans="1:16384">
      <c r="B79" t="s">
        <v>19957</v>
      </c>
    </row>
    <row r="80" spans="1:16384">
      <c r="B80" t="s">
        <v>19958</v>
      </c>
    </row>
    <row r="81" spans="1:16384">
      <c r="B81" t="s">
        <v>19956</v>
      </c>
    </row>
    <row r="82" spans="1:16384">
      <c r="B82" t="s">
        <v>19959</v>
      </c>
    </row>
    <row r="83" spans="1:16384">
      <c r="B83" t="s">
        <v>19960</v>
      </c>
    </row>
    <row r="84" spans="1:16384">
      <c r="B84" t="s">
        <v>19961</v>
      </c>
    </row>
    <row r="85" spans="1:16384">
      <c r="B85" t="s">
        <v>19962</v>
      </c>
    </row>
    <row r="86" spans="1:16384">
      <c r="B86" t="s">
        <v>19963</v>
      </c>
    </row>
    <row r="87" spans="1:16384">
      <c r="B87" t="s">
        <v>19964</v>
      </c>
    </row>
    <row r="88" spans="1:16384">
      <c r="B88" t="s">
        <v>19965</v>
      </c>
    </row>
    <row r="89" spans="1:16384">
      <c r="B89" t="s">
        <v>15623</v>
      </c>
    </row>
    <row r="90" spans="1:16384">
      <c r="B90" t="s">
        <v>19966</v>
      </c>
    </row>
    <row r="91" spans="1:16384">
      <c r="B91" t="s">
        <v>19967</v>
      </c>
    </row>
    <row r="92" spans="1:16384">
      <c r="B92" t="s">
        <v>19968</v>
      </c>
    </row>
    <row r="93" spans="1:16384">
      <c r="B93" t="s">
        <v>19969</v>
      </c>
    </row>
    <row r="94" spans="1:16384">
      <c r="B94" t="s">
        <v>19970</v>
      </c>
    </row>
    <row r="95" spans="1:16384">
      <c r="B95" t="s">
        <v>19971</v>
      </c>
    </row>
    <row r="96" spans="1:16384">
      <c r="B96" t="s">
        <v>19972</v>
      </c>
    </row>
    <row r="97" spans="1:16384">
      <c r="B97" t="s">
        <v>19973</v>
      </c>
    </row>
    <row r="98" spans="1:16384">
      <c r="B98" t="s">
        <v>19974</v>
      </c>
    </row>
    <row r="99" spans="1:16384">
      <c r="B99" t="s">
        <v>19975</v>
      </c>
    </row>
    <row r="100" spans="1:16384">
      <c r="B100" t="s">
        <v>19976</v>
      </c>
    </row>
    <row r="101" spans="1:16384">
      <c r="B101" t="s">
        <v>19968</v>
      </c>
    </row>
    <row r="102" spans="1:16384">
      <c r="B102" t="s">
        <v>19977</v>
      </c>
    </row>
    <row r="103" spans="1:16384">
      <c r="B103" t="s">
        <v>19978</v>
      </c>
    </row>
    <row r="104" spans="1:16384">
      <c r="B104" t="s">
        <v>19979</v>
      </c>
    </row>
    <row r="105" spans="1:16384">
      <c r="B105" t="s">
        <v>19980</v>
      </c>
    </row>
    <row r="106" spans="1:16384">
      <c r="B106" t="s">
        <v>19981</v>
      </c>
    </row>
    <row r="107" spans="1:16384">
      <c r="B107" t="s">
        <v>19982</v>
      </c>
    </row>
    <row r="108" spans="1:16384">
      <c r="B108" t="s">
        <v>19974</v>
      </c>
    </row>
    <row r="109" spans="1:16384">
      <c r="B109" t="s">
        <v>19983</v>
      </c>
    </row>
    <row r="110" spans="1:16384">
      <c r="B110" t="s">
        <v>19984</v>
      </c>
    </row>
    <row r="111" spans="1:16384">
      <c r="B111" t="s">
        <v>19985</v>
      </c>
    </row>
    <row r="112" spans="1:16384">
      <c r="B112" t="s">
        <v>19986</v>
      </c>
    </row>
    <row r="113" spans="1:16384">
      <c r="B113" t="s">
        <v>19987</v>
      </c>
    </row>
    <row r="114" spans="1:16384">
      <c r="B114" t="s">
        <v>19988</v>
      </c>
    </row>
    <row r="115" spans="1:16384">
      <c r="B115" t="s">
        <v>19989</v>
      </c>
    </row>
    <row r="116" spans="1:16384">
      <c r="B116" t="s">
        <v>19990</v>
      </c>
    </row>
    <row r="117" spans="1:16384">
      <c r="B117" t="s">
        <v>19991</v>
      </c>
    </row>
    <row r="118" spans="1:16384">
      <c r="B118" t="s">
        <v>19992</v>
      </c>
    </row>
    <row r="119" spans="1:16384">
      <c r="B119" t="s">
        <v>19993</v>
      </c>
    </row>
    <row r="120" spans="1:16384">
      <c r="B120" t="s">
        <v>19994</v>
      </c>
    </row>
    <row r="121" spans="1:16384">
      <c r="B121" t="s">
        <v>19995</v>
      </c>
    </row>
    <row r="122" spans="1:16384">
      <c r="B122" t="s">
        <v>19996</v>
      </c>
    </row>
    <row r="123" spans="1:16384">
      <c r="B123" t="s">
        <v>19992</v>
      </c>
    </row>
    <row r="124" spans="1:16384">
      <c r="B124" t="s">
        <v>19984</v>
      </c>
    </row>
    <row r="125" spans="1:16384">
      <c r="B125" t="s">
        <v>19985</v>
      </c>
    </row>
    <row r="126" spans="1:16384">
      <c r="B126" t="s">
        <v>19987</v>
      </c>
    </row>
    <row r="127" spans="1:16384">
      <c r="B127" t="s">
        <v>19997</v>
      </c>
    </row>
    <row r="128" spans="1:16384">
      <c r="B128" t="s">
        <v>19998</v>
      </c>
    </row>
    <row r="129" spans="1:16384">
      <c r="B129" t="s">
        <v>19999</v>
      </c>
    </row>
    <row r="130" spans="1:16384">
      <c r="B130" t="s">
        <v>20000</v>
      </c>
    </row>
    <row r="131" spans="1:16384">
      <c r="B131" t="s">
        <v>20001</v>
      </c>
    </row>
    <row r="132" spans="1:16384">
      <c r="B132" t="s">
        <v>20002</v>
      </c>
    </row>
    <row r="133" spans="1:16384">
      <c r="B133" t="s">
        <v>20003</v>
      </c>
    </row>
    <row r="134" spans="1:16384">
      <c r="B134" t="s">
        <v>20004</v>
      </c>
    </row>
    <row r="135" spans="1:16384">
      <c r="B135" t="s">
        <v>20005</v>
      </c>
    </row>
    <row r="136" spans="1:16384">
      <c r="B136" t="s">
        <v>20006</v>
      </c>
    </row>
    <row r="137" spans="1:16384">
      <c r="B137" t="s">
        <v>20007</v>
      </c>
    </row>
    <row r="138" spans="1:16384">
      <c r="B138" t="s">
        <v>20008</v>
      </c>
    </row>
    <row r="139" spans="1:16384">
      <c r="B139" t="s">
        <v>20009</v>
      </c>
    </row>
    <row r="140" spans="1:16384">
      <c r="B140" t="s">
        <v>20010</v>
      </c>
    </row>
    <row r="141" spans="1:16384">
      <c r="B141" t="s">
        <v>20011</v>
      </c>
    </row>
    <row r="142" spans="1:16384">
      <c r="B142" t="s">
        <v>16123</v>
      </c>
    </row>
    <row r="143" spans="1:16384">
      <c r="B143" t="s">
        <v>20012</v>
      </c>
    </row>
    <row r="144" spans="1:16384">
      <c r="B144" t="s">
        <v>20013</v>
      </c>
    </row>
    <row r="145" spans="1:16384">
      <c r="B145" t="s">
        <v>20014</v>
      </c>
    </row>
    <row r="146" spans="1:16384">
      <c r="B146" t="s">
        <v>20015</v>
      </c>
    </row>
    <row r="147" spans="1:16384">
      <c r="B147" t="s">
        <v>20016</v>
      </c>
    </row>
    <row r="148" spans="1:16384">
      <c r="B148" t="s">
        <v>20017</v>
      </c>
    </row>
    <row r="149" spans="1:16384">
      <c r="B149" t="s">
        <v>20018</v>
      </c>
    </row>
    <row r="150" spans="1:16384">
      <c r="B150" t="s">
        <v>20019</v>
      </c>
    </row>
    <row r="151" spans="1:16384">
      <c r="B151" t="s">
        <v>20020</v>
      </c>
    </row>
    <row r="152" spans="1:16384">
      <c r="B152" t="s">
        <v>20021</v>
      </c>
    </row>
    <row r="153" spans="1:16384">
      <c r="B153" t="s">
        <v>20022</v>
      </c>
    </row>
    <row r="154" spans="1:16384">
      <c r="B154" t="s">
        <v>20023</v>
      </c>
    </row>
    <row r="155" spans="1:16384">
      <c r="B155" t="s">
        <v>20024</v>
      </c>
    </row>
    <row r="156" spans="1:16384">
      <c r="B156" t="s">
        <v>20025</v>
      </c>
    </row>
    <row r="157" spans="1:16384">
      <c r="B157" t="s">
        <v>20026</v>
      </c>
    </row>
    <row r="158" spans="1:16384">
      <c r="B158" t="s">
        <v>16153</v>
      </c>
    </row>
    <row r="159" spans="1:16384">
      <c r="B159" t="s">
        <v>20027</v>
      </c>
    </row>
    <row r="160" spans="1:16384">
      <c r="B160" t="s">
        <v>20028</v>
      </c>
    </row>
    <row r="161" spans="1:16384">
      <c r="B161" t="s">
        <v>20029</v>
      </c>
    </row>
    <row r="162" spans="1:16384">
      <c r="B162" t="s">
        <v>17300</v>
      </c>
    </row>
    <row r="163" spans="1:16384">
      <c r="B163" t="s">
        <v>20030</v>
      </c>
    </row>
    <row r="164" spans="1:16384">
      <c r="B164" t="s">
        <v>20031</v>
      </c>
    </row>
    <row r="165" spans="1:16384">
      <c r="B165" t="s">
        <v>20032</v>
      </c>
    </row>
    <row r="166" spans="1:16384">
      <c r="B166" t="s">
        <v>20033</v>
      </c>
    </row>
    <row r="167" spans="1:16384">
      <c r="B167" t="s">
        <v>20034</v>
      </c>
    </row>
    <row r="168" spans="1:16384">
      <c r="B168" t="s">
        <v>17381</v>
      </c>
    </row>
    <row r="169" spans="1:16384">
      <c r="B169" t="s">
        <v>20035</v>
      </c>
    </row>
    <row r="170" spans="1:16384">
      <c r="B170" t="s">
        <v>20036</v>
      </c>
    </row>
    <row r="171" spans="1:16384">
      <c r="B171" t="s">
        <v>20037</v>
      </c>
    </row>
    <row r="172" spans="1:16384">
      <c r="B172" t="s">
        <v>20038</v>
      </c>
    </row>
    <row r="173" spans="1:16384">
      <c r="B173" t="s">
        <v>20039</v>
      </c>
    </row>
    <row r="174" spans="1:16384">
      <c r="B174" t="s">
        <v>20040</v>
      </c>
    </row>
    <row r="175" spans="1:16384">
      <c r="B175" t="s">
        <v>20041</v>
      </c>
    </row>
    <row r="176" spans="1:16384">
      <c r="B176" t="s">
        <v>20042</v>
      </c>
    </row>
    <row r="177" spans="1:16384">
      <c r="B177" t="s">
        <v>20043</v>
      </c>
    </row>
    <row r="178" spans="1:16384">
      <c r="B178" t="s">
        <v>20044</v>
      </c>
    </row>
    <row r="179" spans="1:16384">
      <c r="B179" t="s">
        <v>20045</v>
      </c>
    </row>
    <row r="180" spans="1:16384">
      <c r="B180" t="s">
        <v>20046</v>
      </c>
    </row>
    <row r="181" spans="1:16384">
      <c r="B181" t="s">
        <v>20047</v>
      </c>
    </row>
    <row r="182" spans="1:16384">
      <c r="B182" t="s">
        <v>20048</v>
      </c>
    </row>
    <row r="183" spans="1:16384">
      <c r="B183" t="s">
        <v>20049</v>
      </c>
    </row>
    <row r="184" spans="1:16384">
      <c r="B184" t="s">
        <v>17397</v>
      </c>
    </row>
    <row r="185" spans="1:16384">
      <c r="B185" t="s">
        <v>20050</v>
      </c>
    </row>
    <row r="186" spans="1:16384">
      <c r="B186" t="s">
        <v>20051</v>
      </c>
    </row>
    <row r="187" spans="1:16384">
      <c r="B187" t="s">
        <v>20052</v>
      </c>
    </row>
    <row r="188" spans="1:16384">
      <c r="B188" t="s">
        <v>20053</v>
      </c>
    </row>
    <row r="189" spans="1:16384">
      <c r="B189" t="s">
        <v>19893</v>
      </c>
    </row>
    <row r="190" spans="1:16384">
      <c r="B190" t="s">
        <v>20054</v>
      </c>
    </row>
    <row r="191" spans="1:16384">
      <c r="B191" t="s">
        <v>20055</v>
      </c>
    </row>
    <row r="192" spans="1:16384">
      <c r="B192" t="s">
        <v>20056</v>
      </c>
    </row>
    <row r="193" spans="1:16384">
      <c r="B193" t="s">
        <v>20057</v>
      </c>
    </row>
    <row r="194" spans="1:16384">
      <c r="B194" t="s">
        <v>20058</v>
      </c>
    </row>
    <row r="195" spans="1:16384">
      <c r="B195" t="s">
        <v>20059</v>
      </c>
    </row>
    <row r="196" spans="1:16384">
      <c r="B196" t="s">
        <v>20060</v>
      </c>
    </row>
    <row r="197" spans="1:16384">
      <c r="B197" t="s">
        <v>20061</v>
      </c>
    </row>
    <row r="198" spans="1:16384">
      <c r="B198" t="s">
        <v>20062</v>
      </c>
    </row>
    <row r="199" spans="1:16384">
      <c r="B199" t="s">
        <v>17415</v>
      </c>
    </row>
    <row r="200" spans="1:16384">
      <c r="B200" t="s">
        <v>20063</v>
      </c>
    </row>
    <row r="201" spans="1:16384">
      <c r="B201" t="s">
        <v>20064</v>
      </c>
    </row>
    <row r="202" spans="1:16384">
      <c r="B202" t="s">
        <v>20065</v>
      </c>
    </row>
    <row r="203" spans="1:16384">
      <c r="B203" t="s">
        <v>20066</v>
      </c>
    </row>
    <row r="204" spans="1:16384">
      <c r="B204" t="s">
        <v>20067</v>
      </c>
    </row>
    <row r="205" spans="1:16384">
      <c r="B205" t="s">
        <v>20068</v>
      </c>
    </row>
    <row r="206" spans="1:16384">
      <c r="B206" t="s">
        <v>20069</v>
      </c>
    </row>
    <row r="207" spans="1:16384">
      <c r="B207" t="s">
        <v>20070</v>
      </c>
    </row>
    <row r="208" spans="1:16384">
      <c r="B208" t="s">
        <v>20071</v>
      </c>
    </row>
    <row r="209" spans="1:16384">
      <c r="B209" t="s">
        <v>20072</v>
      </c>
    </row>
    <row r="210" spans="1:16384">
      <c r="B210" t="s">
        <v>20073</v>
      </c>
    </row>
    <row r="211" spans="1:16384">
      <c r="B211" t="s">
        <v>20074</v>
      </c>
    </row>
    <row r="212" spans="1:16384">
      <c r="B212" t="s">
        <v>20075</v>
      </c>
    </row>
    <row r="213" spans="1:16384">
      <c r="B213" t="s">
        <v>20076</v>
      </c>
    </row>
    <row r="214" spans="1:16384">
      <c r="B214" t="s">
        <v>20077</v>
      </c>
    </row>
    <row r="215" spans="1:16384">
      <c r="B215" t="s">
        <v>20078</v>
      </c>
    </row>
    <row r="216" spans="1:16384">
      <c r="B216" t="s">
        <v>20079</v>
      </c>
    </row>
    <row r="217" spans="1:16384">
      <c r="B217" t="s">
        <v>20080</v>
      </c>
    </row>
    <row r="218" spans="1:16384">
      <c r="B218" t="s">
        <v>20081</v>
      </c>
    </row>
    <row r="219" spans="1:16384">
      <c r="B219" t="s">
        <v>20082</v>
      </c>
    </row>
    <row r="220" spans="1:16384">
      <c r="B220" t="s">
        <v>20083</v>
      </c>
    </row>
    <row r="221" spans="1:16384">
      <c r="B221" t="s">
        <v>20084</v>
      </c>
    </row>
    <row r="222" spans="1:16384">
      <c r="B222" t="s">
        <v>20085</v>
      </c>
    </row>
    <row r="223" spans="1:16384">
      <c r="B223" t="s">
        <v>20086</v>
      </c>
    </row>
    <row r="224" spans="1:16384">
      <c r="B224" t="s">
        <v>20087</v>
      </c>
    </row>
    <row r="225" spans="1:16384">
      <c r="B225" t="s">
        <v>19257</v>
      </c>
    </row>
    <row r="226" spans="1:16384">
      <c r="B226" t="s">
        <v>20088</v>
      </c>
    </row>
    <row r="227" spans="1:16384">
      <c r="B227" t="s">
        <v>20089</v>
      </c>
    </row>
    <row r="228" spans="1:16384">
      <c r="B228" t="s">
        <v>19260</v>
      </c>
    </row>
    <row r="229" spans="1:16384">
      <c r="B229" t="s">
        <v>19261</v>
      </c>
    </row>
    <row r="230" spans="1:16384">
      <c r="B230" t="s">
        <v>19587</v>
      </c>
    </row>
    <row r="231" spans="1:16384">
      <c r="B231" t="s">
        <v>19257</v>
      </c>
    </row>
    <row r="232" spans="1:16384">
      <c r="B232" t="s">
        <v>20088</v>
      </c>
    </row>
    <row r="233" spans="1:16384">
      <c r="B233" t="s">
        <v>20089</v>
      </c>
    </row>
    <row r="234" spans="1:16384">
      <c r="B234" t="s">
        <v>19881</v>
      </c>
    </row>
    <row r="235" spans="1:16384">
      <c r="B235" t="s">
        <v>19882</v>
      </c>
    </row>
    <row r="236" spans="1:16384">
      <c r="B236" t="s">
        <v>20090</v>
      </c>
    </row>
  </sheetData>
  <hyperlinks>
    <hyperlink ref="B2" location="'Прайс'!B9"/>
    <hyperlink ref="B3" location="'Прайс'!B11"/>
    <hyperlink ref="B4" location="'Прайс'!B22"/>
    <hyperlink ref="B5" location="'Прайс'!B24"/>
    <hyperlink ref="B6" location="'Прайс'!B25"/>
    <hyperlink ref="B7" location="'Прайс'!B26"/>
    <hyperlink ref="B8" location="'Прайс'!B31"/>
    <hyperlink ref="B9" location="'Прайс'!B71"/>
    <hyperlink ref="B10" location="'Прайс'!B72"/>
    <hyperlink ref="B11" location="'Прайс'!B81"/>
    <hyperlink ref="B12" location="'Прайс'!B99"/>
    <hyperlink ref="B13" location="'Прайс'!B100"/>
    <hyperlink ref="B14" location="'Прайс'!B101"/>
    <hyperlink ref="B15" location="'Прайс'!B102"/>
    <hyperlink ref="B16" location="'Прайс'!B103"/>
    <hyperlink ref="B17" location="'Прайс'!B117"/>
    <hyperlink ref="B18" location="'Прайс'!B118"/>
    <hyperlink ref="B19" location="'Прайс'!B119"/>
    <hyperlink ref="B20" location="'Прайс'!B120"/>
    <hyperlink ref="B21" location="'Прайс'!B121"/>
    <hyperlink ref="B22" location="'Прайс'!B122"/>
    <hyperlink ref="B23" location="'Прайс'!B123"/>
    <hyperlink ref="B24" location="'Прайс'!B143"/>
    <hyperlink ref="B25" location="'Прайс'!B144"/>
    <hyperlink ref="B26" location="'Прайс'!B146"/>
    <hyperlink ref="B27" location="'Прайс'!B147"/>
    <hyperlink ref="B28" location="'Прайс'!B163"/>
    <hyperlink ref="B29" location="'Прайс'!B165"/>
    <hyperlink ref="B30" location="'Прайс'!B167"/>
    <hyperlink ref="B31" location="'Прайс'!B169"/>
    <hyperlink ref="B32" location="'Прайс'!B180"/>
    <hyperlink ref="B33" location="'Прайс'!B878"/>
    <hyperlink ref="B34" location="'Прайс'!B879"/>
    <hyperlink ref="B35" location="'Прайс'!B880"/>
    <hyperlink ref="B36" location="'Прайс'!B1194"/>
    <hyperlink ref="B37" location="'Прайс'!B1195"/>
    <hyperlink ref="B38" location="'Прайс'!B1221"/>
    <hyperlink ref="B39" location="'Прайс'!B1222"/>
    <hyperlink ref="B40" location="'Прайс'!B1223"/>
    <hyperlink ref="B41" location="'Прайс'!B1238"/>
    <hyperlink ref="B42" location="'Прайс'!B1562"/>
    <hyperlink ref="B43" location="'Прайс'!B1564"/>
    <hyperlink ref="B44" location="'Прайс'!B1565"/>
    <hyperlink ref="B45" location="'Прайс'!B2056"/>
    <hyperlink ref="B46" location="'Прайс'!B2057"/>
    <hyperlink ref="B47" location="'Прайс'!B2068"/>
    <hyperlink ref="B48" location="'Прайс'!B2069"/>
    <hyperlink ref="B49" location="'Прайс'!B2070"/>
    <hyperlink ref="B50" location="'Прайс'!B2088"/>
    <hyperlink ref="B51" location="'Прайс'!B2089"/>
    <hyperlink ref="B52" location="'Прайс'!B2095"/>
    <hyperlink ref="B53" location="'Прайс'!B2113"/>
    <hyperlink ref="B54" location="'Прайс'!B2116"/>
    <hyperlink ref="B55" location="'Прайс'!B2140"/>
    <hyperlink ref="B56" location="'Прайс'!B2151"/>
    <hyperlink ref="B57" location="'Прайс'!B2168"/>
    <hyperlink ref="B58" location="'Прайс'!B2169"/>
    <hyperlink ref="B59" location="'Прайс'!B2170"/>
    <hyperlink ref="B60" location="'Прайс'!B2186"/>
    <hyperlink ref="B61" location="'Прайс'!B2187"/>
    <hyperlink ref="B62" location="'Прайс'!B2256"/>
    <hyperlink ref="B63" location="'Прайс'!B2263"/>
    <hyperlink ref="B64" location="'Прайс'!B2268"/>
    <hyperlink ref="B65" location="'Прайс'!B2293"/>
    <hyperlink ref="B66" location="'Прайс'!B2322"/>
    <hyperlink ref="B67" location="'Прайс'!B2338"/>
    <hyperlink ref="B68" location="'Прайс'!B2339"/>
    <hyperlink ref="B69" location="'Прайс'!B2489"/>
    <hyperlink ref="B70" location="'Прайс'!B2498"/>
    <hyperlink ref="B71" location="'Прайс'!B2533"/>
    <hyperlink ref="B72" location="'Прайс'!B2661"/>
    <hyperlink ref="B73" location="'Прайс'!B2681"/>
    <hyperlink ref="B74" location="'Прайс'!B3128"/>
    <hyperlink ref="B75" location="'Прайс'!B3564"/>
    <hyperlink ref="B76" location="'Прайс'!B3758"/>
    <hyperlink ref="B77" location="'Прайс'!B5271"/>
    <hyperlink ref="B78" location="'Прайс'!B5272"/>
    <hyperlink ref="B79" location="'Прайс'!B5273"/>
    <hyperlink ref="B80" location="'Прайс'!B5274"/>
    <hyperlink ref="B81" location="'Прайс'!B5275"/>
    <hyperlink ref="B82" location="'Прайс'!B5276"/>
    <hyperlink ref="B83" location="'Прайс'!B5277"/>
    <hyperlink ref="B84" location="'Прайс'!B5278"/>
    <hyperlink ref="B85" location="'Прайс'!B5279"/>
    <hyperlink ref="B86" location="'Прайс'!B5288"/>
    <hyperlink ref="B87" location="'Прайс'!B5289"/>
    <hyperlink ref="B88" location="'Прайс'!B5368"/>
    <hyperlink ref="B89" location="'Прайс'!B5372"/>
    <hyperlink ref="B90" location="'Прайс'!B5373"/>
    <hyperlink ref="B91" location="'Прайс'!B5374"/>
    <hyperlink ref="B92" location="'Прайс'!B5377"/>
    <hyperlink ref="B93" location="'Прайс'!B5378"/>
    <hyperlink ref="B94" location="'Прайс'!B5385"/>
    <hyperlink ref="B95" location="'Прайс'!B5387"/>
    <hyperlink ref="B96" location="'Прайс'!B5389"/>
    <hyperlink ref="B97" location="'Прайс'!B5391"/>
    <hyperlink ref="B98" location="'Прайс'!B5394"/>
    <hyperlink ref="B99" location="'Прайс'!B5404"/>
    <hyperlink ref="B100" location="'Прайс'!B5406"/>
    <hyperlink ref="B101" location="'Прайс'!B5407"/>
    <hyperlink ref="B102" location="'Прайс'!B5408"/>
    <hyperlink ref="B103" location="'Прайс'!B5409"/>
    <hyperlink ref="B104" location="'Прайс'!B5410"/>
    <hyperlink ref="B105" location="'Прайс'!B5411"/>
    <hyperlink ref="B106" location="'Прайс'!B5412"/>
    <hyperlink ref="B107" location="'Прайс'!B5413"/>
    <hyperlink ref="B108" location="'Прайс'!B5415"/>
    <hyperlink ref="B109" location="'Прайс'!B5416"/>
    <hyperlink ref="B110" location="'Прайс'!B5417"/>
    <hyperlink ref="B111" location="'Прайс'!B5418"/>
    <hyperlink ref="B112" location="'Прайс'!B5419"/>
    <hyperlink ref="B113" location="'Прайс'!B5420"/>
    <hyperlink ref="B114" location="'Прайс'!B5421"/>
    <hyperlink ref="B115" location="'Прайс'!B5422"/>
    <hyperlink ref="B116" location="'Прайс'!B5423"/>
    <hyperlink ref="B117" location="'Прайс'!B5424"/>
    <hyperlink ref="B118" location="'Прайс'!B5436"/>
    <hyperlink ref="B119" location="'Прайс'!B5437"/>
    <hyperlink ref="B120" location="'Прайс'!B5439"/>
    <hyperlink ref="B121" location="'Прайс'!B5440"/>
    <hyperlink ref="B122" location="'Прайс'!B5441"/>
    <hyperlink ref="B123" location="'Прайс'!B5453"/>
    <hyperlink ref="B124" location="'Прайс'!B5456"/>
    <hyperlink ref="B125" location="'Прайс'!B5457"/>
    <hyperlink ref="B126" location="'Прайс'!B5458"/>
    <hyperlink ref="B127" location="'Прайс'!B5462"/>
    <hyperlink ref="B128" location="'Прайс'!B5470"/>
    <hyperlink ref="B129" location="'Прайс'!B5480"/>
    <hyperlink ref="B130" location="'Прайс'!B5481"/>
    <hyperlink ref="B131" location="'Прайс'!B5489"/>
    <hyperlink ref="B132" location="'Прайс'!B5490"/>
    <hyperlink ref="B133" location="'Прайс'!B5510"/>
    <hyperlink ref="B134" location="'Прайс'!B5517"/>
    <hyperlink ref="B135" location="'Прайс'!B5527"/>
    <hyperlink ref="B136" location="'Прайс'!B5529"/>
    <hyperlink ref="B137" location="'Прайс'!B5550"/>
    <hyperlink ref="B138" location="'Прайс'!B5558"/>
    <hyperlink ref="B139" location="'Прайс'!B5559"/>
    <hyperlink ref="B140" location="'Прайс'!B5574"/>
    <hyperlink ref="B141" location="'Прайс'!B5575"/>
    <hyperlink ref="B142" location="'Прайс'!B5577"/>
    <hyperlink ref="B143" location="'Прайс'!B5578"/>
    <hyperlink ref="B144" location="'Прайс'!B5579"/>
    <hyperlink ref="B145" location="'Прайс'!B5580"/>
    <hyperlink ref="B146" location="'Прайс'!B5581"/>
    <hyperlink ref="B147" location="'Прайс'!B5582"/>
    <hyperlink ref="B148" location="'Прайс'!B5584"/>
    <hyperlink ref="B149" location="'Прайс'!B5585"/>
    <hyperlink ref="B150" location="'Прайс'!B5586"/>
    <hyperlink ref="B151" location="'Прайс'!B5587"/>
    <hyperlink ref="B152" location="'Прайс'!B5588"/>
    <hyperlink ref="B153" location="'Прайс'!B5589"/>
    <hyperlink ref="B154" location="'Прайс'!B5590"/>
    <hyperlink ref="B155" location="'Прайс'!B5591"/>
    <hyperlink ref="B156" location="'Прайс'!B5592"/>
    <hyperlink ref="B157" location="'Прайс'!B5597"/>
    <hyperlink ref="B158" location="'Прайс'!B5598"/>
    <hyperlink ref="B159" location="'Прайс'!B5599"/>
    <hyperlink ref="B160" location="'Прайс'!B5600"/>
    <hyperlink ref="B161" location="'Прайс'!B5983"/>
    <hyperlink ref="B162" location="'Прайс'!B5984"/>
    <hyperlink ref="B163" location="'Прайс'!B5985"/>
    <hyperlink ref="B164" location="'Прайс'!B5991"/>
    <hyperlink ref="B165" location="'Прайс'!B5993"/>
    <hyperlink ref="B166" location="'Прайс'!B5999"/>
    <hyperlink ref="B167" location="'Прайс'!B6007"/>
    <hyperlink ref="B168" location="'Прайс'!B6015"/>
    <hyperlink ref="B169" location="'Прайс'!B6016"/>
    <hyperlink ref="B170" location="'Прайс'!B6017"/>
    <hyperlink ref="B171" location="'Прайс'!B6018"/>
    <hyperlink ref="B172" location="'Прайс'!B6019"/>
    <hyperlink ref="B173" location="'Прайс'!B6020"/>
    <hyperlink ref="B174" location="'Прайс'!B6021"/>
    <hyperlink ref="B175" location="'Прайс'!B6022"/>
    <hyperlink ref="B176" location="'Прайс'!B6023"/>
    <hyperlink ref="B177" location="'Прайс'!B6024"/>
    <hyperlink ref="B178" location="'Прайс'!B6025"/>
    <hyperlink ref="B179" location="'Прайс'!B6026"/>
    <hyperlink ref="B180" location="'Прайс'!B6027"/>
    <hyperlink ref="B181" location="'Прайс'!B6028"/>
    <hyperlink ref="B182" location="'Прайс'!B6029"/>
    <hyperlink ref="B183" location="'Прайс'!B6030"/>
    <hyperlink ref="B184" location="'Прайс'!B6031"/>
    <hyperlink ref="B185" location="'Прайс'!B6032"/>
    <hyperlink ref="B186" location="'Прайс'!B6033"/>
    <hyperlink ref="B187" location="'Прайс'!B6036"/>
    <hyperlink ref="B188" location="'Прайс'!B6037"/>
    <hyperlink ref="B189" location="'Прайс'!B6038"/>
    <hyperlink ref="B190" location="'Прайс'!B6039"/>
    <hyperlink ref="B191" location="'Прайс'!B6040"/>
    <hyperlink ref="B192" location="'Прайс'!B6041"/>
    <hyperlink ref="B193" location="'Прайс'!B6042"/>
    <hyperlink ref="B194" location="'Прайс'!B6043"/>
    <hyperlink ref="B195" location="'Прайс'!B6044"/>
    <hyperlink ref="B196" location="'Прайс'!B6045"/>
    <hyperlink ref="B197" location="'Прайс'!B6046"/>
    <hyperlink ref="B198" location="'Прайс'!B6047"/>
    <hyperlink ref="B199" location="'Прайс'!B6048"/>
    <hyperlink ref="B200" location="'Прайс'!B6049"/>
    <hyperlink ref="B201" location="'Прайс'!B6050"/>
    <hyperlink ref="B202" location="'Прайс'!B6051"/>
    <hyperlink ref="B203" location="'Прайс'!B6052"/>
    <hyperlink ref="B204" location="'Прайс'!B6054"/>
    <hyperlink ref="B205" location="'Прайс'!B6055"/>
    <hyperlink ref="B206" location="'Прайс'!B6079"/>
    <hyperlink ref="B207" location="'Прайс'!B6080"/>
    <hyperlink ref="B208" location="'Прайс'!B6168"/>
    <hyperlink ref="B209" location="'Прайс'!B6228"/>
    <hyperlink ref="B210" location="'Прайс'!B6244"/>
    <hyperlink ref="B211" location="'Прайс'!B6269"/>
    <hyperlink ref="B212" location="'Прайс'!B6271"/>
    <hyperlink ref="B213" location="'Прайс'!B6272"/>
    <hyperlink ref="B214" location="'Прайс'!B6291"/>
    <hyperlink ref="B215" location="'Прайс'!B6339"/>
    <hyperlink ref="B216" location="'Прайс'!B6345"/>
    <hyperlink ref="B217" location="'Прайс'!B6423"/>
    <hyperlink ref="B218" location="'Прайс'!B6447"/>
    <hyperlink ref="B219" location="'Прайс'!B6462"/>
    <hyperlink ref="B220" location="'Прайс'!B6483"/>
    <hyperlink ref="B221" location="'Прайс'!B6554"/>
    <hyperlink ref="B222" location="'Прайс'!B6620"/>
    <hyperlink ref="B223" location="'Прайс'!B6635"/>
    <hyperlink ref="B224" location="'Прайс'!B6709"/>
    <hyperlink ref="B225" location="'Прайс'!B6715"/>
    <hyperlink ref="B226" location="'Прайс'!B6716"/>
    <hyperlink ref="B227" location="'Прайс'!B6717"/>
    <hyperlink ref="B228" location="'Прайс'!B6718"/>
    <hyperlink ref="B229" location="'Прайс'!B6719"/>
    <hyperlink ref="B230" location="'Прайс'!B6872"/>
    <hyperlink ref="B231" location="'Прайс'!B6910"/>
    <hyperlink ref="B232" location="'Прайс'!B6911"/>
    <hyperlink ref="B233" location="'Прайс'!B6913"/>
    <hyperlink ref="B234" location="'Прайс'!B6976"/>
    <hyperlink ref="B235" location="'Прайс'!B6977"/>
    <hyperlink ref="B236" location="'Прайс'!B6978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3"/>
  <sheetViews>
    <sheetView tabSelected="0" workbookViewId="0" showGridLines="true" showRowColHeaders="1" topLeftCell="A1">
      <selection activeCell="A1" sqref="A1"/>
    </sheetView>
  </sheetViews>
  <sheetFormatPr defaultRowHeight="14.4" defaultColWidth="8.6796875" outlineLevelRow="0" outlineLevelCol="0"/>
  <cols>
    <col min="1" max="1" width="11" customWidth="true" style="1"/>
    <col min="2" max="2" width="114" customWidth="true" style="1"/>
    <col min="4" max="4" width="12" customWidth="true" style="1"/>
    <col min="6" max="6" width="16" customWidth="true" style="1"/>
  </cols>
  <sheetData>
    <row r="1" spans="1:6" customHeight="1" ht="14.25">
      <c r="A1" s="2"/>
      <c r="B1" s="2"/>
      <c r="C1" s="2"/>
      <c r="D1" s="2"/>
      <c r="E1" s="2"/>
      <c r="F1" s="2"/>
    </row>
    <row r="2" spans="1:6" customHeight="1" ht="17.35">
      <c r="A2" s="3" t="s">
        <v>0</v>
      </c>
      <c r="B2" s="3"/>
      <c r="C2" s="3"/>
      <c r="D2" s="3"/>
      <c r="E2" s="3"/>
      <c r="F2" s="3"/>
    </row>
    <row r="3" spans="1:6" customHeight="1" ht="30">
      <c r="A3" s="4" t="s">
        <v>1</v>
      </c>
      <c r="B3" s="4"/>
      <c r="C3" s="4"/>
      <c r="D3" s="4"/>
      <c r="E3" s="4"/>
      <c r="F3" s="4"/>
    </row>
    <row r="4" spans="1:6" customHeight="1" ht="14.25">
      <c r="A4" s="2"/>
      <c r="B4" s="2"/>
      <c r="C4" s="2"/>
      <c r="D4" s="2"/>
      <c r="E4" s="2"/>
      <c r="F4" s="2"/>
    </row>
    <row r="5" spans="1:6" customHeight="1" ht="17.35">
      <c r="A5" s="3" t="s">
        <v>20091</v>
      </c>
      <c r="B5" s="3"/>
      <c r="C5" s="3"/>
      <c r="D5" s="3"/>
      <c r="E5" s="3"/>
      <c r="F5" s="3"/>
    </row>
    <row r="6" spans="1:6" customHeight="1" ht="90">
      <c r="A6" s="11" t="s">
        <v>20092</v>
      </c>
      <c r="B6" s="11"/>
      <c r="C6" s="11"/>
      <c r="D6" s="11"/>
      <c r="E6" s="11"/>
      <c r="F6" s="11"/>
    </row>
    <row r="8" spans="1:6" customHeight="1" ht="60">
      <c r="A8" s="11" t="s">
        <v>20093</v>
      </c>
      <c r="B8" s="11"/>
      <c r="C8" s="11"/>
      <c r="D8" s="11"/>
      <c r="E8" s="11"/>
      <c r="F8" s="11"/>
    </row>
    <row r="9" spans="1:6" customHeight="1" ht="14.25">
      <c r="A9" s="2"/>
      <c r="B9" s="2"/>
      <c r="C9" s="2"/>
      <c r="D9" s="2"/>
      <c r="E9" s="2"/>
      <c r="F9" s="2"/>
    </row>
    <row r="10" spans="1:6" customHeight="1" ht="19.5">
      <c r="A10" s="11" t="s">
        <v>20094</v>
      </c>
      <c r="B10" s="11"/>
      <c r="C10" s="11"/>
      <c r="D10" s="11"/>
      <c r="E10" s="11"/>
      <c r="F10" s="11"/>
    </row>
    <row r="11" spans="1:6" customHeight="1" ht="19.5">
      <c r="A11" s="6" t="s">
        <v>3</v>
      </c>
      <c r="B11" s="6"/>
      <c r="C11" s="6"/>
      <c r="D11" s="6"/>
      <c r="E11" s="6"/>
      <c r="F11" s="6"/>
    </row>
    <row r="13" spans="1:6" customHeight="1" ht="17.35">
      <c r="A13" s="3" t="s">
        <v>20095</v>
      </c>
      <c r="B13" s="3"/>
      <c r="C13" s="3"/>
      <c r="D13" s="3"/>
      <c r="E13" s="3"/>
      <c r="F13" s="3"/>
    </row>
    <row r="14" spans="1:6" customHeight="1" ht="79.5">
      <c r="A14" s="11" t="s">
        <v>20096</v>
      </c>
      <c r="B14" s="11"/>
      <c r="C14" s="11"/>
      <c r="D14" s="11"/>
      <c r="E14" s="11"/>
      <c r="F14" s="11"/>
    </row>
    <row r="15" spans="1:6" customHeight="1" ht="19.5">
      <c r="A15" s="11" t="s">
        <v>20097</v>
      </c>
      <c r="B15" s="11"/>
      <c r="C15" s="11"/>
      <c r="D15" s="11"/>
      <c r="E15" s="11"/>
      <c r="F15" s="11"/>
    </row>
    <row r="16" spans="1:6" customHeight="1" ht="19.5">
      <c r="A16" s="12" t="s">
        <v>20098</v>
      </c>
      <c r="B16" s="12"/>
      <c r="C16" s="12"/>
      <c r="D16" s="12"/>
      <c r="E16" s="12"/>
      <c r="F16" s="12"/>
    </row>
    <row r="17" spans="1:6" customHeight="1" ht="19.5">
      <c r="A17" s="12" t="s">
        <v>20099</v>
      </c>
      <c r="B17" s="12"/>
      <c r="C17" s="12"/>
      <c r="D17" s="12"/>
      <c r="E17" s="12"/>
      <c r="F17" s="12"/>
    </row>
    <row r="19" spans="1:6" customHeight="1" ht="17.35">
      <c r="A19" s="3" t="s">
        <v>20100</v>
      </c>
      <c r="B19" s="3"/>
      <c r="C19" s="3"/>
      <c r="D19" s="3"/>
      <c r="E19" s="3"/>
      <c r="F19" s="3"/>
    </row>
    <row r="20" spans="1:6" customHeight="1" ht="69.75">
      <c r="A20" s="11" t="s">
        <v>20101</v>
      </c>
      <c r="B20" s="11"/>
      <c r="C20" s="11"/>
      <c r="D20" s="11"/>
      <c r="E20" s="11"/>
      <c r="F20" s="11"/>
    </row>
    <row r="21" spans="1:6" customHeight="1" ht="17.35">
      <c r="A21" s="13" t="s">
        <v>20102</v>
      </c>
      <c r="B21" s="13"/>
      <c r="C21" s="13"/>
      <c r="D21" s="13"/>
      <c r="E21" s="13"/>
      <c r="F21" s="13"/>
    </row>
    <row r="22" spans="1:6" customHeight="1" ht="17.35">
      <c r="A22" s="13" t="s">
        <v>20103</v>
      </c>
      <c r="B22" s="13"/>
      <c r="C22" s="13"/>
      <c r="D22" s="13"/>
      <c r="E22" s="13"/>
      <c r="F22" s="13"/>
    </row>
    <row r="23" spans="1:6" customHeight="1" ht="219.75">
      <c r="A23" s="14"/>
      <c r="B23" s="15" t="s">
        <v>20104</v>
      </c>
      <c r="C23" s="15"/>
      <c r="D23" s="15"/>
      <c r="E23" s="15"/>
      <c r="F23" s="15"/>
    </row>
  </sheetData>
  <mergeCells>
    <mergeCell ref="A1:F1"/>
    <mergeCell ref="A2:F2"/>
    <mergeCell ref="A3:F3"/>
    <mergeCell ref="A4:F4"/>
    <mergeCell ref="A5:F5"/>
    <mergeCell ref="A6:F6"/>
    <mergeCell ref="A8:F8"/>
    <mergeCell ref="A9:F9"/>
    <mergeCell ref="A10:F10"/>
    <mergeCell ref="A11:F11"/>
    <mergeCell ref="A13:F13"/>
    <mergeCell ref="A14:F14"/>
    <mergeCell ref="A15:F15"/>
    <mergeCell ref="A16:F16"/>
    <mergeCell ref="A17:F17"/>
    <mergeCell ref="A19:F19"/>
    <mergeCell ref="A20:F20"/>
    <mergeCell ref="A21:F21"/>
    <mergeCell ref="A22:F22"/>
    <mergeCell ref="B23:F23"/>
  </mergeCells>
  <hyperlinks>
    <hyperlink ref="A2" r:id="rId_hyperlink_1"/>
    <hyperlink ref="A16" r:id="rId_hyperlink_2"/>
    <hyperlink ref="A17" r:id="rId_hyperlink_3"/>
  </hyperlinks>
  <printOptions gridLines="false" gridLinesSet="true"/>
  <pageMargins left="0.7" right="0.7" top="0.75" bottom="0.75" header="0.51181102362205" footer="0.51181102362205"/>
  <pageSetup paperSize="1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Прайс</vt:lpstr>
      <vt:lpstr>Содержание</vt:lpstr>
      <vt:lpstr>Оплата и доставка</vt:lpstr>
    </vt:vector>
  </TitlesOfParts>
  <Company>Microsoft Corporation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/>
  <dcterms:created xsi:type="dcterms:W3CDTF">2024-09-08T18:00:01+03:00</dcterms:created>
  <dcterms:modified xsi:type="dcterms:W3CDTF">2024-09-12T08:37:37+03:00</dcterms:modified>
  <dc:title>Untitled Spreadsheet</dc:title>
  <dc:description/>
  <dc:subject/>
  <cp:keywords/>
  <cp:category/>
</cp:coreProperties>
</file>